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Zainab\Desktop\FMod\Security Analysis\"/>
    </mc:Choice>
  </mc:AlternateContent>
  <xr:revisionPtr revIDLastSave="0" documentId="13_ncr:1_{BDDE873C-7263-4892-ABD3-3728AEBED200}" xr6:coauthVersionLast="47" xr6:coauthVersionMax="47" xr10:uidLastSave="{00000000-0000-0000-0000-000000000000}"/>
  <bookViews>
    <workbookView xWindow="-110" yWindow="-110" windowWidth="19420" windowHeight="10300" activeTab="1" xr2:uid="{BB2854FD-0ACB-499B-A9CE-64AA4D1D9946}"/>
  </bookViews>
  <sheets>
    <sheet name="Info" sheetId="4" r:id="rId1"/>
    <sheet name="Quick Answer View " sheetId="7" r:id="rId2"/>
    <sheet name="Q1" sheetId="1" r:id="rId3"/>
    <sheet name="Q2" sheetId="3" r:id="rId4"/>
    <sheet name="Q3" sheetId="5" r:id="rId5"/>
    <sheet name="Inditex IS" sheetId="6" r:id="rId6"/>
    <sheet name="Population"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3" l="1"/>
  <c r="H45" i="3"/>
  <c r="I45" i="3"/>
  <c r="F45" i="3"/>
  <c r="I44" i="3"/>
  <c r="G44" i="3"/>
  <c r="H44" i="3"/>
  <c r="F44" i="3"/>
  <c r="G43" i="3"/>
  <c r="H43" i="3"/>
  <c r="I43" i="3"/>
  <c r="F43" i="3"/>
  <c r="E39" i="3"/>
  <c r="F39" i="3"/>
  <c r="G39" i="3"/>
  <c r="H39" i="3"/>
  <c r="I39" i="3"/>
  <c r="F38" i="3"/>
  <c r="G38" i="3"/>
  <c r="H38" i="3"/>
  <c r="I38" i="3"/>
  <c r="E38" i="3"/>
  <c r="E44" i="3"/>
  <c r="E43" i="3"/>
  <c r="BC24" i="3" l="1"/>
  <c r="X47" i="7" l="1"/>
  <c r="X46" i="7"/>
  <c r="F62" i="7"/>
  <c r="F63" i="7" s="1"/>
  <c r="D87" i="5" s="1"/>
  <c r="I29" i="7"/>
  <c r="F29" i="7"/>
  <c r="C29" i="7"/>
  <c r="D23" i="3"/>
  <c r="D86" i="5" l="1"/>
  <c r="C63" i="7"/>
  <c r="B63" i="7"/>
  <c r="BF24" i="7"/>
  <c r="BG24" i="7"/>
  <c r="BH24" i="7"/>
  <c r="BI24" i="7"/>
  <c r="BJ24" i="7"/>
  <c r="BK24" i="7"/>
  <c r="BL24" i="7"/>
  <c r="BM24" i="7"/>
  <c r="BN24" i="7"/>
  <c r="BF25" i="7"/>
  <c r="BG25" i="7"/>
  <c r="BH25" i="7"/>
  <c r="BI25" i="7"/>
  <c r="BJ25" i="7"/>
  <c r="BK25" i="7"/>
  <c r="BL25" i="7"/>
  <c r="BM25" i="7"/>
  <c r="BN25" i="7"/>
  <c r="BD25" i="7"/>
  <c r="BE25" i="7"/>
  <c r="BE24" i="7"/>
  <c r="BD22" i="7"/>
  <c r="BD23" i="7"/>
  <c r="BD21" i="7"/>
  <c r="BF21" i="7"/>
  <c r="BG21" i="7"/>
  <c r="BH21" i="7"/>
  <c r="BI21" i="7"/>
  <c r="BJ21" i="7"/>
  <c r="BK21" i="7"/>
  <c r="BL21" i="7"/>
  <c r="BM21" i="7"/>
  <c r="BN21" i="7"/>
  <c r="BF22" i="7"/>
  <c r="BG22" i="7"/>
  <c r="BH22" i="7"/>
  <c r="BI22" i="7"/>
  <c r="BJ22" i="7"/>
  <c r="BK22" i="7"/>
  <c r="BL22" i="7"/>
  <c r="BM22" i="7"/>
  <c r="BN22" i="7"/>
  <c r="BF23" i="7"/>
  <c r="BG23" i="7"/>
  <c r="BH23" i="7"/>
  <c r="BI23" i="7"/>
  <c r="BJ23" i="7"/>
  <c r="BK23" i="7"/>
  <c r="BL23" i="7"/>
  <c r="BM23" i="7"/>
  <c r="BN23" i="7"/>
  <c r="BE22" i="7"/>
  <c r="BE23" i="7"/>
  <c r="BE21" i="7"/>
  <c r="BG13" i="7"/>
  <c r="BH13" i="7"/>
  <c r="BI13" i="7"/>
  <c r="BJ13" i="7"/>
  <c r="BG14" i="7"/>
  <c r="BH14" i="7"/>
  <c r="BI14" i="7"/>
  <c r="BJ14" i="7"/>
  <c r="BG15" i="7"/>
  <c r="BH15" i="7"/>
  <c r="BI15" i="7"/>
  <c r="BJ15" i="7"/>
  <c r="BG16" i="7"/>
  <c r="BH16" i="7"/>
  <c r="BI16" i="7"/>
  <c r="BJ16" i="7"/>
  <c r="BG17" i="7"/>
  <c r="BH17" i="7"/>
  <c r="BI17" i="7"/>
  <c r="BJ17" i="7"/>
  <c r="BF14" i="7"/>
  <c r="BF15" i="7"/>
  <c r="BF16" i="7"/>
  <c r="BF17" i="7"/>
  <c r="BE15" i="7"/>
  <c r="BE16" i="7"/>
  <c r="BE17" i="7"/>
  <c r="BF13" i="7"/>
  <c r="BE14" i="7"/>
  <c r="BG10" i="7"/>
  <c r="BH10" i="7"/>
  <c r="BI10" i="7"/>
  <c r="BJ10" i="7"/>
  <c r="BG11" i="7"/>
  <c r="BH11" i="7"/>
  <c r="BI11" i="7"/>
  <c r="BJ11" i="7"/>
  <c r="BF11" i="7"/>
  <c r="BF10" i="7"/>
  <c r="K30" i="7"/>
  <c r="H30" i="7"/>
  <c r="E30" i="7"/>
  <c r="BL4" i="7" a="1"/>
  <c r="BL4" i="7" s="1"/>
  <c r="BG6" i="7"/>
  <c r="BH6" i="7"/>
  <c r="BI6" i="7"/>
  <c r="BJ6" i="7"/>
  <c r="BG7" i="7"/>
  <c r="BH7" i="7"/>
  <c r="BI7" i="7"/>
  <c r="BJ7" i="7"/>
  <c r="BF7" i="7"/>
  <c r="BF6" i="7"/>
  <c r="BG5" i="7"/>
  <c r="BH5" i="7"/>
  <c r="BI5" i="7"/>
  <c r="BJ5" i="7"/>
  <c r="BF5" i="7"/>
  <c r="AO29" i="7" l="1" a="1"/>
  <c r="AO29" i="7" s="1"/>
  <c r="AR18" i="7"/>
  <c r="AR19" i="7"/>
  <c r="AR20" i="7"/>
  <c r="AR17" i="7"/>
  <c r="AT16" i="7"/>
  <c r="AU16" i="7"/>
  <c r="AV16" i="7"/>
  <c r="AW16" i="7"/>
  <c r="AX16" i="7"/>
  <c r="AY16" i="7"/>
  <c r="AY17" i="7"/>
  <c r="AY18" i="7"/>
  <c r="AY19" i="7"/>
  <c r="AY20" i="7"/>
  <c r="AS16" i="7"/>
  <c r="O25" i="7"/>
  <c r="T15" i="7"/>
  <c r="O15" i="7"/>
  <c r="AR14" i="7"/>
  <c r="AR8" i="7"/>
  <c r="AR10" i="7" s="1"/>
  <c r="AS13" i="7"/>
  <c r="AT13" i="7"/>
  <c r="AU13" i="7"/>
  <c r="AV13" i="7"/>
  <c r="AW13" i="7"/>
  <c r="AX13" i="7"/>
  <c r="AY13" i="7"/>
  <c r="AZ13" i="7"/>
  <c r="BA13" i="7"/>
  <c r="BB13" i="7"/>
  <c r="AX11" i="7"/>
  <c r="AY11" i="7"/>
  <c r="AZ11" i="7"/>
  <c r="BA11" i="7"/>
  <c r="BB11" i="7"/>
  <c r="AX9" i="7"/>
  <c r="AY9" i="7"/>
  <c r="AZ9" i="7"/>
  <c r="BA9" i="7"/>
  <c r="BB9" i="7"/>
  <c r="AX7" i="7"/>
  <c r="AY7" i="7"/>
  <c r="AZ7" i="7"/>
  <c r="BA7" i="7"/>
  <c r="BB7" i="7"/>
  <c r="AX5" i="7"/>
  <c r="AY5" i="7"/>
  <c r="AZ5" i="7"/>
  <c r="BA5" i="7"/>
  <c r="BB5" i="7"/>
  <c r="AX3" i="7"/>
  <c r="AY3" i="7"/>
  <c r="AZ3" i="7"/>
  <c r="BA3" i="7"/>
  <c r="BB3" i="7"/>
  <c r="AN2" i="7" a="1"/>
  <c r="AN2" i="7" s="1"/>
  <c r="F15" i="3"/>
  <c r="W4" i="7" l="1"/>
  <c r="Y15" i="7" s="1"/>
  <c r="S9" i="7"/>
  <c r="T25" i="7" s="1"/>
  <c r="E21" i="7"/>
  <c r="E10" i="7"/>
  <c r="D35" i="1" s="1"/>
  <c r="C10" i="7"/>
  <c r="D34" i="1" s="1"/>
  <c r="B25" i="7"/>
  <c r="D24" i="7"/>
  <c r="E24" i="7"/>
  <c r="F24" i="7"/>
  <c r="G24" i="7"/>
  <c r="C24" i="7"/>
  <c r="B5" i="7"/>
  <c r="B15" i="7" s="1"/>
  <c r="B4" i="7"/>
  <c r="B14" i="7" s="1"/>
  <c r="E16" i="3"/>
  <c r="E15" i="3"/>
  <c r="AW25" i="3"/>
  <c r="AV25" i="3"/>
  <c r="AM25" i="3"/>
  <c r="AL25" i="3"/>
  <c r="D36" i="1" l="1"/>
  <c r="F36" i="1" s="1"/>
  <c r="G10" i="7"/>
  <c r="C30" i="2"/>
  <c r="D30" i="2"/>
  <c r="D82" i="5"/>
  <c r="D83" i="5"/>
  <c r="B93" i="5"/>
  <c r="C83" i="5"/>
  <c r="J15" i="6" l="1"/>
  <c r="K15" i="6" s="1"/>
  <c r="D74" i="5"/>
  <c r="E74" i="5"/>
  <c r="F74" i="5"/>
  <c r="G74" i="5"/>
  <c r="C74" i="5"/>
  <c r="D52" i="5"/>
  <c r="E52" i="5"/>
  <c r="F52" i="5"/>
  <c r="G52" i="5"/>
  <c r="C52" i="5"/>
  <c r="C47" i="5"/>
  <c r="D47" i="5"/>
  <c r="E47" i="5"/>
  <c r="F47" i="5"/>
  <c r="G47" i="5"/>
  <c r="C48" i="5"/>
  <c r="D48" i="5"/>
  <c r="E48" i="5"/>
  <c r="F48" i="5"/>
  <c r="G48" i="5"/>
  <c r="C49" i="5"/>
  <c r="D49" i="5"/>
  <c r="E49" i="5"/>
  <c r="F49" i="5"/>
  <c r="G49" i="5"/>
  <c r="C50" i="5"/>
  <c r="D50" i="5"/>
  <c r="E50" i="5"/>
  <c r="F50" i="5"/>
  <c r="G50" i="5"/>
  <c r="B48" i="5"/>
  <c r="B49" i="5"/>
  <c r="B50" i="5"/>
  <c r="B51" i="5"/>
  <c r="B47" i="5"/>
  <c r="J18" i="6" a="1"/>
  <c r="J18" i="6" s="1"/>
  <c r="J17" i="6" a="1"/>
  <c r="J17" i="6" s="1"/>
  <c r="J12" i="6" a="1"/>
  <c r="J12" i="6" s="1"/>
  <c r="J11" i="6" a="1"/>
  <c r="J11" i="6" s="1"/>
  <c r="J9" i="6" a="1"/>
  <c r="J9" i="6" s="1"/>
  <c r="H52" i="5" s="1"/>
  <c r="J30" i="6"/>
  <c r="G51" i="5" s="1"/>
  <c r="G67" i="5" s="1"/>
  <c r="I30" i="6"/>
  <c r="F51" i="5" s="1"/>
  <c r="F67" i="5" s="1"/>
  <c r="H30" i="6"/>
  <c r="E51" i="5" s="1"/>
  <c r="E67" i="5" s="1"/>
  <c r="G30" i="6"/>
  <c r="D51" i="5" s="1"/>
  <c r="D67" i="5" s="1"/>
  <c r="F30" i="6"/>
  <c r="C51" i="5" s="1"/>
  <c r="C67" i="5" s="1"/>
  <c r="E30" i="6"/>
  <c r="K29" i="6" a="1"/>
  <c r="K29" i="6" s="1"/>
  <c r="H50" i="5" s="1"/>
  <c r="K28" i="6" a="1"/>
  <c r="K28" i="6" s="1"/>
  <c r="H49" i="5" s="1"/>
  <c r="K27" i="6" a="1"/>
  <c r="K27" i="6" s="1"/>
  <c r="H48" i="5" s="1"/>
  <c r="K26" i="6" a="1"/>
  <c r="K26" i="6" s="1"/>
  <c r="H47" i="5" s="1"/>
  <c r="I74" i="5" l="1"/>
  <c r="L15" i="6"/>
  <c r="H74" i="5"/>
  <c r="I49" i="5"/>
  <c r="G55" i="5"/>
  <c r="G62" i="5" s="1"/>
  <c r="K48" i="5"/>
  <c r="J48" i="5"/>
  <c r="I48" i="5"/>
  <c r="K47" i="5"/>
  <c r="L47" i="5"/>
  <c r="L50" i="5"/>
  <c r="D57" i="5"/>
  <c r="D64" i="5" s="1"/>
  <c r="J47" i="5"/>
  <c r="C57" i="5"/>
  <c r="C64" i="5" s="1"/>
  <c r="K50" i="5"/>
  <c r="L52" i="5"/>
  <c r="G57" i="5"/>
  <c r="G64" i="5" s="1"/>
  <c r="C55" i="5"/>
  <c r="C62" i="5" s="1"/>
  <c r="K30" i="6" a="1"/>
  <c r="J50" i="5"/>
  <c r="L49" i="5"/>
  <c r="D56" i="5"/>
  <c r="D63" i="5" s="1"/>
  <c r="K52" i="5"/>
  <c r="I50" i="5"/>
  <c r="K49" i="5"/>
  <c r="J52" i="5"/>
  <c r="I47" i="5"/>
  <c r="J49" i="5"/>
  <c r="L48" i="5"/>
  <c r="F54" i="5"/>
  <c r="F61" i="5" s="1"/>
  <c r="I52" i="5"/>
  <c r="F56" i="5"/>
  <c r="F63" i="5" s="1"/>
  <c r="F55" i="5"/>
  <c r="F62" i="5" s="1"/>
  <c r="E56" i="5"/>
  <c r="E63" i="5" s="1"/>
  <c r="C56" i="5"/>
  <c r="C63" i="5" s="1"/>
  <c r="E57" i="5"/>
  <c r="E64" i="5" s="1"/>
  <c r="E55" i="5"/>
  <c r="E62" i="5" s="1"/>
  <c r="D55" i="5"/>
  <c r="D62" i="5" s="1"/>
  <c r="F57" i="5"/>
  <c r="F64" i="5" s="1"/>
  <c r="C54" i="5"/>
  <c r="C61" i="5" s="1"/>
  <c r="G56" i="5"/>
  <c r="G63" i="5" s="1"/>
  <c r="G54" i="5"/>
  <c r="G61" i="5" s="1"/>
  <c r="E54" i="5"/>
  <c r="E61" i="5" s="1"/>
  <c r="D54" i="5"/>
  <c r="D61" i="5" s="1"/>
  <c r="M15" i="6" l="1"/>
  <c r="J74" i="5"/>
  <c r="K30" i="6"/>
  <c r="L8" i="6"/>
  <c r="M8" i="6"/>
  <c r="N8" i="6"/>
  <c r="K8" i="6"/>
  <c r="I51" i="5"/>
  <c r="I67" i="5" s="1"/>
  <c r="J51" i="5"/>
  <c r="L51" i="5"/>
  <c r="K51" i="5"/>
  <c r="K67" i="5" s="1"/>
  <c r="G65" i="5"/>
  <c r="G68" i="5" s="1"/>
  <c r="E65" i="5"/>
  <c r="E68" i="5" s="1"/>
  <c r="F65" i="5"/>
  <c r="F68" i="5" s="1"/>
  <c r="D65" i="5"/>
  <c r="D68" i="5" s="1"/>
  <c r="C65" i="5"/>
  <c r="C68" i="5" s="1"/>
  <c r="N15" i="6" l="1"/>
  <c r="L74" i="5" s="1"/>
  <c r="K74" i="5"/>
  <c r="L55" i="5"/>
  <c r="L62" i="5" s="1"/>
  <c r="L67" i="5"/>
  <c r="J57" i="5"/>
  <c r="J64" i="5" s="1"/>
  <c r="J67" i="5"/>
  <c r="L56" i="5"/>
  <c r="L63" i="5" s="1"/>
  <c r="K54" i="5"/>
  <c r="K61" i="5" s="1"/>
  <c r="K55" i="5"/>
  <c r="K62" i="5" s="1"/>
  <c r="K57" i="5"/>
  <c r="K64" i="5" s="1"/>
  <c r="K56" i="5"/>
  <c r="K63" i="5" s="1"/>
  <c r="H51" i="5"/>
  <c r="H67" i="5" s="1"/>
  <c r="J8" i="6"/>
  <c r="L57" i="5"/>
  <c r="L64" i="5" s="1"/>
  <c r="L54" i="5"/>
  <c r="L61" i="5" s="1"/>
  <c r="I56" i="5"/>
  <c r="I63" i="5" s="1"/>
  <c r="I55" i="5"/>
  <c r="I62" i="5" s="1"/>
  <c r="I54" i="5"/>
  <c r="I61" i="5" s="1"/>
  <c r="I57" i="5"/>
  <c r="I64" i="5" s="1"/>
  <c r="J55" i="5"/>
  <c r="J62" i="5" s="1"/>
  <c r="J54" i="5"/>
  <c r="J61" i="5" s="1"/>
  <c r="J56" i="5"/>
  <c r="J63" i="5" s="1"/>
  <c r="L65" i="5" l="1"/>
  <c r="L68" i="5" s="1"/>
  <c r="K65" i="5"/>
  <c r="K68" i="5" s="1"/>
  <c r="J65" i="5"/>
  <c r="J68" i="5" s="1"/>
  <c r="H55" i="5"/>
  <c r="H62" i="5" s="1"/>
  <c r="H56" i="5"/>
  <c r="H63" i="5" s="1"/>
  <c r="H57" i="5"/>
  <c r="H64" i="5" s="1"/>
  <c r="H54" i="5"/>
  <c r="H61" i="5" s="1"/>
  <c r="I65" i="5"/>
  <c r="I68" i="5" s="1"/>
  <c r="H65" i="5" l="1"/>
  <c r="H68" i="5" s="1"/>
  <c r="J10" i="6" l="1"/>
  <c r="K10" i="6"/>
  <c r="L10" i="6"/>
  <c r="M10" i="6"/>
  <c r="N10" i="6"/>
  <c r="F10" i="6"/>
  <c r="G10" i="6"/>
  <c r="H10" i="6"/>
  <c r="I10" i="6"/>
  <c r="E10" i="6"/>
  <c r="F58" i="5"/>
  <c r="F13" i="6" l="1"/>
  <c r="F16" i="6" s="1"/>
  <c r="D59" i="5"/>
  <c r="G13" i="6"/>
  <c r="G16" i="6" s="1"/>
  <c r="E59" i="5"/>
  <c r="N13" i="6"/>
  <c r="N16" i="6" s="1"/>
  <c r="L59" i="5"/>
  <c r="M13" i="6"/>
  <c r="M16" i="6" s="1"/>
  <c r="K59" i="5"/>
  <c r="L13" i="6"/>
  <c r="L16" i="6" s="1"/>
  <c r="J59" i="5"/>
  <c r="E13" i="6"/>
  <c r="E16" i="6" s="1"/>
  <c r="C59" i="5"/>
  <c r="K13" i="6"/>
  <c r="K16" i="6" s="1"/>
  <c r="I59" i="5"/>
  <c r="I13" i="6"/>
  <c r="I16" i="6" s="1"/>
  <c r="G59" i="5"/>
  <c r="J13" i="6"/>
  <c r="J16" i="6" s="1"/>
  <c r="H59" i="5"/>
  <c r="H13" i="6"/>
  <c r="H16" i="6" s="1"/>
  <c r="F59" i="5"/>
  <c r="H58" i="5"/>
  <c r="E58" i="5"/>
  <c r="G58" i="5"/>
  <c r="C58" i="5"/>
  <c r="J58" i="5"/>
  <c r="K58" i="5"/>
  <c r="D58" i="5"/>
  <c r="L58" i="5"/>
  <c r="I58" i="5"/>
  <c r="H19" i="6" l="1"/>
  <c r="F69" i="5"/>
  <c r="F73" i="5" s="1"/>
  <c r="F75" i="5" s="1"/>
  <c r="E19" i="6"/>
  <c r="C69" i="5"/>
  <c r="C73" i="5" s="1"/>
  <c r="C75" i="5" s="1"/>
  <c r="G19" i="6"/>
  <c r="E69" i="5"/>
  <c r="E73" i="5" s="1"/>
  <c r="E75" i="5" s="1"/>
  <c r="I19" i="6"/>
  <c r="G69" i="5"/>
  <c r="G73" i="5" s="1"/>
  <c r="G75" i="5" s="1"/>
  <c r="F19" i="6"/>
  <c r="D69" i="5"/>
  <c r="D73" i="5" s="1"/>
  <c r="D75" i="5" s="1"/>
  <c r="M19" i="6"/>
  <c r="K69" i="5"/>
  <c r="K73" i="5" s="1"/>
  <c r="K75" i="5" s="1"/>
  <c r="F93" i="5" s="1"/>
  <c r="N19" i="6"/>
  <c r="L69" i="5"/>
  <c r="L73" i="5" s="1"/>
  <c r="L75" i="5" s="1"/>
  <c r="G93" i="5" s="1"/>
  <c r="K19" i="6"/>
  <c r="I69" i="5"/>
  <c r="I73" i="5" s="1"/>
  <c r="I75" i="5" s="1"/>
  <c r="D93" i="5" s="1"/>
  <c r="J19" i="6"/>
  <c r="H69" i="5"/>
  <c r="H73" i="5" s="1"/>
  <c r="H75" i="5" s="1"/>
  <c r="C93" i="5" s="1"/>
  <c r="C94" i="5" s="1"/>
  <c r="L19" i="6"/>
  <c r="J69" i="5"/>
  <c r="J73" i="5" s="1"/>
  <c r="J75" i="5" s="1"/>
  <c r="E93" i="5" s="1"/>
  <c r="E21" i="6"/>
  <c r="E31" i="5"/>
  <c r="F31" i="5"/>
  <c r="G31" i="5"/>
  <c r="H31" i="5"/>
  <c r="I31" i="5"/>
  <c r="I21" i="6" l="1"/>
  <c r="I23" i="6"/>
  <c r="D20" i="6"/>
  <c r="M20" i="6" s="1"/>
  <c r="E23" i="6"/>
  <c r="G21" i="6"/>
  <c r="G23" i="6"/>
  <c r="F21" i="6"/>
  <c r="F23" i="6"/>
  <c r="H21" i="6"/>
  <c r="H23" i="6"/>
  <c r="F23" i="5"/>
  <c r="G23" i="5"/>
  <c r="H23" i="5"/>
  <c r="I23" i="5"/>
  <c r="E23" i="5"/>
  <c r="F20" i="5"/>
  <c r="G20" i="5"/>
  <c r="H20" i="5"/>
  <c r="I20" i="5"/>
  <c r="E20" i="5"/>
  <c r="F16" i="5"/>
  <c r="F32" i="5" s="1"/>
  <c r="G16" i="5"/>
  <c r="G32" i="5" s="1"/>
  <c r="H16" i="5"/>
  <c r="H32" i="5" s="1"/>
  <c r="I16" i="5"/>
  <c r="I32" i="5" s="1"/>
  <c r="E16" i="5"/>
  <c r="E32" i="5" s="1"/>
  <c r="F13" i="5"/>
  <c r="F34" i="5" s="1"/>
  <c r="G13" i="5"/>
  <c r="G34" i="5" s="1"/>
  <c r="H13" i="5"/>
  <c r="H34" i="5" s="1"/>
  <c r="I13" i="5"/>
  <c r="I34" i="5" s="1"/>
  <c r="E13" i="5"/>
  <c r="E34" i="5" s="1"/>
  <c r="F9" i="5"/>
  <c r="F33" i="5" s="1"/>
  <c r="G9" i="5"/>
  <c r="G33" i="5" s="1"/>
  <c r="H9" i="5"/>
  <c r="H33" i="5" s="1"/>
  <c r="I9" i="5"/>
  <c r="I33" i="5" s="1"/>
  <c r="E9" i="5"/>
  <c r="E33" i="5" s="1"/>
  <c r="D84" i="5" l="1"/>
  <c r="D85" i="5" s="1"/>
  <c r="D88" i="5" s="1"/>
  <c r="C96" i="5" s="1"/>
  <c r="J20" i="6"/>
  <c r="J23" i="6" s="1"/>
  <c r="K20" i="6"/>
  <c r="K23" i="6" s="1"/>
  <c r="L20" i="6"/>
  <c r="L21" i="6" s="1"/>
  <c r="J21" i="6"/>
  <c r="N20" i="6"/>
  <c r="M21" i="6"/>
  <c r="M23" i="6"/>
  <c r="E35" i="5"/>
  <c r="H35" i="5"/>
  <c r="G35" i="5"/>
  <c r="F35" i="5"/>
  <c r="I35" i="5"/>
  <c r="D94" i="5" l="1"/>
  <c r="E94" i="5"/>
  <c r="F94" i="5"/>
  <c r="G94" i="5"/>
  <c r="K21" i="6"/>
  <c r="L23" i="6"/>
  <c r="N21" i="6"/>
  <c r="N23" i="6"/>
  <c r="C70" i="3"/>
  <c r="C71" i="3"/>
  <c r="Y67" i="3"/>
  <c r="T67" i="3"/>
  <c r="O67" i="3"/>
  <c r="J67" i="3"/>
  <c r="E67" i="3"/>
  <c r="G64" i="3"/>
  <c r="G65" i="3" s="1"/>
  <c r="F64" i="3"/>
  <c r="F65" i="3" s="1"/>
  <c r="H64" i="3"/>
  <c r="H65" i="3" s="1"/>
  <c r="I64" i="3"/>
  <c r="I65" i="3" s="1"/>
  <c r="J64" i="3"/>
  <c r="J65" i="3" s="1"/>
  <c r="K64" i="3"/>
  <c r="K65" i="3" s="1"/>
  <c r="L64" i="3"/>
  <c r="L65" i="3" s="1"/>
  <c r="M64" i="3"/>
  <c r="M65" i="3" s="1"/>
  <c r="N64" i="3"/>
  <c r="N65" i="3" s="1"/>
  <c r="O64" i="3"/>
  <c r="O65" i="3" s="1"/>
  <c r="P64" i="3"/>
  <c r="P65" i="3" s="1"/>
  <c r="Q64" i="3"/>
  <c r="Q65" i="3" s="1"/>
  <c r="R64" i="3"/>
  <c r="R65" i="3" s="1"/>
  <c r="S64" i="3"/>
  <c r="S65" i="3" s="1"/>
  <c r="T64" i="3"/>
  <c r="T65" i="3" s="1"/>
  <c r="U64" i="3"/>
  <c r="U65" i="3" s="1"/>
  <c r="V64" i="3"/>
  <c r="V65" i="3" s="1"/>
  <c r="W64" i="3"/>
  <c r="W65" i="3" s="1"/>
  <c r="X64" i="3"/>
  <c r="X65" i="3" s="1"/>
  <c r="Y64" i="3"/>
  <c r="Y65" i="3" s="1"/>
  <c r="Z64" i="3"/>
  <c r="Z65" i="3" s="1"/>
  <c r="AA64" i="3"/>
  <c r="AA65" i="3" s="1"/>
  <c r="AB64" i="3"/>
  <c r="AB65" i="3" s="1"/>
  <c r="AC64" i="3"/>
  <c r="AC65" i="3" s="1"/>
  <c r="E64" i="3"/>
  <c r="E65" i="3" s="1"/>
  <c r="H54" i="3"/>
  <c r="F54" i="3"/>
  <c r="G54" i="3"/>
  <c r="I54" i="3"/>
  <c r="E54" i="3"/>
  <c r="AP29" i="7" s="1" a="1"/>
  <c r="AX17" i="7"/>
  <c r="AX18" i="7"/>
  <c r="AX19" i="7"/>
  <c r="AS17" i="7"/>
  <c r="AS18" i="7"/>
  <c r="E45" i="3"/>
  <c r="AS19" i="7" s="1"/>
  <c r="AU17" i="7"/>
  <c r="AV17" i="7"/>
  <c r="AW17" i="7"/>
  <c r="AU18" i="7"/>
  <c r="AV18" i="7"/>
  <c r="AW18" i="7"/>
  <c r="AU19" i="7"/>
  <c r="AV19" i="7"/>
  <c r="AW19" i="7"/>
  <c r="AT19" i="7"/>
  <c r="AT18" i="7"/>
  <c r="AT17" i="7"/>
  <c r="D70" i="3" l="1"/>
  <c r="C95" i="5"/>
  <c r="C97" i="5" s="1"/>
  <c r="C67" i="7" s="1"/>
  <c r="AP29" i="7"/>
  <c r="AA39" i="7"/>
  <c r="J66" i="3"/>
  <c r="E66" i="3"/>
  <c r="Y66" i="3"/>
  <c r="T66" i="3"/>
  <c r="O66" i="3"/>
  <c r="F46" i="3"/>
  <c r="AT20" i="7" s="1"/>
  <c r="AX20" i="7"/>
  <c r="I46" i="3"/>
  <c r="AW20" i="7" s="1"/>
  <c r="E46" i="3"/>
  <c r="AS20" i="7" s="1"/>
  <c r="H46" i="3"/>
  <c r="AV20" i="7" s="1"/>
  <c r="G46" i="3"/>
  <c r="AU20" i="7" s="1"/>
  <c r="D71" i="3" l="1"/>
  <c r="BG23" i="3"/>
  <c r="BG27" i="3"/>
  <c r="AX27" i="3"/>
  <c r="AY27" i="3" s="1"/>
  <c r="AZ27" i="3" s="1"/>
  <c r="AN27" i="3"/>
  <c r="AO27" i="3" s="1"/>
  <c r="AP27" i="3" s="1"/>
  <c r="AQ27" i="3" s="1"/>
  <c r="AD27" i="3"/>
  <c r="T27" i="3"/>
  <c r="U27" i="3" s="1"/>
  <c r="V27" i="3" s="1"/>
  <c r="J27" i="3"/>
  <c r="K27" i="3" s="1"/>
  <c r="L27" i="3" s="1"/>
  <c r="B33" i="3"/>
  <c r="BH27" i="3" l="1"/>
  <c r="AE27" i="3"/>
  <c r="BA27" i="3"/>
  <c r="BB27" i="3" s="1"/>
  <c r="AR27" i="3"/>
  <c r="W27" i="3"/>
  <c r="M27" i="3"/>
  <c r="N27" i="3" s="1"/>
  <c r="F21" i="3"/>
  <c r="AT3" i="7" s="1"/>
  <c r="G21" i="3"/>
  <c r="AU3" i="7" s="1"/>
  <c r="H21" i="3"/>
  <c r="AV3" i="7" s="1"/>
  <c r="I21" i="3"/>
  <c r="AW3" i="7" s="1"/>
  <c r="O21" i="3"/>
  <c r="AS5" i="7" s="1"/>
  <c r="P21" i="3"/>
  <c r="AT5" i="7" s="1"/>
  <c r="Q21" i="3"/>
  <c r="AU5" i="7" s="1"/>
  <c r="R21" i="3"/>
  <c r="AV5" i="7" s="1"/>
  <c r="S21" i="3"/>
  <c r="AW5" i="7" s="1"/>
  <c r="Y21" i="3"/>
  <c r="AS7" i="7" s="1"/>
  <c r="Z21" i="3"/>
  <c r="AT7" i="7" s="1"/>
  <c r="AA21" i="3"/>
  <c r="AU7" i="7" s="1"/>
  <c r="AB21" i="3"/>
  <c r="AV7" i="7" s="1"/>
  <c r="AC21" i="3"/>
  <c r="AW7" i="7" s="1"/>
  <c r="AI21" i="3"/>
  <c r="AS9" i="7" s="1"/>
  <c r="AJ21" i="3"/>
  <c r="AT9" i="7" s="1"/>
  <c r="AK21" i="3"/>
  <c r="AU9" i="7" s="1"/>
  <c r="AL21" i="3"/>
  <c r="AV9" i="7" s="1"/>
  <c r="AM21" i="3"/>
  <c r="AW9" i="7" s="1"/>
  <c r="AS21" i="3"/>
  <c r="AS11" i="7" s="1"/>
  <c r="AT21" i="3"/>
  <c r="AT11" i="7" s="1"/>
  <c r="AU21" i="3"/>
  <c r="AU11" i="7" s="1"/>
  <c r="AV21" i="3"/>
  <c r="AV11" i="7" s="1"/>
  <c r="AW21" i="3"/>
  <c r="AW11" i="7" s="1"/>
  <c r="E21" i="3"/>
  <c r="AS3" i="7" s="1"/>
  <c r="F32" i="3"/>
  <c r="G32" i="3"/>
  <c r="H32" i="3"/>
  <c r="I32" i="3"/>
  <c r="O32" i="3"/>
  <c r="P32" i="3"/>
  <c r="Q32" i="3"/>
  <c r="R32" i="3"/>
  <c r="S32" i="3"/>
  <c r="E32" i="3"/>
  <c r="BC23" i="3"/>
  <c r="BD23" i="3"/>
  <c r="BF23" i="3"/>
  <c r="BC27" i="3"/>
  <c r="BD27" i="3"/>
  <c r="BE27" i="3"/>
  <c r="BF27" i="3"/>
  <c r="D43" i="1"/>
  <c r="K36" i="1"/>
  <c r="K34" i="1"/>
  <c r="K35" i="1"/>
  <c r="I36" i="1"/>
  <c r="J36" i="1" s="1"/>
  <c r="I34" i="1"/>
  <c r="J34" i="1" s="1"/>
  <c r="G36" i="1"/>
  <c r="G35" i="1"/>
  <c r="X27" i="3" l="1"/>
  <c r="AF27" i="3"/>
  <c r="BI27" i="3"/>
  <c r="J32" i="3" a="1"/>
  <c r="T32" i="3" a="1"/>
  <c r="AS25" i="3"/>
  <c r="AI25" i="3"/>
  <c r="Y25" i="3"/>
  <c r="O25" i="3"/>
  <c r="E25" i="3"/>
  <c r="AT25" i="3"/>
  <c r="AJ25" i="3"/>
  <c r="Z25" i="3"/>
  <c r="P25" i="3"/>
  <c r="F25" i="3"/>
  <c r="AU25" i="3"/>
  <c r="AK25" i="3"/>
  <c r="AA25" i="3"/>
  <c r="Q25" i="3"/>
  <c r="G25" i="3"/>
  <c r="AK23" i="3"/>
  <c r="AA23" i="3"/>
  <c r="Q23" i="3"/>
  <c r="G23" i="3"/>
  <c r="X13" i="3"/>
  <c r="AB25" i="3"/>
  <c r="AC25" i="3"/>
  <c r="R25" i="3"/>
  <c r="T13" i="3"/>
  <c r="AI32" i="3" s="1"/>
  <c r="S25" i="3"/>
  <c r="H25" i="3"/>
  <c r="I25" i="3"/>
  <c r="F22" i="3"/>
  <c r="G22" i="3"/>
  <c r="H22" i="3"/>
  <c r="I22" i="3"/>
  <c r="O22" i="3"/>
  <c r="O24" i="3" s="1"/>
  <c r="O26" i="3" s="1"/>
  <c r="O28" i="3" s="1"/>
  <c r="P22" i="3"/>
  <c r="P24" i="3" s="1"/>
  <c r="Q22" i="3"/>
  <c r="R22" i="3"/>
  <c r="R24" i="3" s="1"/>
  <c r="S22" i="3"/>
  <c r="S24" i="3" s="1"/>
  <c r="Y22" i="3"/>
  <c r="Y24" i="3" s="1"/>
  <c r="Z22" i="3"/>
  <c r="Z24" i="3" s="1"/>
  <c r="AA22" i="3"/>
  <c r="AB22" i="3"/>
  <c r="AB24" i="3" s="1"/>
  <c r="AC22" i="3"/>
  <c r="AC24" i="3" s="1"/>
  <c r="AI22" i="3"/>
  <c r="AI24" i="3" s="1"/>
  <c r="AJ22" i="3"/>
  <c r="AJ24" i="3" s="1"/>
  <c r="AK22" i="3"/>
  <c r="AL22" i="3"/>
  <c r="AL24" i="3" s="1"/>
  <c r="AM22" i="3"/>
  <c r="AM24" i="3" s="1"/>
  <c r="AS22" i="3"/>
  <c r="AT22" i="3"/>
  <c r="AT24" i="3" s="1"/>
  <c r="AU22" i="3"/>
  <c r="AU24" i="3" s="1"/>
  <c r="AV22" i="3"/>
  <c r="AV24" i="3" s="1"/>
  <c r="AW22" i="3"/>
  <c r="AW24" i="3" s="1"/>
  <c r="E22" i="3"/>
  <c r="T14" i="3"/>
  <c r="E33" i="3"/>
  <c r="G15" i="3"/>
  <c r="H15" i="3"/>
  <c r="I15" i="3"/>
  <c r="J15" i="3"/>
  <c r="K15" i="3"/>
  <c r="L15" i="3"/>
  <c r="M15" i="3"/>
  <c r="N15" i="3"/>
  <c r="F16" i="3"/>
  <c r="F33" i="3" s="1"/>
  <c r="G16" i="3"/>
  <c r="G33" i="3" s="1"/>
  <c r="H16" i="3"/>
  <c r="H33" i="3" s="1"/>
  <c r="I16" i="3"/>
  <c r="I33" i="3" s="1"/>
  <c r="J16" i="3"/>
  <c r="O33" i="3" s="1"/>
  <c r="K16" i="3"/>
  <c r="P33" i="3" s="1"/>
  <c r="L16" i="3"/>
  <c r="Q33" i="3" s="1"/>
  <c r="M16" i="3"/>
  <c r="R33" i="3" s="1"/>
  <c r="N16" i="3"/>
  <c r="S33" i="3" s="1"/>
  <c r="Y14" i="3"/>
  <c r="Z13" i="3"/>
  <c r="Y13" i="3"/>
  <c r="AS32" i="3" s="1"/>
  <c r="Z14" i="3"/>
  <c r="U14" i="3"/>
  <c r="U13" i="3"/>
  <c r="O14" i="3"/>
  <c r="P14" i="3"/>
  <c r="P13" i="3"/>
  <c r="O13" i="3"/>
  <c r="Y32" i="3" s="1"/>
  <c r="AC14" i="3"/>
  <c r="X14" i="3"/>
  <c r="S14" i="3"/>
  <c r="W14" i="3"/>
  <c r="AB14" i="3"/>
  <c r="R14" i="3"/>
  <c r="Q14" i="3"/>
  <c r="AA14" i="3"/>
  <c r="V14" i="3"/>
  <c r="Q13" i="3"/>
  <c r="AA32" i="3" s="1"/>
  <c r="AA13" i="3"/>
  <c r="V13" i="3"/>
  <c r="R13" i="3"/>
  <c r="AB32" i="3" s="1"/>
  <c r="AB13" i="3"/>
  <c r="W13" i="3"/>
  <c r="AL32" i="3" s="1"/>
  <c r="AC13" i="3"/>
  <c r="AW32" i="3" s="1"/>
  <c r="S13" i="3"/>
  <c r="AC32" i="3" s="1"/>
  <c r="AJ26" i="3" l="1"/>
  <c r="AJ28" i="3" s="1"/>
  <c r="E35" i="3"/>
  <c r="AQ7" i="7" a="1"/>
  <c r="AS35" i="3"/>
  <c r="AQ2" i="7" a="1"/>
  <c r="AQ2" i="7" s="1"/>
  <c r="R5" i="7" s="1"/>
  <c r="O35" i="3"/>
  <c r="Y35" i="3"/>
  <c r="AS24" i="3"/>
  <c r="AI35" i="3"/>
  <c r="AK24" i="3"/>
  <c r="AK26" i="3" s="1"/>
  <c r="AK28" i="3" s="1"/>
  <c r="T33" i="3" a="1"/>
  <c r="T33" i="3" s="1"/>
  <c r="J33" i="3" a="1"/>
  <c r="M22" i="3" s="1"/>
  <c r="M23" i="3" s="1"/>
  <c r="BG25" i="3"/>
  <c r="T32" i="3"/>
  <c r="BJ27" i="3"/>
  <c r="AG27" i="3"/>
  <c r="BK27" i="3" s="1"/>
  <c r="J32" i="3"/>
  <c r="S26" i="3"/>
  <c r="S28" i="3" s="1"/>
  <c r="BC32" i="3"/>
  <c r="AT26" i="3"/>
  <c r="AT28" i="3" s="1"/>
  <c r="T15" i="3"/>
  <c r="AQ17" i="7" s="1" a="1"/>
  <c r="AQ17" i="7" s="1"/>
  <c r="R10" i="7" s="1"/>
  <c r="Z16" i="3"/>
  <c r="AT33" i="3" s="1"/>
  <c r="AT32" i="3"/>
  <c r="P15" i="3"/>
  <c r="AC16" i="3"/>
  <c r="AW33" i="3" s="1"/>
  <c r="X15" i="3"/>
  <c r="AM32" i="3"/>
  <c r="BG32" i="3" s="1"/>
  <c r="P16" i="3"/>
  <c r="Z33" i="3" s="1"/>
  <c r="Z32" i="3"/>
  <c r="AD32" i="3" s="1" a="1"/>
  <c r="AB16" i="3"/>
  <c r="AV33" i="3" s="1"/>
  <c r="AV32" i="3"/>
  <c r="BF32" i="3" s="1"/>
  <c r="T16" i="3"/>
  <c r="AI33" i="3" s="1"/>
  <c r="AI26" i="3"/>
  <c r="AI28" i="3" s="1"/>
  <c r="Q24" i="3"/>
  <c r="Q26" i="3" s="1"/>
  <c r="Q28" i="3" s="1"/>
  <c r="AW26" i="3"/>
  <c r="AW28" i="3" s="1"/>
  <c r="V16" i="3"/>
  <c r="AK33" i="3" s="1"/>
  <c r="AK32" i="3"/>
  <c r="U16" i="3"/>
  <c r="AJ33" i="3" s="1"/>
  <c r="AJ32" i="3"/>
  <c r="AA15" i="3"/>
  <c r="AU32" i="3"/>
  <c r="AC15" i="3"/>
  <c r="P26" i="3"/>
  <c r="P28" i="3" s="1"/>
  <c r="Z15" i="3"/>
  <c r="AB26" i="3"/>
  <c r="AB28" i="3" s="1"/>
  <c r="AV26" i="3"/>
  <c r="AV28" i="3" s="1"/>
  <c r="O15" i="3"/>
  <c r="AS26" i="3"/>
  <c r="AS28" i="3" s="1"/>
  <c r="W15" i="3"/>
  <c r="R15" i="3"/>
  <c r="U15" i="3"/>
  <c r="Q15" i="3"/>
  <c r="AA24" i="3"/>
  <c r="AA26" i="3" s="1"/>
  <c r="AA28" i="3" s="1"/>
  <c r="BE23" i="3"/>
  <c r="S15" i="3"/>
  <c r="V15" i="3"/>
  <c r="Y15" i="3"/>
  <c r="AM26" i="3"/>
  <c r="AM28" i="3" s="1"/>
  <c r="AB15" i="3"/>
  <c r="Z26" i="3"/>
  <c r="Z28" i="3" s="1"/>
  <c r="BF22" i="3"/>
  <c r="H24" i="3"/>
  <c r="BD25" i="3"/>
  <c r="AA16" i="3"/>
  <c r="AU33" i="3" s="1"/>
  <c r="S16" i="3"/>
  <c r="AC33" i="3" s="1"/>
  <c r="AL26" i="3"/>
  <c r="AL28" i="3" s="1"/>
  <c r="Y26" i="3"/>
  <c r="Y28" i="3" s="1"/>
  <c r="BE22" i="3"/>
  <c r="G24" i="3"/>
  <c r="F24" i="3"/>
  <c r="BD22" i="3"/>
  <c r="Y16" i="3"/>
  <c r="AS33" i="3" s="1"/>
  <c r="Q16" i="3"/>
  <c r="AA33" i="3" s="1"/>
  <c r="R26" i="3"/>
  <c r="R28" i="3" s="1"/>
  <c r="BE25" i="3"/>
  <c r="BG22" i="3"/>
  <c r="I24" i="3"/>
  <c r="BG24" i="3" s="1"/>
  <c r="BF25" i="3"/>
  <c r="R16" i="3"/>
  <c r="AB33" i="3" s="1"/>
  <c r="E24" i="3"/>
  <c r="BC22" i="3"/>
  <c r="X16" i="3"/>
  <c r="AM33" i="3" s="1"/>
  <c r="W16" i="3"/>
  <c r="AL33" i="3" s="1"/>
  <c r="O16" i="3"/>
  <c r="Y33" i="3" s="1"/>
  <c r="AU26" i="3"/>
  <c r="AU28" i="3" s="1"/>
  <c r="AC26" i="3"/>
  <c r="BC25" i="3"/>
  <c r="E10" i="1"/>
  <c r="B42" i="1"/>
  <c r="F29" i="1"/>
  <c r="F28" i="1"/>
  <c r="G34" i="1"/>
  <c r="H34" i="1"/>
  <c r="H35" i="1"/>
  <c r="I35" i="1"/>
  <c r="J35" i="1"/>
  <c r="H36" i="1"/>
  <c r="F35" i="1"/>
  <c r="F34" i="1"/>
  <c r="F24" i="1"/>
  <c r="G24" i="1" s="1"/>
  <c r="H24" i="1" s="1"/>
  <c r="I24" i="1" s="1"/>
  <c r="J24" i="1" s="1"/>
  <c r="K24" i="1" s="1"/>
  <c r="F19" i="1"/>
  <c r="G19" i="1" s="1"/>
  <c r="H19" i="1" s="1"/>
  <c r="I19" i="1" s="1"/>
  <c r="J19" i="1" s="1"/>
  <c r="K19" i="1" s="1"/>
  <c r="F27" i="1"/>
  <c r="AQ12" i="7" l="1" a="1"/>
  <c r="AQ7" i="7"/>
  <c r="V5" i="7"/>
  <c r="AQ22" i="7" a="1"/>
  <c r="T22" i="3"/>
  <c r="T23" i="3" s="1"/>
  <c r="BF33" i="3"/>
  <c r="L22" i="3"/>
  <c r="U22" i="3"/>
  <c r="W22" i="3"/>
  <c r="AN32" i="3" a="1"/>
  <c r="AN32" i="3" s="1"/>
  <c r="AH27" i="3"/>
  <c r="BL27" i="3" s="1"/>
  <c r="V22" i="3"/>
  <c r="X22" i="3"/>
  <c r="X23" i="3" s="1"/>
  <c r="BD33" i="3"/>
  <c r="BE33" i="3"/>
  <c r="BG33" i="3"/>
  <c r="BE32" i="3"/>
  <c r="AX33" i="3" a="1"/>
  <c r="AX33" i="3" s="1"/>
  <c r="AN33" i="3" a="1"/>
  <c r="AN33" i="3" s="1"/>
  <c r="BD32" i="3"/>
  <c r="J33" i="3"/>
  <c r="J22" i="3" s="1"/>
  <c r="J23" i="3" s="1"/>
  <c r="K22" i="3"/>
  <c r="AD33" i="3" a="1"/>
  <c r="AD33" i="3" s="1"/>
  <c r="N22" i="3"/>
  <c r="BC33" i="3"/>
  <c r="M24" i="3"/>
  <c r="AC28" i="3"/>
  <c r="AD32" i="3"/>
  <c r="AX32" i="3" a="1"/>
  <c r="I26" i="3"/>
  <c r="BG26" i="3" s="1"/>
  <c r="F26" i="3"/>
  <c r="BD24" i="3"/>
  <c r="H26" i="3"/>
  <c r="BF24" i="3"/>
  <c r="G26" i="3"/>
  <c r="BE24" i="3"/>
  <c r="E26" i="3"/>
  <c r="F31" i="1"/>
  <c r="G31" i="1" s="1"/>
  <c r="H31" i="1" s="1"/>
  <c r="I31" i="1" s="1"/>
  <c r="J31" i="1" s="1"/>
  <c r="K31" i="1" s="1"/>
  <c r="E6" i="1"/>
  <c r="E8" i="1" s="1"/>
  <c r="F8" i="1" s="1"/>
  <c r="G8" i="1" s="1"/>
  <c r="H8" i="1" s="1"/>
  <c r="I8" i="1" s="1"/>
  <c r="J8" i="1" s="1"/>
  <c r="K8" i="1" s="1"/>
  <c r="F6" i="1"/>
  <c r="C7" i="2"/>
  <c r="C8" i="2"/>
  <c r="C9" i="2"/>
  <c r="C10" i="2"/>
  <c r="C11" i="2"/>
  <c r="C12" i="2"/>
  <c r="C13" i="2"/>
  <c r="C14" i="2"/>
  <c r="C15" i="2"/>
  <c r="C16" i="2"/>
  <c r="C17" i="2"/>
  <c r="C18" i="2"/>
  <c r="C19" i="2"/>
  <c r="C20" i="2"/>
  <c r="C21" i="2"/>
  <c r="C22" i="2"/>
  <c r="C23" i="2"/>
  <c r="C6" i="2"/>
  <c r="D24" i="2"/>
  <c r="D7" i="1" s="1"/>
  <c r="AQ22" i="7" l="1"/>
  <c r="V10" i="7"/>
  <c r="AQ12" i="7"/>
  <c r="X5" i="7"/>
  <c r="T24" i="3"/>
  <c r="T25" i="3" s="1"/>
  <c r="T26" i="3" s="1"/>
  <c r="T28" i="3" s="1"/>
  <c r="L23" i="3"/>
  <c r="L24" i="3" s="1"/>
  <c r="N23" i="3"/>
  <c r="N24" i="3" s="1"/>
  <c r="K23" i="3"/>
  <c r="K24" i="3" s="1"/>
  <c r="M25" i="3"/>
  <c r="V23" i="3"/>
  <c r="V24" i="3" s="1"/>
  <c r="W23" i="3"/>
  <c r="W24" i="3" s="1"/>
  <c r="U23" i="3"/>
  <c r="U24" i="3" s="1"/>
  <c r="X24" i="3"/>
  <c r="BK32" i="3"/>
  <c r="AH22" i="3"/>
  <c r="AH23" i="3" s="1"/>
  <c r="AG22" i="3"/>
  <c r="AG23" i="3" s="1"/>
  <c r="AF22" i="3"/>
  <c r="AF23" i="3" s="1"/>
  <c r="AQ22" i="3"/>
  <c r="AP22" i="3"/>
  <c r="AR22" i="3"/>
  <c r="BJ33" i="3"/>
  <c r="AO22" i="3"/>
  <c r="BK33" i="3"/>
  <c r="AN22" i="3"/>
  <c r="AN23" i="3" s="1"/>
  <c r="BL33" i="3"/>
  <c r="BI33" i="3"/>
  <c r="AE22" i="3"/>
  <c r="AE23" i="3" s="1"/>
  <c r="BH33" i="3"/>
  <c r="BL32" i="3"/>
  <c r="AX32" i="3"/>
  <c r="AX22" i="3" s="1"/>
  <c r="AY22" i="3"/>
  <c r="AZ22" i="3"/>
  <c r="BA22" i="3"/>
  <c r="BB22" i="3"/>
  <c r="BJ32" i="3"/>
  <c r="BI32" i="3"/>
  <c r="AD22" i="3"/>
  <c r="AD23" i="3" s="1"/>
  <c r="H28" i="3"/>
  <c r="R29" i="3" s="1"/>
  <c r="BF26" i="3"/>
  <c r="BF28" i="3" s="1"/>
  <c r="F28" i="3"/>
  <c r="P29" i="3" s="1"/>
  <c r="BD26" i="3"/>
  <c r="BD28" i="3" s="1"/>
  <c r="G28" i="3"/>
  <c r="Q29" i="3" s="1"/>
  <c r="BE26" i="3"/>
  <c r="BE28" i="3" s="1"/>
  <c r="I28" i="3"/>
  <c r="I29" i="3" s="1"/>
  <c r="E28" i="3"/>
  <c r="BC26" i="3"/>
  <c r="BC28" i="3" s="1"/>
  <c r="G6" i="1"/>
  <c r="H6" i="1" s="1"/>
  <c r="I6" i="1" s="1"/>
  <c r="J6" i="1" s="1"/>
  <c r="K6" i="1" s="1"/>
  <c r="K10" i="1" s="1"/>
  <c r="K12" i="1" s="1"/>
  <c r="K42" i="1" s="1"/>
  <c r="K44" i="1" s="1"/>
  <c r="K46" i="1" s="1"/>
  <c r="F10" i="1"/>
  <c r="T29" i="3" l="1"/>
  <c r="O29" i="3"/>
  <c r="E29" i="3"/>
  <c r="S29" i="3"/>
  <c r="F12" i="1"/>
  <c r="C14" i="7"/>
  <c r="D4" i="7"/>
  <c r="W25" i="3"/>
  <c r="U25" i="3"/>
  <c r="U26" i="3" s="1"/>
  <c r="U28" i="3" s="1"/>
  <c r="V25" i="3"/>
  <c r="V26" i="3" s="1"/>
  <c r="V28" i="3" s="1"/>
  <c r="X25" i="3"/>
  <c r="X26" i="3" s="1"/>
  <c r="X28" i="3" s="1"/>
  <c r="K25" i="3"/>
  <c r="N25" i="3"/>
  <c r="L25" i="3"/>
  <c r="M26" i="3"/>
  <c r="M28" i="3" s="1"/>
  <c r="AY23" i="3"/>
  <c r="AY24" i="3" s="1"/>
  <c r="AX23" i="3"/>
  <c r="AX24" i="3" s="1"/>
  <c r="BA23" i="3"/>
  <c r="BA24" i="3" s="1"/>
  <c r="AZ23" i="3"/>
  <c r="AZ24" i="3" s="1"/>
  <c r="BB23" i="3"/>
  <c r="BB24" i="3" s="1"/>
  <c r="AR23" i="3"/>
  <c r="AR24" i="3" s="1"/>
  <c r="AO23" i="3"/>
  <c r="AO24" i="3" s="1"/>
  <c r="AP23" i="3"/>
  <c r="AQ23" i="3"/>
  <c r="BK23" i="3" s="1"/>
  <c r="AN24" i="3"/>
  <c r="J24" i="3"/>
  <c r="J35" i="3"/>
  <c r="BK22" i="3"/>
  <c r="BL22" i="3"/>
  <c r="BG28" i="3"/>
  <c r="BI22" i="3"/>
  <c r="BH32" i="3"/>
  <c r="BJ22" i="3"/>
  <c r="AF24" i="3"/>
  <c r="AF25" i="3" s="1"/>
  <c r="BH22" i="3"/>
  <c r="AH24" i="3"/>
  <c r="AH25" i="3" s="1"/>
  <c r="AG24" i="3"/>
  <c r="AG25" i="3" s="1"/>
  <c r="AE24" i="3"/>
  <c r="AE25" i="3" s="1"/>
  <c r="F30" i="3"/>
  <c r="AT30" i="3"/>
  <c r="AJ29" i="3"/>
  <c r="AT29" i="3"/>
  <c r="F29" i="3"/>
  <c r="Z29" i="3"/>
  <c r="AJ30" i="3"/>
  <c r="Z30" i="3"/>
  <c r="AM30" i="3"/>
  <c r="AW29" i="3"/>
  <c r="I30" i="3"/>
  <c r="AW30" i="3"/>
  <c r="AC30" i="3"/>
  <c r="AM29" i="3"/>
  <c r="AC29" i="3"/>
  <c r="AK29" i="3"/>
  <c r="AK30" i="3"/>
  <c r="G30" i="3"/>
  <c r="AA30" i="3"/>
  <c r="G29" i="3"/>
  <c r="AU30" i="3"/>
  <c r="AU29" i="3"/>
  <c r="AA29" i="3"/>
  <c r="Q30" i="3"/>
  <c r="E30" i="3"/>
  <c r="AI29" i="3"/>
  <c r="AS30" i="3"/>
  <c r="AS29" i="3"/>
  <c r="AI30" i="3"/>
  <c r="Y29" i="3"/>
  <c r="Y30" i="3"/>
  <c r="AV30" i="3"/>
  <c r="AL29" i="3"/>
  <c r="AV29" i="3"/>
  <c r="AB29" i="3"/>
  <c r="AB30" i="3"/>
  <c r="H29" i="3"/>
  <c r="H30" i="3"/>
  <c r="AL30" i="3"/>
  <c r="G10" i="1"/>
  <c r="BH23" i="3" l="1"/>
  <c r="BI23" i="3"/>
  <c r="G12" i="1"/>
  <c r="D14" i="7"/>
  <c r="F42" i="1"/>
  <c r="F44" i="1" s="1"/>
  <c r="F46" i="1" s="1"/>
  <c r="C25" i="7" s="1"/>
  <c r="C15" i="7"/>
  <c r="D5" i="7"/>
  <c r="AZ25" i="3"/>
  <c r="AZ26" i="3" s="1"/>
  <c r="AZ28" i="3" s="1"/>
  <c r="BL23" i="3"/>
  <c r="BA25" i="3"/>
  <c r="BA26" i="3" s="1"/>
  <c r="BA28" i="3" s="1"/>
  <c r="BB25" i="3"/>
  <c r="AX25" i="3"/>
  <c r="AX26" i="3" s="1"/>
  <c r="AX28" i="3" s="1"/>
  <c r="AX30" i="3" s="1"/>
  <c r="AY25" i="3"/>
  <c r="AY26" i="3" s="1"/>
  <c r="AY28" i="3" s="1"/>
  <c r="AN25" i="3"/>
  <c r="AN26" i="3" s="1"/>
  <c r="AN28" i="3" s="1"/>
  <c r="AR25" i="3"/>
  <c r="AR26" i="3" s="1"/>
  <c r="AR28" i="3" s="1"/>
  <c r="AN35" i="3"/>
  <c r="AO25" i="3"/>
  <c r="BI25" i="3" s="1"/>
  <c r="W26" i="3"/>
  <c r="W28" i="3" s="1"/>
  <c r="J25" i="3"/>
  <c r="L26" i="3"/>
  <c r="L28" i="3" s="1"/>
  <c r="N26" i="3"/>
  <c r="N28" i="3" s="1"/>
  <c r="K26" i="3"/>
  <c r="K28" i="3" s="1"/>
  <c r="BJ23" i="3"/>
  <c r="AP24" i="3"/>
  <c r="AQ24" i="3"/>
  <c r="BK24" i="3" s="1"/>
  <c r="AS31" i="3"/>
  <c r="AS12" i="7" s="1"/>
  <c r="AF26" i="3"/>
  <c r="AF28" i="3" s="1"/>
  <c r="AA31" i="3"/>
  <c r="AU8" i="7" s="1"/>
  <c r="AU31" i="3"/>
  <c r="AU12" i="7" s="1"/>
  <c r="AW31" i="3"/>
  <c r="AW12" i="7" s="1"/>
  <c r="AC31" i="3"/>
  <c r="AW8" i="7" s="1"/>
  <c r="AG26" i="3"/>
  <c r="AM31" i="3"/>
  <c r="AW10" i="7" s="1"/>
  <c r="Z31" i="3"/>
  <c r="AT8" i="7" s="1"/>
  <c r="AD24" i="3"/>
  <c r="AD25" i="3" s="1"/>
  <c r="Y31" i="3"/>
  <c r="AS8" i="7" s="1"/>
  <c r="AB31" i="3"/>
  <c r="AV8" i="7" s="1"/>
  <c r="AE26" i="3"/>
  <c r="BI24" i="3"/>
  <c r="AV31" i="3"/>
  <c r="AV12" i="7" s="1"/>
  <c r="AI31" i="3"/>
  <c r="AS10" i="7" s="1"/>
  <c r="AT31" i="3"/>
  <c r="AT12" i="7" s="1"/>
  <c r="AH26" i="3"/>
  <c r="BL24" i="3"/>
  <c r="AK31" i="3"/>
  <c r="AU10" i="7" s="1"/>
  <c r="AL31" i="3"/>
  <c r="AV10" i="7" s="1"/>
  <c r="Q31" i="3"/>
  <c r="AU6" i="7" s="1"/>
  <c r="AJ31" i="3"/>
  <c r="AT10" i="7" s="1"/>
  <c r="I31" i="3"/>
  <c r="AW4" i="7" s="1"/>
  <c r="G31" i="3"/>
  <c r="AU4" i="7" s="1"/>
  <c r="F31" i="3"/>
  <c r="AT4" i="7" s="1"/>
  <c r="O30" i="3"/>
  <c r="BC30" i="3" s="1"/>
  <c r="E31" i="3"/>
  <c r="AS4" i="7" s="1"/>
  <c r="BE30" i="3"/>
  <c r="S30" i="3"/>
  <c r="H31" i="3"/>
  <c r="AV4" i="7" s="1"/>
  <c r="R30" i="3"/>
  <c r="BE29" i="3"/>
  <c r="P30" i="3"/>
  <c r="BD30" i="3" s="1"/>
  <c r="H10" i="1"/>
  <c r="BL25" i="3" l="1"/>
  <c r="BH25" i="3"/>
  <c r="AO26" i="3"/>
  <c r="AO28" i="3" s="1"/>
  <c r="H12" i="1"/>
  <c r="E14" i="7"/>
  <c r="G42" i="1"/>
  <c r="G44" i="1" s="1"/>
  <c r="G46" i="1" s="1"/>
  <c r="D25" i="7" s="1"/>
  <c r="D15" i="7"/>
  <c r="AY30" i="3"/>
  <c r="AZ30" i="3" s="1"/>
  <c r="BA30" i="3" s="1"/>
  <c r="BB26" i="3"/>
  <c r="BB28" i="3" s="1"/>
  <c r="AX29" i="3"/>
  <c r="AY29" i="3" s="1"/>
  <c r="AN30" i="3"/>
  <c r="AN29" i="3"/>
  <c r="AQ25" i="3"/>
  <c r="BK25" i="3" s="1"/>
  <c r="AP25" i="3"/>
  <c r="BJ25" i="3" s="1"/>
  <c r="J26" i="3"/>
  <c r="J28" i="3" s="1"/>
  <c r="J29" i="3" s="1"/>
  <c r="K29" i="3" s="1"/>
  <c r="L29" i="3" s="1"/>
  <c r="BJ24" i="3"/>
  <c r="P31" i="3"/>
  <c r="AT6" i="7" s="1"/>
  <c r="BI26" i="3"/>
  <c r="AE28" i="3"/>
  <c r="BI28" i="3" s="1"/>
  <c r="AG28" i="3"/>
  <c r="AH28" i="3"/>
  <c r="BL28" i="3" s="1"/>
  <c r="BL26" i="3"/>
  <c r="BF29" i="3"/>
  <c r="R31" i="3"/>
  <c r="AV6" i="7" s="1"/>
  <c r="BH24" i="3"/>
  <c r="AD26" i="3"/>
  <c r="BE31" i="3"/>
  <c r="AU14" i="7" s="1"/>
  <c r="O31" i="3"/>
  <c r="AS6" i="7" s="1"/>
  <c r="BG30" i="3"/>
  <c r="T30" i="3"/>
  <c r="BG29" i="3"/>
  <c r="S31" i="3"/>
  <c r="BD29" i="3"/>
  <c r="BD31" i="3" s="1"/>
  <c r="AT14" i="7" s="1"/>
  <c r="BF30" i="3"/>
  <c r="BC29" i="3"/>
  <c r="BC31" i="3" s="1"/>
  <c r="AS14" i="7" s="1"/>
  <c r="J10" i="1"/>
  <c r="I10" i="1"/>
  <c r="AO30" i="3" l="1"/>
  <c r="AO31" i="3" s="1"/>
  <c r="AY10" i="7" s="1"/>
  <c r="AO29" i="3"/>
  <c r="BB30" i="3"/>
  <c r="AN31" i="3"/>
  <c r="AX10" i="7" s="1"/>
  <c r="AX31" i="3"/>
  <c r="AX12" i="7" s="1"/>
  <c r="BG31" i="3"/>
  <c r="AW14" i="7" s="1"/>
  <c r="AW6" i="7"/>
  <c r="I12" i="1"/>
  <c r="F14" i="7"/>
  <c r="J12" i="1"/>
  <c r="G14" i="7"/>
  <c r="H42" i="1"/>
  <c r="H44" i="1" s="1"/>
  <c r="H46" i="1" s="1"/>
  <c r="E25" i="7" s="1"/>
  <c r="E15" i="7"/>
  <c r="AP26" i="3"/>
  <c r="AQ26" i="3"/>
  <c r="J30" i="3"/>
  <c r="BF31" i="3"/>
  <c r="AV14" i="7" s="1"/>
  <c r="BH26" i="3"/>
  <c r="AD28" i="3"/>
  <c r="AY31" i="3"/>
  <c r="AY12" i="7" s="1"/>
  <c r="AZ29" i="3"/>
  <c r="U29" i="3"/>
  <c r="T31" i="3"/>
  <c r="AX6" i="7" s="1"/>
  <c r="U30" i="3"/>
  <c r="K30" i="3" l="1"/>
  <c r="L30" i="3" s="1"/>
  <c r="M30" i="3" s="1"/>
  <c r="N30" i="3" s="1"/>
  <c r="I42" i="1"/>
  <c r="I44" i="1" s="1"/>
  <c r="I46" i="1" s="1"/>
  <c r="F25" i="7" s="1"/>
  <c r="F15" i="7"/>
  <c r="J42" i="1"/>
  <c r="J44" i="1" s="1"/>
  <c r="J46" i="1" s="1"/>
  <c r="G25" i="7" s="1"/>
  <c r="G15" i="7"/>
  <c r="AP28" i="3"/>
  <c r="BJ26" i="3"/>
  <c r="AQ28" i="3"/>
  <c r="BK28" i="3" s="1"/>
  <c r="BK26" i="3"/>
  <c r="J31" i="3"/>
  <c r="AX4" i="7" s="1"/>
  <c r="AZ31" i="3"/>
  <c r="AZ12" i="7" s="1"/>
  <c r="BA29" i="3"/>
  <c r="BH28" i="3"/>
  <c r="AD29" i="3"/>
  <c r="AD30" i="3"/>
  <c r="U31" i="3"/>
  <c r="AY6" i="7" s="1"/>
  <c r="V29" i="3"/>
  <c r="V30" i="3"/>
  <c r="K31" i="3" l="1"/>
  <c r="AY4" i="7" s="1"/>
  <c r="AP30" i="3"/>
  <c r="AQ30" i="3" s="1"/>
  <c r="AR30" i="3" s="1"/>
  <c r="BJ28" i="3"/>
  <c r="AP29" i="3"/>
  <c r="AQ29" i="3" s="1"/>
  <c r="AR29" i="3" s="1"/>
  <c r="L31" i="3"/>
  <c r="AZ4" i="7" s="1"/>
  <c r="M29" i="3"/>
  <c r="AD31" i="3"/>
  <c r="AE29" i="3"/>
  <c r="BH29" i="3"/>
  <c r="BB29" i="3"/>
  <c r="BB31" i="3" s="1"/>
  <c r="BB12" i="7" s="1"/>
  <c r="BA31" i="3"/>
  <c r="BA12" i="7" s="1"/>
  <c r="AE30" i="3"/>
  <c r="BH30" i="3"/>
  <c r="W30" i="3"/>
  <c r="W29" i="3"/>
  <c r="V31" i="3"/>
  <c r="AZ6" i="7" s="1"/>
  <c r="AQ31" i="3" l="1"/>
  <c r="BA10" i="7" s="1"/>
  <c r="BH31" i="3"/>
  <c r="AX14" i="7" s="1"/>
  <c r="AX8" i="7"/>
  <c r="AP31" i="3"/>
  <c r="AZ10" i="7" s="1"/>
  <c r="AR31" i="3"/>
  <c r="BB10" i="7" s="1"/>
  <c r="N29" i="3"/>
  <c r="N31" i="3" s="1"/>
  <c r="BB4" i="7" s="1"/>
  <c r="M31" i="3"/>
  <c r="BA4" i="7" s="1"/>
  <c r="AF30" i="3"/>
  <c r="BI30" i="3"/>
  <c r="AE31" i="3"/>
  <c r="AF29" i="3"/>
  <c r="BI29" i="3"/>
  <c r="W31" i="3"/>
  <c r="BA6" i="7" s="1"/>
  <c r="X29" i="3"/>
  <c r="X30" i="3"/>
  <c r="BI31" i="3" l="1"/>
  <c r="AY14" i="7" s="1"/>
  <c r="AY8" i="7"/>
  <c r="AG30" i="3"/>
  <c r="BJ30" i="3"/>
  <c r="AG29" i="3"/>
  <c r="AF31" i="3"/>
  <c r="BJ29" i="3"/>
  <c r="X31" i="3"/>
  <c r="BB6" i="7" s="1"/>
  <c r="BJ31" i="3" l="1"/>
  <c r="AZ14" i="7" s="1"/>
  <c r="AZ8" i="7"/>
  <c r="AH29" i="3"/>
  <c r="AG31" i="3"/>
  <c r="BK29" i="3"/>
  <c r="AH30" i="3"/>
  <c r="BL30" i="3" s="1"/>
  <c r="BK30" i="3"/>
  <c r="BK31" i="3" l="1"/>
  <c r="BA14" i="7" s="1"/>
  <c r="BA8" i="7"/>
  <c r="AH31" i="3"/>
  <c r="BL29" i="3"/>
  <c r="BL31" i="3" l="1"/>
  <c r="BB14" i="7" s="1"/>
  <c r="BB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<sst xmlns="http://schemas.openxmlformats.org/spreadsheetml/2006/main" count="459" uniqueCount="321">
  <si>
    <t>Static Value</t>
  </si>
  <si>
    <t>Assumptions</t>
  </si>
  <si>
    <t>Description</t>
  </si>
  <si>
    <t>Population</t>
  </si>
  <si>
    <t>Population Growth Rate</t>
  </si>
  <si>
    <t>Per Capita Ice Cream Consumption (liter)</t>
  </si>
  <si>
    <t>Growth Rate</t>
  </si>
  <si>
    <t>Market Size in Litres (Millions)</t>
  </si>
  <si>
    <t>Market size (PKR Millions)</t>
  </si>
  <si>
    <t>Population of Pakistan (2025 and historical)</t>
  </si>
  <si>
    <t>Year</t>
  </si>
  <si>
    <t>Yearly %</t>
  </si>
  <si>
    <t>Change</t>
  </si>
  <si>
    <t>Yearly</t>
  </si>
  <si>
    <t>Migrants</t>
  </si>
  <si>
    <t>(net)</t>
  </si>
  <si>
    <t>Median</t>
  </si>
  <si>
    <t>Age</t>
  </si>
  <si>
    <t>Fertility</t>
  </si>
  <si>
    <t>Rate</t>
  </si>
  <si>
    <t>Density</t>
  </si>
  <si>
    <t>(P/Km²)</t>
  </si>
  <si>
    <t>Urban</t>
  </si>
  <si>
    <t>Pop %</t>
  </si>
  <si>
    <t>Country's</t>
  </si>
  <si>
    <t>Share of</t>
  </si>
  <si>
    <t>World Pop</t>
  </si>
  <si>
    <t>World</t>
  </si>
  <si>
    <t>Pakistan</t>
  </si>
  <si>
    <t>Global</t>
  </si>
  <si>
    <t>Rank</t>
  </si>
  <si>
    <t>−1,235,336</t>
  </si>
  <si>
    <t>−1,401,173</t>
  </si>
  <si>
    <t>−1,619,557</t>
  </si>
  <si>
    <t>−1,322,625</t>
  </si>
  <si>
    <t>−559,291</t>
  </si>
  <si>
    <t>−2,172,162</t>
  </si>
  <si>
    <t>−431,902</t>
  </si>
  <si>
    <t>−189,899</t>
  </si>
  <si>
    <t>−1,710</t>
  </si>
  <si>
    <t>−58,281</t>
  </si>
  <si>
    <t>−62,070</t>
  </si>
  <si>
    <t>Link: https://www.worldometers.info/world-population/pakistan-population/</t>
  </si>
  <si>
    <t>Average Growth</t>
  </si>
  <si>
    <t>Population in Millions</t>
  </si>
  <si>
    <t>2023 Market size
https://profit.pakistantoday.com.pk/2024/06/24/walls-rules-pakistans-ice-cream-economy-with-an-iron-fist-could-omore-have-an-opening-this-year/</t>
  </si>
  <si>
    <t>Population (in Millions)</t>
  </si>
  <si>
    <t>Luxury Items</t>
  </si>
  <si>
    <t>Haagen Dazs</t>
  </si>
  <si>
    <t>Baskin Robbins</t>
  </si>
  <si>
    <t>Average luxury Items Prices</t>
  </si>
  <si>
    <t>Mid Tier</t>
  </si>
  <si>
    <t>Economical</t>
  </si>
  <si>
    <t>Average Economical Items Prices</t>
  </si>
  <si>
    <t>Income Tiers Weightage</t>
  </si>
  <si>
    <t>Luxury</t>
  </si>
  <si>
    <t>https://www.foodpanda.pk/restaurant/rmip/haagen-dazs-nishat</t>
  </si>
  <si>
    <t>https://shop.baskinrobbins.pk/section/ice-cream-cakes-49516</t>
  </si>
  <si>
    <t>Inflation Rate</t>
  </si>
  <si>
    <t>https://www.statista.com/statistics/383760/inflation-rate-in-pakistan/</t>
  </si>
  <si>
    <t>PopBar</t>
  </si>
  <si>
    <t>https://popbar.com.pk/products/coffee-tub?variant=44002018984115</t>
  </si>
  <si>
    <t>Hico Indulge Belgian Chocolate</t>
  </si>
  <si>
    <t>https://www.metro-online.pk/detail/frozen-food/ice-cream/hico-indulge-belgian-chocolate/12641599?categoryName=Ice+Cream</t>
  </si>
  <si>
    <t>Sweet crème</t>
  </si>
  <si>
    <t>https://www.foodpanda.pk/restaurant/e1k0/sweet-creme-gulshan-e-iqbal</t>
  </si>
  <si>
    <t>https://www.dsmonline.pk/garden/walls-ice-cream-double-chocolate-800ml.html</t>
  </si>
  <si>
    <t>Walls Ice Cream Double Chocolate </t>
  </si>
  <si>
    <t>https://www.metro-online.pk/detail/frozen-food/ice-cream/hico-ice-cream-chocolate-fudge-1.5ltr/12624535?categoryName=Ice+Cream</t>
  </si>
  <si>
    <t>Hico Ice Cream Chocolate Fudge </t>
  </si>
  <si>
    <t>Omore Matka Kulfi, Frozen Dessert</t>
  </si>
  <si>
    <t>https://www.naheed.pk/omore-matka-kulfi-frozen-dessert-700ml</t>
  </si>
  <si>
    <t>https://www.naheed.pk/igloo-supreme-strawberries-n-cream-frozen-dessert-1-liter</t>
  </si>
  <si>
    <t>Igloo Supreme Strawberries N Cream Frozen Dessert</t>
  </si>
  <si>
    <t>million litres</t>
  </si>
  <si>
    <t>By Product Type</t>
  </si>
  <si>
    <t>Instant Ice Cream</t>
  </si>
  <si>
    <t>By Flavor</t>
  </si>
  <si>
    <t>Traditional</t>
  </si>
  <si>
    <t>Local</t>
  </si>
  <si>
    <t>Novelty</t>
  </si>
  <si>
    <t>By Ingredient Base</t>
  </si>
  <si>
    <t>Dairy Based</t>
  </si>
  <si>
    <t>Dairy Free</t>
  </si>
  <si>
    <t>By Distribution Channel</t>
  </si>
  <si>
    <t>Retail Stores</t>
  </si>
  <si>
    <t>Ice Cream Parlors</t>
  </si>
  <si>
    <t>Online Delivery</t>
  </si>
  <si>
    <t>Average Mid Tier Items Prices</t>
  </si>
  <si>
    <t xml:space="preserve">Luxury </t>
  </si>
  <si>
    <t>Baskin Robbins Share</t>
  </si>
  <si>
    <t>Baskin Robbins Revenue (Millions)</t>
  </si>
  <si>
    <t>Luxury Share</t>
  </si>
  <si>
    <t>e</t>
  </si>
  <si>
    <t>Assumption</t>
  </si>
  <si>
    <t>Revenue</t>
  </si>
  <si>
    <t>Capacity</t>
  </si>
  <si>
    <t>Utilization</t>
  </si>
  <si>
    <t>Price/Unit</t>
  </si>
  <si>
    <t>Cogs</t>
  </si>
  <si>
    <t xml:space="preserve">Gross Profit </t>
  </si>
  <si>
    <t>Polyester</t>
  </si>
  <si>
    <t>Soda Ash</t>
  </si>
  <si>
    <t>Pharmaceuticals</t>
  </si>
  <si>
    <t>Animal</t>
  </si>
  <si>
    <t>Chemicals</t>
  </si>
  <si>
    <t>Sales</t>
  </si>
  <si>
    <t>Operating Expenses</t>
  </si>
  <si>
    <t>EBIDTA</t>
  </si>
  <si>
    <t>Unit Produced</t>
  </si>
  <si>
    <t>Segment</t>
  </si>
  <si>
    <t>FY 2021 Net Turnover</t>
  </si>
  <si>
    <t>FY 2021 GP</t>
  </si>
  <si>
    <t>FY 2021 COGS</t>
  </si>
  <si>
    <t>FY 2022 Net Turnover</t>
  </si>
  <si>
    <t>FY 2022 GP</t>
  </si>
  <si>
    <t>FY 2022 COGS</t>
  </si>
  <si>
    <t>NutriCo Morinaga</t>
  </si>
  <si>
    <t>Animal Health</t>
  </si>
  <si>
    <t>Others</t>
  </si>
  <si>
    <t>Inter-segment / Unclassified</t>
  </si>
  <si>
    <t>Total</t>
  </si>
  <si>
    <t>Note 43.2
The capacities of Chemicals, Pharma and Animal Health segment are indeterminable because these are multi-product
with multiple dosage and multiple pack size plants. The production was sufficient to meet the demand.</t>
  </si>
  <si>
    <t>https://muhammadluqman.com/featured/pakistanis-consume-100-million-litres-of-ice-cream-every-year/#:~:text=The%20annual%20consumption%20of%20ice,market%20of%20US%20%24%2060%20billion.</t>
  </si>
  <si>
    <t>Depreciation &amp; Amortisation</t>
  </si>
  <si>
    <t>EBIT</t>
  </si>
  <si>
    <t>Interest Expense</t>
  </si>
  <si>
    <t>Interest</t>
  </si>
  <si>
    <t>Tax</t>
  </si>
  <si>
    <t>Proportional to EBIT</t>
  </si>
  <si>
    <t>Net Income</t>
  </si>
  <si>
    <t>Consolidated</t>
  </si>
  <si>
    <t>Quantity Produced (tonnes)</t>
  </si>
  <si>
    <t>Trend</t>
  </si>
  <si>
    <t>Past</t>
  </si>
  <si>
    <t>Forecasted</t>
  </si>
  <si>
    <t>Moving Average</t>
  </si>
  <si>
    <t>Inventory</t>
  </si>
  <si>
    <t>Payables</t>
  </si>
  <si>
    <t>Recievables</t>
  </si>
  <si>
    <t>COGS</t>
  </si>
  <si>
    <t>DIO (Days)</t>
  </si>
  <si>
    <t>DSO (Days)</t>
  </si>
  <si>
    <t>DPO (Days)</t>
  </si>
  <si>
    <t>CCC (Days)</t>
  </si>
  <si>
    <t>Average Equity</t>
  </si>
  <si>
    <t>ROE%</t>
  </si>
  <si>
    <t>Operating Results</t>
  </si>
  <si>
    <t>Segment Assets</t>
  </si>
  <si>
    <t>Segment Liabilities</t>
  </si>
  <si>
    <t>Segment ROE</t>
  </si>
  <si>
    <t>Average Segment ROE</t>
  </si>
  <si>
    <t>Average Operating Results</t>
  </si>
  <si>
    <t>Most Profitable Segment</t>
  </si>
  <si>
    <t>Highest ROE Segment</t>
  </si>
  <si>
    <t>Source</t>
  </si>
  <si>
    <t>Cones, bars, cups, and sticks are examples of single-serve products meant to be consumed right away. These goods are driven by impulsive, on-the-go purchases, which are especially common among young people and city dwellers.</t>
  </si>
  <si>
    <t>bigger tubs and family-sized containers made for home consumption by families or groups. Value-conscious consumers and households are the target market for this category.</t>
  </si>
  <si>
    <t>Take Home Ice cream</t>
  </si>
  <si>
    <t>Fresh Ice Cream</t>
  </si>
  <si>
    <t>Health-conscious people looking for lighter dessert options will find low-fat, sugar-free, or dairy-free options appealing.</t>
  </si>
  <si>
    <t>Vanilla, chocolate, and strawberry are popular, mass-produced options that appeal to a wide range of consumers.</t>
  </si>
  <si>
    <t>flavours like mango, saffron, pistachio, and kulfi that are based on regional tastes. These have widespread domestic appeal and a strong cultural resonance.</t>
  </si>
  <si>
    <t>Novel or limited-edition flavours intended to pique interest and appeal to premium or adventurous customers.</t>
  </si>
  <si>
    <t>Classic products made with milk and cream, dairy-based ice cream comes in full-fat and low-fat varieties, and it represents the majority of the market.</t>
  </si>
  <si>
    <t>Plant-based substitutes made from soy, almond, or coconut milk are known as dairy-free ice cream. This expanding market serves vegan and lactose-intolerant customers.</t>
  </si>
  <si>
    <t>Retail stores are the main venues for impulse and take-home purchases. These include supermarkets, hypermarkets, convenience stores, and neighbourhood grocery stores.</t>
  </si>
  <si>
    <t>Ice Cream Parlours: Specialised establishments that sell scoopable, frequently freshly made ice creams; these usually offer a greater selection of artisanal or premium flavours.</t>
  </si>
  <si>
    <t>Due to the growth of food delivery services and e-commerce, online delivery is a rapidly expanding channel that allows customers to conveniently order ice cream to be delivered to their homes.</t>
  </si>
  <si>
    <t>A number of significant factors are driving the growth of the ice cream market in Pakistan:</t>
  </si>
  <si>
    <t>1. An increase in disposable income</t>
  </si>
  <si>
    <t>Customers are more willing to spend money on high-end and cutting-edge ice cream products as more move into higher income brackets. This trend increases demand, particularly among urban and affluent segments, for artisanal products, exotic flavours, and premium ingredients.</t>
  </si>
  <si>
    <t>2. Urbanisation and the Development of Retail Infrastructure</t>
  </si>
  <si>
    <t>Modern retail spaces like supermarkets, hypermarkets, and convenience stores are becoming more accessible as urban centres grow. A wider range of consumers can now choose from a variety of ice cream options thanks to the expanding retail footprint.</t>
  </si>
  <si>
    <t>3. Younger Population</t>
  </si>
  <si>
    <t>The majority of Pakistan's population is young, and they like quick, on-the-go treats. The growth of impulse ice cream products, particularly those aimed at convenience, mobility, and trend-driven appeal, is strongly supported by the dynamic lifestyle of this demographic.</t>
  </si>
  <si>
    <t>4. Distribution Channel Diversification</t>
  </si>
  <si>
    <t>Product accessibility has been greatly increased by expansion into various distribution channels, such as specialised ice cream shops, physical stores, and online marketplaces. Reaching urban and semi-urban consumers more effectively has been made possible by the growth of online delivery in particular.</t>
  </si>
  <si>
    <t>5. Climate and Seasonal Demand</t>
  </si>
  <si>
    <t>The demand for cold desserts like ice cream is naturally increased by Pakistan's hot and muggy climate, particularly during the summer. When combined with efficient marketing, seasonal peaks can lead to significant increases in sales.</t>
  </si>
  <si>
    <t>6. Promotion and Brand Awareness</t>
  </si>
  <si>
    <t>Brands are becoming more visible thanks to aggressive advertising campaigns, celebrity endorsements, and partnerships with food delivery services. Promotional offers and social media marketing help to strengthen brand engagement and draw in new customers.</t>
  </si>
  <si>
    <t>7. Innovation in Products and Packaging</t>
  </si>
  <si>
    <t>Consumer interest is maintained through constant innovation in product development, such as the introduction of new flavours, mix-ins, and health-conscious options (such as lactose-, sugar-, and fortified-free versions). Furthermore, packaging that is both aesthetically pleasing and environmentally friendly is becoming more popular, improving both shelf presence and environmental appeal.</t>
  </si>
  <si>
    <t>Lucky Core Industries</t>
  </si>
  <si>
    <t xml:space="preserve">Name: </t>
  </si>
  <si>
    <t>Abdul Rahim Shaikh</t>
  </si>
  <si>
    <t xml:space="preserve">Erp: </t>
  </si>
  <si>
    <t>Security Analysis Final Exam</t>
  </si>
  <si>
    <t>Course Code:</t>
  </si>
  <si>
    <t xml:space="preserve">Submiited To: </t>
  </si>
  <si>
    <t>Sir Ammar Habib Khan</t>
  </si>
  <si>
    <r>
      <t>Pharma</t>
    </r>
    <r>
      <rPr>
        <sz val="11"/>
        <color theme="0"/>
        <rFont val="Aptos Narrow"/>
        <family val="2"/>
        <scheme val="minor"/>
      </rPr>
      <t xml:space="preserve"> (assumed “Pharmaceuticals”)</t>
    </r>
  </si>
  <si>
    <t>Trade and other Recievables</t>
  </si>
  <si>
    <t>Recievable Turnover</t>
  </si>
  <si>
    <t>Trade and other Payable</t>
  </si>
  <si>
    <t>Payable Turnover</t>
  </si>
  <si>
    <t>Inventory Turnover</t>
  </si>
  <si>
    <t>Shareholder Equity</t>
  </si>
  <si>
    <t>ROE</t>
  </si>
  <si>
    <t>ROA</t>
  </si>
  <si>
    <t>Total Assets</t>
  </si>
  <si>
    <t>Days Inventory Outstanding (DIO)</t>
  </si>
  <si>
    <t>Days Sales Outstanding (DSO)</t>
  </si>
  <si>
    <t>Days Payables Outstanding (DPO)</t>
  </si>
  <si>
    <t>Cash Conversion Cycle</t>
  </si>
  <si>
    <t>From 2020 to 2024, Inditex's ROE and ROA show a strong and consistent upward trend, reflecting a robust recovery from the pandemic's impact. ROE rose sharply from 8% in 2020 to 30% in 2024, while ROA improved from 4% to 17% over the same period. This indicates significant gains in profitability and operational efficiency, likely driven by strategic initiatives such as digital expansion, supply chain optimization, and disciplined cost control. The faster growth in ROE compared to ROA suggests improved shareholder returns, potentially aided by effective capital structure management or modest use of leverage.</t>
  </si>
  <si>
    <t>Inditex’s cash conversion cycle (CCC) remained consistently negative from 2020 to 2024, improving from -74.0 days in 2021 to -91.5 days in 2024. A negative CCC means the company receives cash from sales before it needs to pay its suppliers—an indicator of strong working capital efficiency. This is primarily driven by its high Days Payables Outstanding (DPO), which consistently exceeds the combined DIO and DSO, allowing Inditex to finance its operations through supplier credit. The ability to maintain such a cycle stems from Inditex's strong bargaining power with suppliers, its fast-fashion model with efficient inventory turnover, and a direct-to-consumer retail approach that ensures quick cash collection with minimal receivables.</t>
  </si>
  <si>
    <t>Zara / Zara Home</t>
  </si>
  <si>
    <t>Bershka</t>
  </si>
  <si>
    <t>Other</t>
  </si>
  <si>
    <t>Inter-Segment</t>
  </si>
  <si>
    <t>Total Sales</t>
  </si>
  <si>
    <t>Sum</t>
  </si>
  <si>
    <t>COGS Total</t>
  </si>
  <si>
    <t xml:space="preserve">Total </t>
  </si>
  <si>
    <t>Gross Profit Total</t>
  </si>
  <si>
    <t>Gross Profit for Segments</t>
  </si>
  <si>
    <t>Details</t>
  </si>
  <si>
    <t>Net Sales</t>
  </si>
  <si>
    <t>Cost Of Sales</t>
  </si>
  <si>
    <t>Gross Profit</t>
  </si>
  <si>
    <t>Other losses and Income, net</t>
  </si>
  <si>
    <t>Other results</t>
  </si>
  <si>
    <t>Amortisation and Depreciation</t>
  </si>
  <si>
    <t>Financial Results</t>
  </si>
  <si>
    <t>Result of companies accounted for using the Equity Method</t>
  </si>
  <si>
    <t>Profit Before Tax (PBT)</t>
  </si>
  <si>
    <t>Income Tax</t>
  </si>
  <si>
    <t>Net Profit</t>
  </si>
  <si>
    <t>From Segment Sales Breakup</t>
  </si>
  <si>
    <t>COGS for Segments</t>
  </si>
  <si>
    <t>Most probably Zero</t>
  </si>
  <si>
    <t>Free Cash Flow</t>
  </si>
  <si>
    <t>Operating Profit</t>
  </si>
  <si>
    <t>Net: Operating Profit</t>
  </si>
  <si>
    <t>Add: Depreciation</t>
  </si>
  <si>
    <t>Static as 2024</t>
  </si>
  <si>
    <t>Average Tax rate of last 5 years</t>
  </si>
  <si>
    <t>Discounted Cash flows</t>
  </si>
  <si>
    <t>Net Present Value</t>
  </si>
  <si>
    <t>Terminal Value</t>
  </si>
  <si>
    <t>Risk Free Rate</t>
  </si>
  <si>
    <t>Tax Rate</t>
  </si>
  <si>
    <t>Cost of Debt</t>
  </si>
  <si>
    <t>After Tax Cost of Debt</t>
  </si>
  <si>
    <t>Average Tax</t>
  </si>
  <si>
    <t>`</t>
  </si>
  <si>
    <t>Risk Premium</t>
  </si>
  <si>
    <t>https://www.kroll.com/en/insights/publications/cost-of-capital/recommended-eurozone-equity-risk-premium-corresponding-risk-free-rates</t>
  </si>
  <si>
    <t>Euribor</t>
  </si>
  <si>
    <t>https://finance.yahoo.com/quote/ITX.MC/</t>
  </si>
  <si>
    <t>Market Beta</t>
  </si>
  <si>
    <t>Cost of Equity</t>
  </si>
  <si>
    <t>Weight of Debt</t>
  </si>
  <si>
    <t>Weight of Equity</t>
  </si>
  <si>
    <t>Weighted Average Cost of Capital</t>
  </si>
  <si>
    <t xml:space="preserve">Growth Rate </t>
  </si>
  <si>
    <t>Assumed</t>
  </si>
  <si>
    <t>Given</t>
  </si>
  <si>
    <t>WACC = (E/V * Re) + ((D/V) * Rd * (1 - T))</t>
  </si>
  <si>
    <t>INDITEX Income Statement</t>
  </si>
  <si>
    <t>A</t>
  </si>
  <si>
    <t>B</t>
  </si>
  <si>
    <t>C</t>
  </si>
  <si>
    <t>D</t>
  </si>
  <si>
    <t>E</t>
  </si>
  <si>
    <t>F</t>
  </si>
  <si>
    <t>G</t>
  </si>
  <si>
    <t>H</t>
  </si>
  <si>
    <t>From Population Sheet</t>
  </si>
  <si>
    <t>A &amp; D</t>
  </si>
  <si>
    <t>How many product segments can the Pakistani ice cream market be divided into?</t>
  </si>
  <si>
    <t>Key Growth Drivers of the Ice Cream Market in Pakistan</t>
  </si>
  <si>
    <t>Segment Financials tell that what is produced is meeting demand. So 100% of Produced goods are sold.</t>
  </si>
  <si>
    <t>COGS/Sales (differ for all segments)</t>
  </si>
  <si>
    <t>Proportional to Gross Profit</t>
  </si>
  <si>
    <t>Question 1</t>
  </si>
  <si>
    <t>Part A</t>
  </si>
  <si>
    <t>Part B</t>
  </si>
  <si>
    <t>Part C</t>
  </si>
  <si>
    <t>Part D</t>
  </si>
  <si>
    <t>Done in Sheet "Q1"</t>
  </si>
  <si>
    <t>Part E</t>
  </si>
  <si>
    <t>Assumed different Share Percentages for Each Year</t>
  </si>
  <si>
    <t>Start at 3.5%</t>
  </si>
  <si>
    <t>Start at 30%</t>
  </si>
  <si>
    <t>Start at 66.5%</t>
  </si>
  <si>
    <t>2029
Baskin Robbin's Luxury Share</t>
  </si>
  <si>
    <t>Assumed Share is 5% but can vary.</t>
  </si>
  <si>
    <t>Economical assumed at 66.5%</t>
  </si>
  <si>
    <t>Mid Tier assumed at 30% but can vary</t>
  </si>
  <si>
    <t>Luxury Tier assumed at 3.5% but can vary</t>
  </si>
  <si>
    <t>Forecast</t>
  </si>
  <si>
    <t xml:space="preserve">Value </t>
  </si>
  <si>
    <t>Question 2</t>
  </si>
  <si>
    <t>utlization</t>
  </si>
  <si>
    <t xml:space="preserve">Animal </t>
  </si>
  <si>
    <t>soda ash</t>
  </si>
  <si>
    <t>Return on Equity</t>
  </si>
  <si>
    <t>Utilization %</t>
  </si>
  <si>
    <t>Question 3</t>
  </si>
  <si>
    <t>Return On Equity</t>
  </si>
  <si>
    <t>Return On Assets</t>
  </si>
  <si>
    <t>Done in Sheet "Q2"</t>
  </si>
  <si>
    <t>Part F</t>
  </si>
  <si>
    <t>Part G</t>
  </si>
  <si>
    <t>Part H</t>
  </si>
  <si>
    <t>Value of Company
(Millions)</t>
  </si>
  <si>
    <t>Utilization exceeding 100% can occur when production surpasses the stated nameplate capacity. This is often due to operational flexibility, such as running extra shifts, reducing downtime, or implementing process improvements. Companies may also temporarily exceed rated capacity during periods of high demand. Additionally, the reported capacity may be conservative or based on standard assumptions, while actual production reflects real-world efficiency gains.</t>
  </si>
  <si>
    <t>Reason for More than 100% utilization.</t>
  </si>
  <si>
    <t>Net Assets = Equity</t>
  </si>
  <si>
    <t>Debt</t>
  </si>
  <si>
    <t>Equity</t>
  </si>
  <si>
    <t>Debt/Equity Weightage</t>
  </si>
  <si>
    <t>Starting Debt -Equity is 60:40 as stated in Question but can be tested at different Weigtages</t>
  </si>
  <si>
    <t>Assuming that Consolidation mainly depends on reportable segments which are significant enough to show fair picture of company</t>
  </si>
  <si>
    <t>In cases where a segment's net assets are negative—meaning liabilities exceed assets—ROE becomes undefined or misleading. This typically indicates accumulated losses or high intra-group liabilities. Therefore, ROE is not a meaningful measure for such segments, and alternative profitability metrics like operating margin should be used instead.</t>
  </si>
  <si>
    <t>Negative Equities explained later</t>
  </si>
  <si>
    <t>The Cash Conversion Cycle (CCC) for Lucky Core Industries from 2020 to 2024 remained within a moderate range of 20 to 30 days, indicating relatively stable working capital management. The lowest CCC of 20 days in 2021 and 2022 reflects strong operational efficiency, while the peak of 30 days in 2023 may suggest slower receivables or higher inventory levels. The slight drop to 28 days in 2024 signals some recovery, but further tightening of inventory and credit policies could enhance liquidity.</t>
  </si>
  <si>
    <t>The Return on Equity (ROE) for Lucky Core Industries from 2020 to 2024 shows significant fluctuations, rising from a low of 14.59% in 2020 to a peak of 40.43% in 2023. This upward trend through 2021–2023 suggests enhanced profitability and efficient capital deployment. However, the decline to 22.57% in 2024 indicates potential margin pressures or a growing equity base. Despite the dip, maintaining ROE above 20% reflects solid performance, though the recent decrease calls for attention to cost control and strategic investment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</si>
</sst>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
    <numFmt numFmtId="167" formatCode="0.000%"/>
  </numFmts>
  <fonts count="28" x14ac:knownFonts="1">
    <font>
      <sz val="11"/>
      <color theme="1"/>
      <name val="Aptos Narrow"/>
      <family val="2"/>
      <scheme val="minor"/>
    </font>
    <font>
      <sz val="11"/>
      <color theme="1"/>
      <name val="Aptos Narrow"/>
      <family val="2"/>
      <scheme val="minor"/>
    </font>
    <font>
      <b/>
      <sz val="11"/>
      <color theme="1"/>
      <name val="Aptos Narrow"/>
      <family val="2"/>
      <scheme val="minor"/>
    </font>
    <font>
      <sz val="15"/>
      <color theme="1"/>
      <name val="Times New Roman"/>
      <family val="1"/>
    </font>
    <font>
      <sz val="11"/>
      <color theme="1"/>
      <name val="Times New Roman"/>
      <family val="1"/>
    </font>
    <font>
      <b/>
      <sz val="11"/>
      <color theme="1"/>
      <name val="Times New Roman"/>
      <family val="1"/>
    </font>
    <font>
      <sz val="11"/>
      <color theme="0"/>
      <name val="Aptos Narrow"/>
      <family val="2"/>
      <scheme val="minor"/>
    </font>
    <font>
      <sz val="16"/>
      <color theme="4"/>
      <name val="Bernard MT Condensed"/>
      <family val="1"/>
    </font>
    <font>
      <b/>
      <sz val="11"/>
      <color theme="0"/>
      <name val="Aptos Narrow"/>
      <family val="2"/>
      <scheme val="minor"/>
    </font>
    <font>
      <sz val="8"/>
      <color theme="1"/>
      <name val="Aptos Narrow"/>
      <family val="2"/>
      <scheme val="minor"/>
    </font>
    <font>
      <b/>
      <sz val="14"/>
      <color theme="1"/>
      <name val="Aptos Narrow"/>
      <family val="2"/>
      <scheme val="minor"/>
    </font>
    <font>
      <b/>
      <sz val="18"/>
      <color theme="1"/>
      <name val="Aptos Narrow"/>
      <family val="2"/>
      <scheme val="minor"/>
    </font>
    <font>
      <b/>
      <sz val="26"/>
      <color theme="1"/>
      <name val="Aptos Narrow"/>
      <family val="2"/>
      <scheme val="minor"/>
    </font>
    <font>
      <b/>
      <sz val="48"/>
      <color theme="3" tint="0.249977111117893"/>
      <name val="Arial Black"/>
      <family val="2"/>
    </font>
    <font>
      <b/>
      <sz val="16"/>
      <color theme="1"/>
      <name val="Aptos Narrow"/>
      <family val="2"/>
      <scheme val="minor"/>
    </font>
    <font>
      <sz val="16"/>
      <color theme="1"/>
      <name val="Amasis MT Pro Black"/>
      <family val="1"/>
    </font>
    <font>
      <sz val="12"/>
      <color theme="1"/>
      <name val="Aptos Narrow"/>
      <family val="2"/>
      <scheme val="minor"/>
    </font>
    <font>
      <b/>
      <sz val="12"/>
      <color theme="0"/>
      <name val="Aptos Narrow"/>
      <family val="2"/>
      <scheme val="minor"/>
    </font>
    <font>
      <b/>
      <sz val="10.5"/>
      <color theme="1"/>
      <name val="Aptos Narrow"/>
      <family val="2"/>
      <scheme val="minor"/>
    </font>
    <font>
      <u/>
      <sz val="11"/>
      <color theme="1"/>
      <name val="Aptos Narrow"/>
      <family val="2"/>
      <scheme val="minor"/>
    </font>
    <font>
      <b/>
      <sz val="36"/>
      <color theme="1"/>
      <name val="Aptos Narrow"/>
      <family val="2"/>
      <scheme val="minor"/>
    </font>
    <font>
      <b/>
      <sz val="12"/>
      <color theme="1"/>
      <name val="Aptos Narrow"/>
      <family val="2"/>
      <scheme val="minor"/>
    </font>
    <font>
      <sz val="14"/>
      <color theme="1"/>
      <name val="Aptos Narrow"/>
      <family val="2"/>
      <scheme val="minor"/>
    </font>
    <font>
      <sz val="13"/>
      <color theme="1"/>
      <name val="Aptos Narrow"/>
      <family val="2"/>
      <scheme val="minor"/>
    </font>
    <font>
      <sz val="10"/>
      <color theme="1"/>
      <name val="Aptos Narrow"/>
      <family val="2"/>
      <scheme val="minor"/>
    </font>
    <font>
      <b/>
      <sz val="16"/>
      <color theme="1"/>
      <name val="Amasis MT Pro Black"/>
      <family val="1"/>
    </font>
    <font>
      <b/>
      <sz val="11"/>
      <color theme="0" tint="-4.9989318521683403E-2"/>
      <name val="Aptos Narrow"/>
      <family val="2"/>
      <scheme val="minor"/>
    </font>
    <font>
      <sz val="11"/>
      <color theme="0" tint="-0.249977111117893"/>
      <name val="Aptos Narrow"/>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3" tint="0.89999084444715716"/>
        <bgColor indexed="64"/>
      </patternFill>
    </fill>
    <fill>
      <patternFill patternType="solid">
        <fgColor theme="2" tint="-0.499984740745262"/>
        <bgColor indexed="64"/>
      </patternFill>
    </fill>
    <fill>
      <patternFill patternType="solid">
        <fgColor rgb="FFF0E4C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86">
    <border>
      <left/>
      <right/>
      <top/>
      <bottom/>
      <diagonal/>
    </border>
    <border>
      <left/>
      <right/>
      <top/>
      <bottom style="medium">
        <color rgb="FF000000"/>
      </bottom>
      <diagonal/>
    </border>
    <border>
      <left style="thin">
        <color indexed="64"/>
      </left>
      <right/>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theme="3" tint="0.749992370372631"/>
      </right>
      <top style="medium">
        <color indexed="64"/>
      </top>
      <bottom style="thin">
        <color theme="3" tint="0.749992370372631"/>
      </bottom>
      <diagonal/>
    </border>
    <border>
      <left style="thin">
        <color theme="3" tint="0.749992370372631"/>
      </left>
      <right style="medium">
        <color indexed="64"/>
      </right>
      <top style="medium">
        <color indexed="64"/>
      </top>
      <bottom style="thin">
        <color theme="3" tint="0.749992370372631"/>
      </bottom>
      <diagonal/>
    </border>
    <border>
      <left style="medium">
        <color indexed="64"/>
      </left>
      <right style="thin">
        <color theme="3" tint="0.749992370372631"/>
      </right>
      <top style="thin">
        <color theme="3" tint="0.749992370372631"/>
      </top>
      <bottom style="thin">
        <color theme="3" tint="0.749992370372631"/>
      </bottom>
      <diagonal/>
    </border>
    <border>
      <left style="thin">
        <color theme="3" tint="0.749992370372631"/>
      </left>
      <right style="medium">
        <color indexed="64"/>
      </right>
      <top style="thin">
        <color theme="3" tint="0.749992370372631"/>
      </top>
      <bottom style="thin">
        <color theme="3" tint="0.749992370372631"/>
      </bottom>
      <diagonal/>
    </border>
    <border>
      <left style="medium">
        <color indexed="64"/>
      </left>
      <right style="thin">
        <color theme="3" tint="0.749992370372631"/>
      </right>
      <top style="thin">
        <color theme="3" tint="0.749992370372631"/>
      </top>
      <bottom style="medium">
        <color theme="3" tint="0.749992370372631"/>
      </bottom>
      <diagonal/>
    </border>
    <border>
      <left style="thin">
        <color theme="3" tint="0.749992370372631"/>
      </left>
      <right style="medium">
        <color indexed="64"/>
      </right>
      <top style="thin">
        <color theme="3" tint="0.749992370372631"/>
      </top>
      <bottom style="medium">
        <color theme="3" tint="0.749992370372631"/>
      </bottom>
      <diagonal/>
    </border>
    <border>
      <left style="medium">
        <color indexed="64"/>
      </left>
      <right/>
      <top style="medium">
        <color theme="3" tint="0.749992370372631"/>
      </top>
      <bottom style="medium">
        <color theme="3" tint="0.749992370372631"/>
      </bottom>
      <diagonal/>
    </border>
    <border>
      <left/>
      <right style="medium">
        <color indexed="64"/>
      </right>
      <top style="medium">
        <color theme="3" tint="0.749992370372631"/>
      </top>
      <bottom style="medium">
        <color theme="3" tint="0.749992370372631"/>
      </bottom>
      <diagonal/>
    </border>
    <border>
      <left style="medium">
        <color indexed="64"/>
      </left>
      <right style="thin">
        <color theme="3" tint="0.749992370372631"/>
      </right>
      <top style="thin">
        <color theme="3" tint="0.749992370372631"/>
      </top>
      <bottom style="medium">
        <color indexed="64"/>
      </bottom>
      <diagonal/>
    </border>
    <border>
      <left style="thin">
        <color theme="3" tint="0.749992370372631"/>
      </left>
      <right style="medium">
        <color indexed="64"/>
      </right>
      <top style="thin">
        <color theme="3" tint="0.749992370372631"/>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bottom style="medium">
        <color rgb="FF000000"/>
      </bottom>
      <diagonal/>
    </border>
    <border>
      <left/>
      <right style="medium">
        <color indexed="64"/>
      </right>
      <top/>
      <bottom style="medium">
        <color rgb="FF000000"/>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559">
    <xf numFmtId="0" fontId="0" fillId="0" borderId="0" xfId="0"/>
    <xf numFmtId="0" fontId="4" fillId="0" borderId="1" xfId="0" applyFont="1" applyBorder="1" applyAlignment="1">
      <alignment vertical="center" wrapText="1"/>
    </xf>
    <xf numFmtId="3" fontId="5" fillId="0" borderId="1" xfId="0" applyNumberFormat="1" applyFont="1" applyBorder="1" applyAlignment="1">
      <alignment vertical="center" wrapText="1"/>
    </xf>
    <xf numFmtId="10" fontId="4" fillId="0" borderId="1" xfId="0" applyNumberFormat="1" applyFont="1" applyBorder="1" applyAlignment="1">
      <alignment vertical="center" wrapText="1"/>
    </xf>
    <xf numFmtId="3" fontId="4" fillId="0" borderId="1" xfId="0" applyNumberFormat="1" applyFont="1" applyBorder="1" applyAlignment="1">
      <alignment vertical="center" wrapText="1"/>
    </xf>
    <xf numFmtId="9" fontId="4" fillId="0" borderId="1" xfId="0" applyNumberFormat="1" applyFont="1" applyBorder="1" applyAlignment="1">
      <alignment vertical="center" wrapText="1"/>
    </xf>
    <xf numFmtId="0" fontId="0" fillId="0" borderId="5" xfId="0" applyBorder="1"/>
    <xf numFmtId="0" fontId="0" fillId="0" borderId="7" xfId="0" applyBorder="1"/>
    <xf numFmtId="0" fontId="0" fillId="0" borderId="8" xfId="0" applyBorder="1"/>
    <xf numFmtId="0" fontId="0" fillId="0" borderId="13" xfId="0" applyBorder="1"/>
    <xf numFmtId="0" fontId="0" fillId="0" borderId="14" xfId="0" applyBorder="1"/>
    <xf numFmtId="0" fontId="2" fillId="0" borderId="0" xfId="0" applyFont="1"/>
    <xf numFmtId="10" fontId="2" fillId="0" borderId="0" xfId="0" applyNumberFormat="1" applyFont="1"/>
    <xf numFmtId="0" fontId="0" fillId="0" borderId="12" xfId="0" applyBorder="1"/>
    <xf numFmtId="3" fontId="0" fillId="0" borderId="0" xfId="0" applyNumberFormat="1" applyAlignment="1">
      <alignment horizontal="center"/>
    </xf>
    <xf numFmtId="0" fontId="2" fillId="2" borderId="9" xfId="0" applyFont="1" applyFill="1" applyBorder="1"/>
    <xf numFmtId="0" fontId="2" fillId="2" borderId="10" xfId="0" applyFont="1" applyFill="1" applyBorder="1"/>
    <xf numFmtId="0" fontId="2" fillId="2" borderId="11" xfId="0" applyFont="1" applyFill="1" applyBorder="1"/>
    <xf numFmtId="0" fontId="2" fillId="2" borderId="4" xfId="0" applyFont="1" applyFill="1" applyBorder="1"/>
    <xf numFmtId="0" fontId="0" fillId="2" borderId="4" xfId="0" applyFill="1" applyBorder="1"/>
    <xf numFmtId="0" fontId="0" fillId="2" borderId="5" xfId="0" applyFill="1" applyBorder="1"/>
    <xf numFmtId="3" fontId="0" fillId="2" borderId="0" xfId="0" applyNumberFormat="1" applyFill="1"/>
    <xf numFmtId="3" fontId="0" fillId="2" borderId="5" xfId="0" applyNumberFormat="1" applyFill="1" applyBorder="1"/>
    <xf numFmtId="10" fontId="0" fillId="2" borderId="5" xfId="0" applyNumberFormat="1" applyFill="1" applyBorder="1"/>
    <xf numFmtId="10" fontId="0" fillId="2" borderId="0" xfId="0" applyNumberFormat="1" applyFill="1"/>
    <xf numFmtId="0" fontId="0" fillId="2" borderId="0" xfId="0" applyFill="1"/>
    <xf numFmtId="9" fontId="0" fillId="2" borderId="5" xfId="0" applyNumberFormat="1" applyFill="1" applyBorder="1"/>
    <xf numFmtId="9" fontId="0" fillId="2" borderId="0" xfId="0" applyNumberFormat="1" applyFill="1"/>
    <xf numFmtId="0" fontId="2" fillId="2" borderId="6" xfId="0" applyFont="1" applyFill="1" applyBorder="1"/>
    <xf numFmtId="0" fontId="0" fillId="2" borderId="6" xfId="0" applyFill="1" applyBorder="1"/>
    <xf numFmtId="0" fontId="0" fillId="2" borderId="8" xfId="0" applyFill="1" applyBorder="1"/>
    <xf numFmtId="0" fontId="0" fillId="2" borderId="7" xfId="0" applyFill="1" applyBorder="1"/>
    <xf numFmtId="0" fontId="2" fillId="2" borderId="15" xfId="0" applyFont="1"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2" fillId="2" borderId="17" xfId="0" applyFont="1" applyFill="1" applyBorder="1"/>
    <xf numFmtId="0" fontId="0" fillId="2" borderId="9" xfId="0" applyFill="1" applyBorder="1"/>
    <xf numFmtId="0" fontId="0" fillId="2" borderId="11" xfId="0" applyFill="1" applyBorder="1"/>
    <xf numFmtId="0" fontId="0" fillId="2" borderId="19" xfId="0" applyFill="1" applyBorder="1"/>
    <xf numFmtId="0" fontId="2" fillId="2" borderId="12" xfId="0" applyFont="1" applyFill="1" applyBorder="1"/>
    <xf numFmtId="165" fontId="0" fillId="2" borderId="5" xfId="0" applyNumberFormat="1" applyFill="1" applyBorder="1"/>
    <xf numFmtId="0" fontId="2" fillId="2" borderId="16" xfId="0" applyFont="1" applyFill="1" applyBorder="1"/>
    <xf numFmtId="165" fontId="0" fillId="2" borderId="7" xfId="0" applyNumberFormat="1" applyFill="1" applyBorder="1"/>
    <xf numFmtId="10" fontId="2" fillId="2" borderId="11" xfId="0" applyNumberFormat="1" applyFont="1" applyFill="1" applyBorder="1"/>
    <xf numFmtId="10" fontId="2" fillId="2" borderId="10" xfId="0" applyNumberFormat="1" applyFont="1" applyFill="1" applyBorder="1"/>
    <xf numFmtId="0" fontId="0" fillId="2" borderId="12" xfId="0" applyFill="1" applyBorder="1"/>
    <xf numFmtId="9" fontId="1" fillId="2" borderId="5" xfId="1" applyFont="1" applyFill="1" applyBorder="1"/>
    <xf numFmtId="164" fontId="0" fillId="2" borderId="0" xfId="0" applyNumberFormat="1" applyFill="1"/>
    <xf numFmtId="164" fontId="0" fillId="2" borderId="5" xfId="0" applyNumberFormat="1" applyFill="1" applyBorder="1"/>
    <xf numFmtId="164" fontId="0" fillId="2" borderId="7" xfId="0" applyNumberFormat="1" applyFill="1" applyBorder="1"/>
    <xf numFmtId="164" fontId="0" fillId="2" borderId="8" xfId="0" applyNumberFormat="1" applyFill="1" applyBorder="1"/>
    <xf numFmtId="0" fontId="2" fillId="2" borderId="25" xfId="0" applyFont="1" applyFill="1" applyBorder="1"/>
    <xf numFmtId="0" fontId="2" fillId="2" borderId="26" xfId="0" applyFont="1" applyFill="1" applyBorder="1"/>
    <xf numFmtId="0" fontId="2" fillId="2" borderId="0" xfId="0" applyFont="1" applyFill="1"/>
    <xf numFmtId="0" fontId="10" fillId="2" borderId="0" xfId="0" applyFont="1" applyFill="1"/>
    <xf numFmtId="0" fontId="11" fillId="2" borderId="0" xfId="0" applyFont="1" applyFill="1"/>
    <xf numFmtId="0" fontId="2" fillId="3" borderId="12" xfId="0" applyFont="1" applyFill="1" applyBorder="1"/>
    <xf numFmtId="0" fontId="2" fillId="3" borderId="4" xfId="0" applyFont="1" applyFill="1" applyBorder="1"/>
    <xf numFmtId="0" fontId="2" fillId="3" borderId="6" xfId="0" applyFont="1" applyFill="1" applyBorder="1"/>
    <xf numFmtId="0" fontId="2" fillId="3" borderId="13" xfId="0" applyFont="1" applyFill="1" applyBorder="1"/>
    <xf numFmtId="0" fontId="2" fillId="3" borderId="9" xfId="0" applyFont="1" applyFill="1" applyBorder="1"/>
    <xf numFmtId="0" fontId="2" fillId="3" borderId="11" xfId="0" applyFont="1" applyFill="1" applyBorder="1"/>
    <xf numFmtId="0" fontId="2" fillId="3" borderId="10" xfId="0" applyFont="1" applyFill="1" applyBorder="1"/>
    <xf numFmtId="0" fontId="0" fillId="3" borderId="0" xfId="0" applyFill="1"/>
    <xf numFmtId="3" fontId="0" fillId="3" borderId="12" xfId="0" applyNumberFormat="1" applyFill="1" applyBorder="1"/>
    <xf numFmtId="3" fontId="0" fillId="3" borderId="13" xfId="0" applyNumberFormat="1" applyFill="1" applyBorder="1"/>
    <xf numFmtId="3" fontId="0" fillId="3" borderId="14" xfId="0" applyNumberFormat="1" applyFill="1" applyBorder="1"/>
    <xf numFmtId="0" fontId="0" fillId="3" borderId="14" xfId="0" applyFill="1" applyBorder="1"/>
    <xf numFmtId="0" fontId="0" fillId="3" borderId="4" xfId="0" applyFill="1" applyBorder="1"/>
    <xf numFmtId="3" fontId="0" fillId="3" borderId="0" xfId="0" applyNumberFormat="1" applyFill="1"/>
    <xf numFmtId="3" fontId="0" fillId="3" borderId="5" xfId="0" applyNumberFormat="1" applyFill="1" applyBorder="1"/>
    <xf numFmtId="3" fontId="0" fillId="3" borderId="4" xfId="0" applyNumberFormat="1" applyFill="1" applyBorder="1"/>
    <xf numFmtId="0" fontId="0" fillId="3" borderId="5" xfId="0" applyFill="1" applyBorder="1"/>
    <xf numFmtId="9" fontId="0" fillId="3" borderId="4" xfId="1" applyFont="1" applyFill="1" applyBorder="1"/>
    <xf numFmtId="9" fontId="0" fillId="3" borderId="0" xfId="1" applyFont="1" applyFill="1" applyBorder="1"/>
    <xf numFmtId="9" fontId="0" fillId="3" borderId="5" xfId="1" applyFont="1" applyFill="1" applyBorder="1"/>
    <xf numFmtId="0" fontId="0" fillId="3" borderId="7" xfId="0" applyFill="1" applyBorder="1"/>
    <xf numFmtId="0" fontId="0" fillId="3" borderId="6" xfId="0" applyFill="1" applyBorder="1"/>
    <xf numFmtId="0" fontId="0" fillId="3" borderId="8" xfId="0" applyFill="1" applyBorder="1"/>
    <xf numFmtId="0" fontId="2" fillId="3" borderId="18" xfId="0" applyFont="1" applyFill="1" applyBorder="1"/>
    <xf numFmtId="0" fontId="2" fillId="3" borderId="15" xfId="0" applyFont="1" applyFill="1" applyBorder="1"/>
    <xf numFmtId="0" fontId="2" fillId="3" borderId="14" xfId="0" applyFont="1" applyFill="1" applyBorder="1"/>
    <xf numFmtId="0" fontId="2" fillId="3" borderId="13" xfId="0" applyFont="1" applyFill="1" applyBorder="1" applyAlignment="1">
      <alignment horizontal="center"/>
    </xf>
    <xf numFmtId="0" fontId="2" fillId="3" borderId="12" xfId="0" applyFont="1" applyFill="1" applyBorder="1" applyAlignment="1">
      <alignment horizontal="center"/>
    </xf>
    <xf numFmtId="0" fontId="2" fillId="3" borderId="18" xfId="0" applyFont="1" applyFill="1" applyBorder="1" applyAlignment="1">
      <alignment horizontal="center"/>
    </xf>
    <xf numFmtId="0" fontId="2" fillId="3" borderId="16" xfId="0" applyFont="1" applyFill="1" applyBorder="1"/>
    <xf numFmtId="0" fontId="0" fillId="3" borderId="4" xfId="0" applyFill="1" applyBorder="1" applyAlignment="1">
      <alignment wrapText="1"/>
    </xf>
    <xf numFmtId="9" fontId="0" fillId="3" borderId="5" xfId="0" applyNumberFormat="1" applyFill="1" applyBorder="1"/>
    <xf numFmtId="3" fontId="0" fillId="3" borderId="20" xfId="0" applyNumberFormat="1" applyFill="1" applyBorder="1"/>
    <xf numFmtId="3" fontId="0" fillId="3" borderId="3" xfId="0" applyNumberFormat="1" applyFill="1" applyBorder="1"/>
    <xf numFmtId="3" fontId="0" fillId="3" borderId="21" xfId="0" applyNumberFormat="1" applyFill="1" applyBorder="1"/>
    <xf numFmtId="0" fontId="2" fillId="3" borderId="17" xfId="0" applyFont="1" applyFill="1" applyBorder="1"/>
    <xf numFmtId="3" fontId="0" fillId="3" borderId="6" xfId="0" applyNumberFormat="1" applyFill="1" applyBorder="1"/>
    <xf numFmtId="3" fontId="0" fillId="3" borderId="7" xfId="0" applyNumberFormat="1" applyFill="1" applyBorder="1"/>
    <xf numFmtId="3" fontId="0" fillId="3" borderId="8" xfId="0" applyNumberFormat="1" applyFill="1" applyBorder="1"/>
    <xf numFmtId="0" fontId="0" fillId="3" borderId="11" xfId="0" applyFill="1" applyBorder="1"/>
    <xf numFmtId="0" fontId="2" fillId="3" borderId="9" xfId="0" applyFont="1" applyFill="1" applyBorder="1" applyAlignment="1">
      <alignment wrapText="1"/>
    </xf>
    <xf numFmtId="0" fontId="2" fillId="3" borderId="11" xfId="0" applyFont="1" applyFill="1" applyBorder="1" applyAlignment="1">
      <alignment wrapText="1"/>
    </xf>
    <xf numFmtId="0" fontId="2" fillId="3" borderId="10" xfId="0" applyFont="1" applyFill="1" applyBorder="1" applyAlignment="1">
      <alignment wrapText="1"/>
    </xf>
    <xf numFmtId="0" fontId="0" fillId="3" borderId="13" xfId="0" applyFill="1" applyBorder="1"/>
    <xf numFmtId="0" fontId="0" fillId="3" borderId="5" xfId="0" applyFill="1" applyBorder="1" applyAlignment="1">
      <alignment wrapText="1"/>
    </xf>
    <xf numFmtId="0" fontId="0" fillId="3" borderId="6" xfId="0"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1" fontId="0" fillId="3" borderId="12" xfId="0" applyNumberFormat="1" applyFill="1" applyBorder="1" applyAlignment="1">
      <alignment wrapText="1"/>
    </xf>
    <xf numFmtId="1" fontId="0" fillId="3" borderId="13" xfId="0" applyNumberFormat="1" applyFill="1" applyBorder="1" applyAlignment="1">
      <alignment wrapText="1"/>
    </xf>
    <xf numFmtId="1" fontId="0" fillId="3" borderId="14" xfId="0" applyNumberFormat="1" applyFill="1" applyBorder="1" applyAlignment="1">
      <alignment wrapText="1"/>
    </xf>
    <xf numFmtId="1" fontId="0" fillId="3" borderId="4" xfId="0" applyNumberFormat="1" applyFill="1" applyBorder="1" applyAlignment="1">
      <alignment wrapText="1"/>
    </xf>
    <xf numFmtId="1" fontId="0" fillId="3" borderId="5" xfId="0" applyNumberFormat="1" applyFill="1" applyBorder="1" applyAlignment="1">
      <alignment wrapText="1"/>
    </xf>
    <xf numFmtId="0" fontId="0" fillId="3" borderId="12" xfId="0" applyFill="1" applyBorder="1"/>
    <xf numFmtId="10" fontId="0" fillId="3" borderId="7" xfId="1" applyNumberFormat="1" applyFont="1" applyFill="1" applyBorder="1"/>
    <xf numFmtId="10" fontId="0" fillId="3" borderId="8" xfId="1" applyNumberFormat="1" applyFont="1" applyFill="1" applyBorder="1"/>
    <xf numFmtId="0" fontId="2" fillId="3" borderId="22" xfId="0" applyFont="1" applyFill="1" applyBorder="1"/>
    <xf numFmtId="0" fontId="0" fillId="3" borderId="23" xfId="0" applyFill="1" applyBorder="1"/>
    <xf numFmtId="0" fontId="0" fillId="3" borderId="24" xfId="0" applyFill="1" applyBorder="1"/>
    <xf numFmtId="9" fontId="0" fillId="3" borderId="6" xfId="1" applyFont="1" applyFill="1" applyBorder="1"/>
    <xf numFmtId="9" fontId="0" fillId="3" borderId="7" xfId="1" applyFont="1" applyFill="1" applyBorder="1"/>
    <xf numFmtId="9" fontId="0" fillId="3" borderId="8" xfId="1" applyFont="1" applyFill="1" applyBorder="1"/>
    <xf numFmtId="0" fontId="0" fillId="3" borderId="10" xfId="0" applyFill="1" applyBorder="1"/>
    <xf numFmtId="0" fontId="6" fillId="0" borderId="0" xfId="0" applyFont="1"/>
    <xf numFmtId="0" fontId="8" fillId="0" borderId="0" xfId="0" applyFont="1" applyAlignment="1">
      <alignment horizontal="center" vertical="center" wrapText="1"/>
    </xf>
    <xf numFmtId="0" fontId="8" fillId="0" borderId="0" xfId="0" applyFont="1" applyAlignment="1">
      <alignment vertical="center" wrapText="1"/>
    </xf>
    <xf numFmtId="3" fontId="6" fillId="0" borderId="0" xfId="0" applyNumberFormat="1" applyFont="1" applyAlignment="1">
      <alignment vertical="center" wrapText="1"/>
    </xf>
    <xf numFmtId="0" fontId="2" fillId="3" borderId="31" xfId="0" applyFont="1" applyFill="1" applyBorder="1"/>
    <xf numFmtId="0" fontId="0" fillId="3" borderId="32" xfId="0" applyFill="1" applyBorder="1"/>
    <xf numFmtId="0" fontId="0" fillId="3" borderId="32" xfId="0" applyFill="1" applyBorder="1" applyAlignment="1">
      <alignment wrapText="1"/>
    </xf>
    <xf numFmtId="0" fontId="0" fillId="3" borderId="33" xfId="0" applyFill="1" applyBorder="1"/>
    <xf numFmtId="1" fontId="0" fillId="3" borderId="9" xfId="0" applyNumberFormat="1" applyFill="1" applyBorder="1" applyAlignment="1">
      <alignment wrapText="1"/>
    </xf>
    <xf numFmtId="1" fontId="0" fillId="3" borderId="11" xfId="0" applyNumberFormat="1" applyFill="1" applyBorder="1" applyAlignment="1">
      <alignment wrapText="1"/>
    </xf>
    <xf numFmtId="1" fontId="0" fillId="3" borderId="10" xfId="0" applyNumberFormat="1" applyFill="1" applyBorder="1" applyAlignment="1">
      <alignment wrapText="1"/>
    </xf>
    <xf numFmtId="0" fontId="8" fillId="4" borderId="34"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8" fillId="4" borderId="39" xfId="0" applyFont="1" applyFill="1" applyBorder="1"/>
    <xf numFmtId="0" fontId="8" fillId="4" borderId="42" xfId="0" applyFont="1" applyFill="1" applyBorder="1"/>
    <xf numFmtId="0" fontId="8" fillId="4" borderId="43" xfId="0" applyFont="1" applyFill="1" applyBorder="1"/>
    <xf numFmtId="9" fontId="0" fillId="0" borderId="0" xfId="1" applyFont="1" applyBorder="1"/>
    <xf numFmtId="0" fontId="2" fillId="0" borderId="0" xfId="0" applyFont="1" applyAlignment="1">
      <alignment wrapText="1"/>
    </xf>
    <xf numFmtId="0" fontId="18" fillId="0" borderId="0" xfId="0" applyFont="1" applyAlignment="1">
      <alignment horizontal="center" wrapText="1"/>
    </xf>
    <xf numFmtId="166" fontId="0" fillId="0" borderId="0" xfId="0" applyNumberFormat="1"/>
    <xf numFmtId="0" fontId="0" fillId="0" borderId="0" xfId="0" applyAlignment="1">
      <alignment wrapText="1"/>
    </xf>
    <xf numFmtId="0" fontId="2" fillId="0" borderId="0" xfId="0" applyFont="1" applyAlignment="1">
      <alignment horizontal="center" vertical="center"/>
    </xf>
    <xf numFmtId="0" fontId="4" fillId="0" borderId="76" xfId="0" applyFont="1" applyBorder="1" applyAlignment="1">
      <alignment vertical="center" wrapText="1"/>
    </xf>
    <xf numFmtId="0" fontId="4" fillId="0" borderId="77" xfId="0" applyFont="1" applyBorder="1" applyAlignment="1">
      <alignment vertical="center" wrapText="1"/>
    </xf>
    <xf numFmtId="0" fontId="0" fillId="0" borderId="7" xfId="0" applyBorder="1" applyAlignment="1">
      <alignment horizontal="center"/>
    </xf>
    <xf numFmtId="0" fontId="3" fillId="0" borderId="4" xfId="0" applyFont="1" applyBorder="1" applyAlignment="1">
      <alignment vertical="center"/>
    </xf>
    <xf numFmtId="0" fontId="5" fillId="0" borderId="45"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47" xfId="0" applyFont="1" applyBorder="1" applyAlignment="1">
      <alignment horizontal="center" vertical="center" wrapText="1"/>
    </xf>
    <xf numFmtId="0" fontId="5" fillId="0" borderId="48" xfId="0" applyFont="1" applyBorder="1" applyAlignment="1">
      <alignment horizontal="center" vertical="center" wrapText="1"/>
    </xf>
    <xf numFmtId="0" fontId="5" fillId="0" borderId="30" xfId="0" applyFont="1" applyBorder="1" applyAlignment="1">
      <alignment horizontal="center" vertical="center" wrapText="1"/>
    </xf>
    <xf numFmtId="10" fontId="2" fillId="0" borderId="7" xfId="0" applyNumberFormat="1" applyFont="1" applyBorder="1"/>
    <xf numFmtId="0" fontId="0" fillId="3" borderId="2" xfId="0" applyFill="1" applyBorder="1" applyAlignment="1">
      <alignment horizontal="left" vertical="top" wrapText="1"/>
    </xf>
    <xf numFmtId="9" fontId="0" fillId="3" borderId="0" xfId="0" applyNumberFormat="1" applyFill="1"/>
    <xf numFmtId="0" fontId="0" fillId="2" borderId="4" xfId="0" applyFill="1" applyBorder="1" applyAlignment="1">
      <alignment horizontal="left" vertical="top" wrapText="1"/>
    </xf>
    <xf numFmtId="0" fontId="21" fillId="0" borderId="0" xfId="0" applyFont="1" applyAlignment="1">
      <alignment horizontal="center" vertical="top"/>
    </xf>
    <xf numFmtId="3" fontId="0" fillId="0" borderId="0" xfId="0" applyNumberFormat="1"/>
    <xf numFmtId="3" fontId="6" fillId="0" borderId="0" xfId="0" applyNumberFormat="1" applyFont="1"/>
    <xf numFmtId="9" fontId="6" fillId="0" borderId="0" xfId="1" applyFont="1" applyFill="1" applyBorder="1"/>
    <xf numFmtId="9" fontId="6" fillId="0" borderId="0" xfId="1" applyFont="1"/>
    <xf numFmtId="0" fontId="14" fillId="3" borderId="25" xfId="0" applyFont="1" applyFill="1" applyBorder="1"/>
    <xf numFmtId="0" fontId="12" fillId="3" borderId="9" xfId="0" applyFont="1" applyFill="1" applyBorder="1" applyAlignment="1">
      <alignment horizontal="center" vertical="center"/>
    </xf>
    <xf numFmtId="0" fontId="0" fillId="5" borderId="0" xfId="0" applyFill="1"/>
    <xf numFmtId="0" fontId="2" fillId="5" borderId="12" xfId="0" applyFont="1" applyFill="1" applyBorder="1" applyAlignment="1">
      <alignment wrapText="1"/>
    </xf>
    <xf numFmtId="0" fontId="0" fillId="5" borderId="13" xfId="0" applyFill="1" applyBorder="1"/>
    <xf numFmtId="0" fontId="2" fillId="5" borderId="12" xfId="0" applyFont="1" applyFill="1" applyBorder="1"/>
    <xf numFmtId="0" fontId="2" fillId="5" borderId="13" xfId="0" applyFont="1" applyFill="1" applyBorder="1"/>
    <xf numFmtId="0" fontId="2" fillId="5" borderId="14" xfId="0" applyFont="1" applyFill="1" applyBorder="1"/>
    <xf numFmtId="0" fontId="2" fillId="5" borderId="15" xfId="0" applyFont="1" applyFill="1" applyBorder="1" applyAlignment="1">
      <alignment wrapText="1"/>
    </xf>
    <xf numFmtId="0" fontId="0" fillId="5" borderId="27" xfId="0" applyFill="1" applyBorder="1"/>
    <xf numFmtId="0" fontId="0" fillId="5" borderId="45" xfId="0" applyFill="1" applyBorder="1"/>
    <xf numFmtId="0" fontId="0" fillId="5" borderId="28" xfId="0" applyFill="1" applyBorder="1"/>
    <xf numFmtId="0" fontId="2" fillId="5" borderId="16" xfId="0" applyFont="1" applyFill="1" applyBorder="1" applyAlignment="1">
      <alignment wrapText="1"/>
    </xf>
    <xf numFmtId="0" fontId="0" fillId="5" borderId="46" xfId="0" applyFill="1" applyBorder="1"/>
    <xf numFmtId="0" fontId="0" fillId="5" borderId="44" xfId="0" applyFill="1" applyBorder="1"/>
    <xf numFmtId="0" fontId="0" fillId="5" borderId="47" xfId="0" applyFill="1" applyBorder="1"/>
    <xf numFmtId="0" fontId="2" fillId="5" borderId="17" xfId="0" applyFont="1" applyFill="1" applyBorder="1" applyAlignment="1">
      <alignment wrapText="1"/>
    </xf>
    <xf numFmtId="2" fontId="0" fillId="5" borderId="44" xfId="0" applyNumberFormat="1" applyFill="1" applyBorder="1"/>
    <xf numFmtId="2" fontId="0" fillId="5" borderId="47" xfId="0" applyNumberFormat="1" applyFill="1" applyBorder="1"/>
    <xf numFmtId="0" fontId="0" fillId="5" borderId="7" xfId="0" applyFill="1" applyBorder="1"/>
    <xf numFmtId="0" fontId="0" fillId="5" borderId="29" xfId="0" applyFill="1" applyBorder="1"/>
    <xf numFmtId="2" fontId="0" fillId="5" borderId="48" xfId="0" applyNumberFormat="1" applyFill="1" applyBorder="1"/>
    <xf numFmtId="2" fontId="0" fillId="5" borderId="30" xfId="0" applyNumberFormat="1" applyFill="1" applyBorder="1"/>
    <xf numFmtId="9" fontId="0" fillId="5" borderId="46" xfId="1" applyFont="1" applyFill="1" applyBorder="1"/>
    <xf numFmtId="9" fontId="0" fillId="5" borderId="44" xfId="1" applyFont="1" applyFill="1" applyBorder="1"/>
    <xf numFmtId="9" fontId="0" fillId="5" borderId="47" xfId="1" applyFont="1" applyFill="1" applyBorder="1"/>
    <xf numFmtId="0" fontId="2" fillId="5" borderId="4" xfId="0" applyFont="1" applyFill="1" applyBorder="1" applyAlignment="1">
      <alignment wrapText="1"/>
    </xf>
    <xf numFmtId="9" fontId="0" fillId="5" borderId="29" xfId="1" applyFont="1" applyFill="1" applyBorder="1"/>
    <xf numFmtId="9" fontId="0" fillId="5" borderId="48" xfId="1" applyFont="1" applyFill="1" applyBorder="1"/>
    <xf numFmtId="9" fontId="0" fillId="5" borderId="30" xfId="1" applyFont="1" applyFill="1" applyBorder="1"/>
    <xf numFmtId="0" fontId="2" fillId="5" borderId="9" xfId="0" applyFont="1" applyFill="1" applyBorder="1"/>
    <xf numFmtId="0" fontId="2" fillId="5" borderId="11" xfId="0" applyFont="1" applyFill="1" applyBorder="1"/>
    <xf numFmtId="0" fontId="2" fillId="5" borderId="10" xfId="0" applyFont="1" applyFill="1" applyBorder="1"/>
    <xf numFmtId="166" fontId="0" fillId="5" borderId="27" xfId="0" applyNumberFormat="1" applyFill="1" applyBorder="1"/>
    <xf numFmtId="166" fontId="0" fillId="5" borderId="45" xfId="0" applyNumberFormat="1" applyFill="1" applyBorder="1"/>
    <xf numFmtId="166" fontId="0" fillId="5" borderId="28" xfId="0" applyNumberFormat="1" applyFill="1" applyBorder="1"/>
    <xf numFmtId="166" fontId="0" fillId="5" borderId="46" xfId="0" applyNumberFormat="1" applyFill="1" applyBorder="1"/>
    <xf numFmtId="166" fontId="0" fillId="5" borderId="44" xfId="0" applyNumberFormat="1" applyFill="1" applyBorder="1"/>
    <xf numFmtId="166" fontId="0" fillId="5" borderId="47" xfId="0" applyNumberFormat="1" applyFill="1" applyBorder="1"/>
    <xf numFmtId="166" fontId="0" fillId="5" borderId="29" xfId="0" applyNumberFormat="1" applyFill="1" applyBorder="1"/>
    <xf numFmtId="166" fontId="0" fillId="5" borderId="48" xfId="0" applyNumberFormat="1" applyFill="1" applyBorder="1"/>
    <xf numFmtId="166" fontId="0" fillId="5" borderId="30" xfId="0" applyNumberFormat="1" applyFill="1" applyBorder="1"/>
    <xf numFmtId="0" fontId="2" fillId="5" borderId="27" xfId="0" applyFont="1" applyFill="1" applyBorder="1" applyAlignment="1">
      <alignment wrapText="1"/>
    </xf>
    <xf numFmtId="0" fontId="0" fillId="5" borderId="49" xfId="0" applyFill="1" applyBorder="1"/>
    <xf numFmtId="0" fontId="2" fillId="5" borderId="46" xfId="0" applyFont="1" applyFill="1" applyBorder="1" applyAlignment="1">
      <alignment wrapText="1"/>
    </xf>
    <xf numFmtId="0" fontId="0" fillId="5" borderId="50" xfId="0" applyFill="1" applyBorder="1"/>
    <xf numFmtId="0" fontId="2" fillId="5" borderId="29" xfId="0" applyFont="1" applyFill="1" applyBorder="1" applyAlignment="1">
      <alignment wrapText="1"/>
    </xf>
    <xf numFmtId="0" fontId="0" fillId="5" borderId="48" xfId="0" applyFill="1" applyBorder="1"/>
    <xf numFmtId="0" fontId="0" fillId="5" borderId="51" xfId="0" applyFill="1" applyBorder="1"/>
    <xf numFmtId="0" fontId="2" fillId="5" borderId="22" xfId="0" applyFont="1" applyFill="1" applyBorder="1"/>
    <xf numFmtId="0" fontId="2" fillId="5" borderId="31" xfId="0" applyFont="1" applyFill="1" applyBorder="1"/>
    <xf numFmtId="0" fontId="2" fillId="5" borderId="53" xfId="0" applyFont="1" applyFill="1" applyBorder="1"/>
    <xf numFmtId="0" fontId="2" fillId="5" borderId="57" xfId="0" applyFont="1" applyFill="1" applyBorder="1"/>
    <xf numFmtId="0" fontId="2" fillId="5" borderId="62" xfId="0" applyFont="1" applyFill="1" applyBorder="1"/>
    <xf numFmtId="0" fontId="0" fillId="5" borderId="66" xfId="0" applyFill="1" applyBorder="1"/>
    <xf numFmtId="0" fontId="2" fillId="5" borderId="63" xfId="0" applyFont="1" applyFill="1" applyBorder="1"/>
    <xf numFmtId="0" fontId="0" fillId="5" borderId="67" xfId="0" applyFill="1" applyBorder="1"/>
    <xf numFmtId="0" fontId="2" fillId="5" borderId="64" xfId="0" applyFont="1" applyFill="1" applyBorder="1"/>
    <xf numFmtId="0" fontId="0" fillId="5" borderId="30" xfId="0" applyFill="1" applyBorder="1"/>
    <xf numFmtId="0" fontId="0" fillId="5" borderId="68" xfId="0" applyFill="1" applyBorder="1"/>
    <xf numFmtId="0" fontId="19" fillId="5" borderId="63" xfId="0" applyFont="1" applyFill="1" applyBorder="1"/>
    <xf numFmtId="0" fontId="2" fillId="5" borderId="20" xfId="0" applyFont="1" applyFill="1" applyBorder="1"/>
    <xf numFmtId="0" fontId="0" fillId="5" borderId="54" xfId="0" applyFill="1" applyBorder="1"/>
    <xf numFmtId="0" fontId="0" fillId="5" borderId="55" xfId="0" applyFill="1" applyBorder="1"/>
    <xf numFmtId="0" fontId="0" fillId="5" borderId="56" xfId="0" applyFill="1" applyBorder="1"/>
    <xf numFmtId="0" fontId="0" fillId="5" borderId="69" xfId="0" applyFill="1" applyBorder="1"/>
    <xf numFmtId="0" fontId="2" fillId="5" borderId="65" xfId="0" applyFont="1" applyFill="1" applyBorder="1"/>
    <xf numFmtId="0" fontId="0" fillId="5" borderId="59" xfId="0" applyFill="1" applyBorder="1"/>
    <xf numFmtId="0" fontId="0" fillId="5" borderId="60" xfId="0" applyFill="1" applyBorder="1"/>
    <xf numFmtId="0" fontId="0" fillId="5" borderId="61" xfId="0" applyFill="1" applyBorder="1"/>
    <xf numFmtId="0" fontId="0" fillId="5" borderId="70" xfId="0" applyFill="1" applyBorder="1"/>
    <xf numFmtId="0" fontId="0" fillId="5" borderId="62" xfId="0" applyFill="1" applyBorder="1"/>
    <xf numFmtId="0" fontId="0" fillId="5" borderId="12" xfId="0" applyFill="1" applyBorder="1"/>
    <xf numFmtId="0" fontId="2" fillId="5" borderId="25" xfId="0" applyFont="1" applyFill="1" applyBorder="1"/>
    <xf numFmtId="0" fontId="2" fillId="5" borderId="71" xfId="0" applyFont="1" applyFill="1" applyBorder="1"/>
    <xf numFmtId="0" fontId="2" fillId="5" borderId="26" xfId="0" applyFont="1" applyFill="1" applyBorder="1"/>
    <xf numFmtId="0" fontId="2" fillId="5" borderId="19" xfId="0" applyFont="1" applyFill="1" applyBorder="1"/>
    <xf numFmtId="0" fontId="0" fillId="5" borderId="72" xfId="0" applyFill="1" applyBorder="1"/>
    <xf numFmtId="0" fontId="0" fillId="5" borderId="73" xfId="0" applyFill="1" applyBorder="1"/>
    <xf numFmtId="0" fontId="2" fillId="5" borderId="74" xfId="0" applyFont="1" applyFill="1" applyBorder="1"/>
    <xf numFmtId="0" fontId="0" fillId="5" borderId="15" xfId="0" applyFill="1" applyBorder="1"/>
    <xf numFmtId="0" fontId="0" fillId="5" borderId="14" xfId="0" applyFill="1" applyBorder="1"/>
    <xf numFmtId="167" fontId="0" fillId="5" borderId="14" xfId="0" applyNumberFormat="1" applyFill="1" applyBorder="1"/>
    <xf numFmtId="0" fontId="0" fillId="5" borderId="4" xfId="0" applyFill="1" applyBorder="1"/>
    <xf numFmtId="10" fontId="0" fillId="5" borderId="5" xfId="0" applyNumberFormat="1" applyFill="1" applyBorder="1"/>
    <xf numFmtId="0" fontId="0" fillId="5" borderId="16" xfId="0" applyFill="1" applyBorder="1"/>
    <xf numFmtId="0" fontId="0" fillId="5" borderId="5" xfId="0" applyFill="1" applyBorder="1"/>
    <xf numFmtId="0" fontId="2" fillId="5" borderId="18" xfId="0" applyFont="1" applyFill="1" applyBorder="1"/>
    <xf numFmtId="167" fontId="2" fillId="5" borderId="10" xfId="0" applyNumberFormat="1" applyFont="1" applyFill="1" applyBorder="1"/>
    <xf numFmtId="0" fontId="0" fillId="5" borderId="18" xfId="0" applyFill="1" applyBorder="1"/>
    <xf numFmtId="9" fontId="0" fillId="5" borderId="5" xfId="0" applyNumberFormat="1" applyFill="1" applyBorder="1"/>
    <xf numFmtId="167" fontId="0" fillId="5" borderId="5" xfId="1" applyNumberFormat="1" applyFont="1" applyFill="1" applyBorder="1"/>
    <xf numFmtId="0" fontId="0" fillId="5" borderId="9" xfId="0" applyFill="1" applyBorder="1"/>
    <xf numFmtId="9" fontId="0" fillId="5" borderId="10" xfId="0" applyNumberFormat="1" applyFill="1" applyBorder="1"/>
    <xf numFmtId="0" fontId="0" fillId="5" borderId="18" xfId="0" applyFill="1" applyBorder="1" applyAlignment="1">
      <alignment vertical="top" wrapText="1"/>
    </xf>
    <xf numFmtId="167" fontId="2" fillId="5" borderId="10" xfId="1" applyNumberFormat="1" applyFont="1" applyFill="1" applyBorder="1"/>
    <xf numFmtId="0" fontId="2" fillId="5" borderId="15" xfId="0" applyFont="1" applyFill="1" applyBorder="1"/>
    <xf numFmtId="0" fontId="2" fillId="5" borderId="17" xfId="0" applyFont="1" applyFill="1" applyBorder="1"/>
    <xf numFmtId="0" fontId="2" fillId="5" borderId="16" xfId="0" applyFont="1" applyFill="1" applyBorder="1"/>
    <xf numFmtId="0" fontId="0" fillId="5" borderId="80" xfId="0" applyFill="1" applyBorder="1"/>
    <xf numFmtId="0" fontId="0" fillId="5" borderId="75" xfId="0" applyFill="1" applyBorder="1"/>
    <xf numFmtId="0" fontId="0" fillId="5" borderId="8" xfId="0" applyFill="1" applyBorder="1"/>
    <xf numFmtId="0" fontId="0" fillId="2" borderId="4" xfId="0" applyFill="1" applyBorder="1" applyAlignment="1">
      <alignment vertical="top" wrapText="1"/>
    </xf>
    <xf numFmtId="0" fontId="2" fillId="6" borderId="18" xfId="0" applyFont="1" applyFill="1" applyBorder="1"/>
    <xf numFmtId="0" fontId="2" fillId="6" borderId="9" xfId="0" applyFont="1" applyFill="1" applyBorder="1"/>
    <xf numFmtId="0" fontId="2" fillId="6" borderId="10" xfId="0" applyFont="1" applyFill="1" applyBorder="1" applyAlignment="1">
      <alignment wrapText="1"/>
    </xf>
    <xf numFmtId="0" fontId="2" fillId="6" borderId="11" xfId="0" applyFont="1" applyFill="1" applyBorder="1"/>
    <xf numFmtId="0" fontId="2" fillId="6" borderId="19" xfId="0" applyFont="1" applyFill="1" applyBorder="1"/>
    <xf numFmtId="0" fontId="2" fillId="6" borderId="10" xfId="0" applyFont="1" applyFill="1" applyBorder="1"/>
    <xf numFmtId="0" fontId="0" fillId="6" borderId="15" xfId="0" applyFill="1" applyBorder="1" applyAlignment="1">
      <alignment wrapText="1"/>
    </xf>
    <xf numFmtId="0" fontId="0" fillId="6" borderId="4" xfId="0" applyFill="1" applyBorder="1" applyAlignment="1">
      <alignment wrapText="1"/>
    </xf>
    <xf numFmtId="0" fontId="0" fillId="6" borderId="53" xfId="0" applyFill="1" applyBorder="1"/>
    <xf numFmtId="0" fontId="0" fillId="6" borderId="0" xfId="0" applyFill="1"/>
    <xf numFmtId="0" fontId="0" fillId="6" borderId="52" xfId="0" applyFill="1" applyBorder="1"/>
    <xf numFmtId="0" fontId="0" fillId="6" borderId="5" xfId="0" applyFill="1" applyBorder="1"/>
    <xf numFmtId="0" fontId="0" fillId="6" borderId="16" xfId="0" applyFill="1" applyBorder="1" applyAlignment="1">
      <alignment wrapText="1"/>
    </xf>
    <xf numFmtId="0" fontId="0" fillId="6" borderId="81" xfId="0" applyFill="1" applyBorder="1"/>
    <xf numFmtId="0" fontId="0" fillId="6" borderId="17" xfId="0" applyFill="1" applyBorder="1" applyAlignment="1">
      <alignment wrapText="1"/>
    </xf>
    <xf numFmtId="0" fontId="0" fillId="6" borderId="6" xfId="0" applyFill="1" applyBorder="1" applyAlignment="1">
      <alignment wrapText="1"/>
    </xf>
    <xf numFmtId="0" fontId="0" fillId="6" borderId="82" xfId="0" applyFill="1" applyBorder="1"/>
    <xf numFmtId="0" fontId="0" fillId="6" borderId="7" xfId="0" applyFill="1" applyBorder="1"/>
    <xf numFmtId="0" fontId="0" fillId="6" borderId="58" xfId="0" applyFill="1" applyBorder="1"/>
    <xf numFmtId="0" fontId="0" fillId="6" borderId="8" xfId="0" applyFill="1" applyBorder="1"/>
    <xf numFmtId="0" fontId="2" fillId="6" borderId="16" xfId="0" applyFont="1" applyFill="1" applyBorder="1"/>
    <xf numFmtId="0" fontId="0" fillId="6" borderId="4" xfId="0" applyFill="1" applyBorder="1"/>
    <xf numFmtId="0" fontId="2" fillId="6" borderId="17" xfId="0" applyFont="1" applyFill="1" applyBorder="1"/>
    <xf numFmtId="0" fontId="0" fillId="6" borderId="6" xfId="0" applyFill="1" applyBorder="1"/>
    <xf numFmtId="0" fontId="0" fillId="6" borderId="11" xfId="0" applyFill="1" applyBorder="1"/>
    <xf numFmtId="9" fontId="0" fillId="6" borderId="9" xfId="1" applyFont="1" applyFill="1" applyBorder="1"/>
    <xf numFmtId="9" fontId="0" fillId="6" borderId="11" xfId="1" applyFont="1" applyFill="1" applyBorder="1"/>
    <xf numFmtId="9" fontId="0" fillId="6" borderId="10" xfId="1" applyFont="1" applyFill="1" applyBorder="1"/>
    <xf numFmtId="1" fontId="11" fillId="5" borderId="8" xfId="0" applyNumberFormat="1" applyFont="1" applyFill="1" applyBorder="1"/>
    <xf numFmtId="0" fontId="11" fillId="5" borderId="12" xfId="0" applyFont="1" applyFill="1" applyBorder="1"/>
    <xf numFmtId="0" fontId="11" fillId="5" borderId="6" xfId="0" applyFont="1" applyFill="1" applyBorder="1"/>
    <xf numFmtId="0" fontId="0" fillId="6" borderId="13" xfId="0" applyFill="1" applyBorder="1"/>
    <xf numFmtId="0" fontId="2" fillId="6" borderId="4" xfId="0" applyFont="1" applyFill="1" applyBorder="1"/>
    <xf numFmtId="0" fontId="0" fillId="6" borderId="28" xfId="0" applyFill="1" applyBorder="1"/>
    <xf numFmtId="0" fontId="0" fillId="6" borderId="30" xfId="0" applyFill="1" applyBorder="1"/>
    <xf numFmtId="0" fontId="6" fillId="6" borderId="4" xfId="0" applyFont="1" applyFill="1" applyBorder="1"/>
    <xf numFmtId="0" fontId="2" fillId="6" borderId="12" xfId="0" applyFont="1" applyFill="1" applyBorder="1"/>
    <xf numFmtId="0" fontId="0" fillId="6" borderId="14" xfId="0" applyFill="1" applyBorder="1"/>
    <xf numFmtId="0" fontId="2" fillId="6" borderId="15" xfId="0" applyFont="1" applyFill="1" applyBorder="1"/>
    <xf numFmtId="165" fontId="1" fillId="6" borderId="4" xfId="1" applyNumberFormat="1" applyFont="1" applyFill="1" applyBorder="1"/>
    <xf numFmtId="9" fontId="0" fillId="6" borderId="4" xfId="1" applyFont="1" applyFill="1" applyBorder="1"/>
    <xf numFmtId="165" fontId="0" fillId="6" borderId="16" xfId="0" applyNumberFormat="1" applyFill="1" applyBorder="1"/>
    <xf numFmtId="0" fontId="0" fillId="6" borderId="17" xfId="0" applyFill="1" applyBorder="1"/>
    <xf numFmtId="0" fontId="0" fillId="6" borderId="9" xfId="0" applyFill="1" applyBorder="1"/>
    <xf numFmtId="0" fontId="0" fillId="6" borderId="10" xfId="0" applyFill="1" applyBorder="1"/>
    <xf numFmtId="0" fontId="2" fillId="6" borderId="16" xfId="0" applyFont="1" applyFill="1" applyBorder="1" applyAlignment="1">
      <alignment wrapText="1"/>
    </xf>
    <xf numFmtId="2" fontId="0" fillId="6" borderId="0" xfId="0" applyNumberFormat="1" applyFill="1"/>
    <xf numFmtId="2" fontId="0" fillId="6" borderId="5" xfId="0" applyNumberFormat="1" applyFill="1" applyBorder="1"/>
    <xf numFmtId="0" fontId="2" fillId="6" borderId="17" xfId="0" applyFont="1" applyFill="1" applyBorder="1" applyAlignment="1">
      <alignment wrapText="1"/>
    </xf>
    <xf numFmtId="2" fontId="0" fillId="6" borderId="7" xfId="0" applyNumberFormat="1" applyFill="1" applyBorder="1"/>
    <xf numFmtId="2" fontId="0" fillId="6" borderId="8" xfId="0" applyNumberFormat="1" applyFill="1" applyBorder="1"/>
    <xf numFmtId="0" fontId="2" fillId="6" borderId="0" xfId="0" applyFont="1" applyFill="1"/>
    <xf numFmtId="0" fontId="0" fillId="6" borderId="12" xfId="0" applyFill="1" applyBorder="1"/>
    <xf numFmtId="0" fontId="2" fillId="6" borderId="18" xfId="0" applyFont="1" applyFill="1" applyBorder="1" applyAlignment="1">
      <alignment wrapText="1"/>
    </xf>
    <xf numFmtId="2" fontId="0" fillId="6" borderId="11" xfId="0" applyNumberFormat="1" applyFill="1" applyBorder="1"/>
    <xf numFmtId="2" fontId="0" fillId="6" borderId="10" xfId="0" applyNumberFormat="1" applyFill="1" applyBorder="1"/>
    <xf numFmtId="164" fontId="2" fillId="6" borderId="10" xfId="0" applyNumberFormat="1" applyFont="1" applyFill="1" applyBorder="1" applyAlignment="1">
      <alignment wrapText="1"/>
    </xf>
    <xf numFmtId="0" fontId="2" fillId="6" borderId="13" xfId="0" applyFont="1" applyFill="1" applyBorder="1"/>
    <xf numFmtId="167" fontId="22" fillId="6" borderId="18" xfId="1" applyNumberFormat="1" applyFont="1" applyFill="1" applyBorder="1" applyAlignment="1">
      <alignment wrapText="1"/>
    </xf>
    <xf numFmtId="0" fontId="0" fillId="6" borderId="18" xfId="0" applyFill="1" applyBorder="1" applyAlignment="1">
      <alignment wrapText="1"/>
    </xf>
    <xf numFmtId="0" fontId="0" fillId="8" borderId="0" xfId="0" applyFill="1"/>
    <xf numFmtId="0" fontId="6" fillId="8" borderId="0" xfId="0" applyFont="1" applyFill="1"/>
    <xf numFmtId="1" fontId="6" fillId="0" borderId="0" xfId="0" applyNumberFormat="1" applyFont="1"/>
    <xf numFmtId="0" fontId="8" fillId="0" borderId="0" xfId="0" applyFont="1"/>
    <xf numFmtId="2" fontId="6" fillId="0" borderId="0" xfId="0" applyNumberFormat="1" applyFont="1"/>
    <xf numFmtId="9" fontId="6" fillId="0" borderId="0" xfId="0" applyNumberFormat="1" applyFont="1"/>
    <xf numFmtId="1" fontId="11" fillId="5" borderId="14" xfId="0" applyNumberFormat="1" applyFont="1" applyFill="1" applyBorder="1" applyAlignment="1">
      <alignment horizontal="center"/>
    </xf>
    <xf numFmtId="9" fontId="2" fillId="5" borderId="10" xfId="0" applyNumberFormat="1" applyFont="1" applyFill="1" applyBorder="1"/>
    <xf numFmtId="0" fontId="2" fillId="5" borderId="5" xfId="0" applyFont="1" applyFill="1" applyBorder="1"/>
    <xf numFmtId="0" fontId="2" fillId="2" borderId="4" xfId="0" applyFont="1" applyFill="1" applyBorder="1" applyAlignment="1">
      <alignment wrapText="1"/>
    </xf>
    <xf numFmtId="167" fontId="2" fillId="6" borderId="18" xfId="1" applyNumberFormat="1" applyFont="1" applyFill="1" applyBorder="1" applyAlignment="1">
      <alignment wrapText="1"/>
    </xf>
    <xf numFmtId="0" fontId="2" fillId="6" borderId="12" xfId="0" applyFont="1" applyFill="1" applyBorder="1" applyAlignment="1">
      <alignment horizontal="right"/>
    </xf>
    <xf numFmtId="9" fontId="2" fillId="6" borderId="14" xfId="1" applyFont="1" applyFill="1" applyBorder="1" applyAlignment="1">
      <alignment horizontal="left"/>
    </xf>
    <xf numFmtId="0" fontId="2" fillId="6" borderId="6" xfId="0" applyFont="1" applyFill="1" applyBorder="1" applyAlignment="1">
      <alignment horizontal="right"/>
    </xf>
    <xf numFmtId="9" fontId="2" fillId="6" borderId="8" xfId="0" applyNumberFormat="1" applyFont="1" applyFill="1" applyBorder="1" applyAlignment="1">
      <alignment horizontal="left"/>
    </xf>
    <xf numFmtId="0" fontId="14" fillId="6" borderId="25" xfId="0" applyFont="1" applyFill="1" applyBorder="1" applyAlignment="1">
      <alignment vertical="center"/>
    </xf>
    <xf numFmtId="0" fontId="12" fillId="6" borderId="9" xfId="0" applyFont="1" applyFill="1" applyBorder="1" applyAlignment="1">
      <alignment horizontal="center" vertical="center"/>
    </xf>
    <xf numFmtId="0" fontId="14" fillId="6" borderId="24" xfId="0" applyFont="1" applyFill="1" applyBorder="1" applyAlignment="1">
      <alignment vertical="center"/>
    </xf>
    <xf numFmtId="0" fontId="12" fillId="6" borderId="6" xfId="0" applyFont="1" applyFill="1" applyBorder="1" applyAlignment="1">
      <alignment horizontal="center" vertical="center"/>
    </xf>
    <xf numFmtId="165" fontId="0" fillId="2" borderId="0" xfId="0" applyNumberFormat="1" applyFill="1"/>
    <xf numFmtId="165" fontId="0" fillId="2" borderId="8" xfId="0" applyNumberFormat="1" applyFill="1" applyBorder="1"/>
    <xf numFmtId="0" fontId="9" fillId="2" borderId="70" xfId="0" applyFont="1" applyFill="1" applyBorder="1"/>
    <xf numFmtId="0" fontId="9" fillId="2" borderId="52" xfId="0" applyFont="1" applyFill="1" applyBorder="1"/>
    <xf numFmtId="0" fontId="9" fillId="2" borderId="69" xfId="0" applyFont="1" applyFill="1" applyBorder="1"/>
    <xf numFmtId="0" fontId="0" fillId="2" borderId="85" xfId="0" applyFill="1" applyBorder="1"/>
    <xf numFmtId="0" fontId="0" fillId="2" borderId="3" xfId="0" applyFill="1" applyBorder="1"/>
    <xf numFmtId="165" fontId="0" fillId="3" borderId="5" xfId="1" applyNumberFormat="1" applyFont="1" applyFill="1" applyBorder="1" applyAlignment="1">
      <alignment horizontal="right" wrapText="1"/>
    </xf>
    <xf numFmtId="0" fontId="0" fillId="9" borderId="0" xfId="0" applyFill="1"/>
    <xf numFmtId="3" fontId="6" fillId="9" borderId="0" xfId="0" applyNumberFormat="1" applyFont="1" applyFill="1"/>
    <xf numFmtId="0" fontId="6" fillId="9" borderId="0" xfId="0" applyFont="1" applyFill="1"/>
    <xf numFmtId="0" fontId="8" fillId="9" borderId="0" xfId="0" applyFont="1" applyFill="1" applyAlignment="1">
      <alignment horizontal="center" vertical="center" wrapText="1"/>
    </xf>
    <xf numFmtId="0" fontId="8" fillId="9" borderId="0" xfId="0" applyFont="1" applyFill="1" applyAlignment="1">
      <alignment vertical="center" wrapText="1"/>
    </xf>
    <xf numFmtId="3" fontId="6" fillId="9" borderId="0" xfId="0" applyNumberFormat="1" applyFont="1" applyFill="1" applyAlignment="1">
      <alignment vertical="center" wrapText="1"/>
    </xf>
    <xf numFmtId="0" fontId="2" fillId="3" borderId="46" xfId="0" applyFont="1" applyFill="1" applyBorder="1"/>
    <xf numFmtId="0" fontId="2" fillId="3" borderId="29" xfId="0" applyFont="1" applyFill="1" applyBorder="1"/>
    <xf numFmtId="1" fontId="0" fillId="3" borderId="6" xfId="0" applyNumberFormat="1" applyFill="1" applyBorder="1"/>
    <xf numFmtId="1" fontId="0" fillId="3" borderId="7" xfId="0" applyNumberFormat="1" applyFill="1" applyBorder="1"/>
    <xf numFmtId="1" fontId="0" fillId="3" borderId="8" xfId="0" applyNumberFormat="1" applyFill="1" applyBorder="1"/>
    <xf numFmtId="0" fontId="0" fillId="9" borderId="0" xfId="0" applyFill="1" applyAlignment="1">
      <alignment wrapText="1"/>
    </xf>
    <xf numFmtId="0" fontId="6" fillId="9" borderId="0" xfId="0" applyFont="1" applyFill="1" applyAlignment="1">
      <alignment wrapText="1"/>
    </xf>
    <xf numFmtId="0" fontId="0" fillId="3" borderId="0" xfId="0" applyFill="1" applyAlignment="1">
      <alignment wrapText="1"/>
    </xf>
    <xf numFmtId="1" fontId="0" fillId="3" borderId="0" xfId="0" applyNumberFormat="1" applyFill="1" applyAlignment="1">
      <alignment wrapText="1"/>
    </xf>
    <xf numFmtId="0" fontId="2" fillId="9" borderId="0" xfId="0" applyFont="1" applyFill="1" applyAlignment="1">
      <alignment wrapText="1"/>
    </xf>
    <xf numFmtId="1" fontId="0" fillId="9" borderId="0" xfId="0" applyNumberFormat="1" applyFill="1" applyAlignment="1">
      <alignment wrapText="1"/>
    </xf>
    <xf numFmtId="10" fontId="0" fillId="9" borderId="0" xfId="1" applyNumberFormat="1" applyFont="1" applyFill="1" applyBorder="1"/>
    <xf numFmtId="10" fontId="0" fillId="3" borderId="6" xfId="1" applyNumberFormat="1" applyFont="1" applyFill="1" applyBorder="1"/>
    <xf numFmtId="1" fontId="0" fillId="3" borderId="6" xfId="0" applyNumberFormat="1" applyFill="1" applyBorder="1" applyAlignment="1">
      <alignment wrapText="1"/>
    </xf>
    <xf numFmtId="1" fontId="0" fillId="3" borderId="7" xfId="0" applyNumberFormat="1" applyFill="1" applyBorder="1" applyAlignment="1">
      <alignment wrapText="1"/>
    </xf>
    <xf numFmtId="1" fontId="0" fillId="3" borderId="8" xfId="0" applyNumberFormat="1" applyFill="1" applyBorder="1" applyAlignment="1">
      <alignment wrapText="1"/>
    </xf>
    <xf numFmtId="0" fontId="26" fillId="6" borderId="4" xfId="0" applyFont="1" applyFill="1" applyBorder="1"/>
    <xf numFmtId="0" fontId="27" fillId="8" borderId="0" xfId="0" applyFont="1" applyFill="1"/>
    <xf numFmtId="0" fontId="17" fillId="4" borderId="40" xfId="0" applyFont="1" applyFill="1" applyBorder="1" applyAlignment="1">
      <alignment horizontal="center"/>
    </xf>
    <xf numFmtId="0" fontId="17" fillId="4" borderId="41" xfId="0" applyFont="1" applyFill="1" applyBorder="1" applyAlignment="1">
      <alignment horizontal="center"/>
    </xf>
    <xf numFmtId="0" fontId="12" fillId="6" borderId="15" xfId="0" applyFont="1" applyFill="1" applyBorder="1" applyAlignment="1">
      <alignment horizontal="center" vertical="center" textRotation="180"/>
    </xf>
    <xf numFmtId="0" fontId="12" fillId="6" borderId="16" xfId="0" applyFont="1" applyFill="1" applyBorder="1" applyAlignment="1">
      <alignment horizontal="center" vertical="center" textRotation="180"/>
    </xf>
    <xf numFmtId="0" fontId="12" fillId="6" borderId="17" xfId="0" applyFont="1" applyFill="1" applyBorder="1" applyAlignment="1">
      <alignment horizontal="center" vertical="center" textRotation="180"/>
    </xf>
    <xf numFmtId="0" fontId="2" fillId="6" borderId="12" xfId="0" applyFont="1" applyFill="1" applyBorder="1" applyAlignment="1">
      <alignment horizontal="center"/>
    </xf>
    <xf numFmtId="0" fontId="2" fillId="6" borderId="13" xfId="0" applyFont="1" applyFill="1" applyBorder="1" applyAlignment="1">
      <alignment horizontal="center"/>
    </xf>
    <xf numFmtId="0" fontId="2" fillId="6" borderId="4" xfId="0" applyFont="1" applyFill="1" applyBorder="1" applyAlignment="1">
      <alignment horizontal="center"/>
    </xf>
    <xf numFmtId="0" fontId="2" fillId="6" borderId="0" xfId="0" applyFont="1" applyFill="1" applyAlignment="1">
      <alignment horizontal="center"/>
    </xf>
    <xf numFmtId="0" fontId="11" fillId="6" borderId="9" xfId="0" applyFont="1" applyFill="1" applyBorder="1" applyAlignment="1">
      <alignment horizontal="center"/>
    </xf>
    <xf numFmtId="0" fontId="11" fillId="6" borderId="11" xfId="0" applyFont="1" applyFill="1" applyBorder="1" applyAlignment="1">
      <alignment horizontal="center"/>
    </xf>
    <xf numFmtId="0" fontId="11" fillId="6" borderId="10" xfId="0" applyFont="1" applyFill="1" applyBorder="1" applyAlignment="1">
      <alignment horizontal="center"/>
    </xf>
    <xf numFmtId="9" fontId="2" fillId="6" borderId="0" xfId="1" applyFont="1" applyFill="1" applyBorder="1" applyAlignment="1">
      <alignment horizontal="center"/>
    </xf>
    <xf numFmtId="0" fontId="0" fillId="6" borderId="15" xfId="0" applyFill="1" applyBorder="1" applyAlignment="1">
      <alignment horizontal="center" wrapText="1"/>
    </xf>
    <xf numFmtId="0" fontId="0" fillId="6" borderId="16" xfId="0" applyFill="1" applyBorder="1" applyAlignment="1">
      <alignment horizontal="center" wrapText="1"/>
    </xf>
    <xf numFmtId="0" fontId="0" fillId="6" borderId="17" xfId="0" applyFill="1" applyBorder="1" applyAlignment="1">
      <alignment horizontal="center" wrapText="1"/>
    </xf>
    <xf numFmtId="0" fontId="0" fillId="6" borderId="12"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6" xfId="0" applyFill="1" applyBorder="1" applyAlignment="1">
      <alignment horizontal="center" vertical="center" wrapText="1"/>
    </xf>
    <xf numFmtId="0" fontId="0" fillId="6" borderId="8" xfId="0" applyFill="1" applyBorder="1" applyAlignment="1">
      <alignment horizontal="center" vertical="center" wrapText="1"/>
    </xf>
    <xf numFmtId="0" fontId="0" fillId="6" borderId="14" xfId="0" applyFill="1" applyBorder="1" applyAlignment="1">
      <alignment horizontal="center" wrapText="1"/>
    </xf>
    <xf numFmtId="0" fontId="0" fillId="6" borderId="8" xfId="0" applyFill="1" applyBorder="1" applyAlignment="1">
      <alignment horizontal="center" wrapText="1"/>
    </xf>
    <xf numFmtId="0" fontId="2" fillId="6" borderId="27" xfId="0" applyFont="1" applyFill="1" applyBorder="1" applyAlignment="1">
      <alignment horizontal="center" wrapText="1"/>
    </xf>
    <xf numFmtId="0" fontId="2" fillId="6" borderId="45" xfId="0" applyFont="1" applyFill="1" applyBorder="1" applyAlignment="1">
      <alignment horizontal="center" wrapText="1"/>
    </xf>
    <xf numFmtId="0" fontId="2" fillId="6" borderId="29" xfId="0" applyFont="1" applyFill="1" applyBorder="1" applyAlignment="1">
      <alignment horizontal="center" wrapText="1"/>
    </xf>
    <xf numFmtId="0" fontId="2" fillId="6" borderId="48" xfId="0" applyFont="1" applyFill="1" applyBorder="1" applyAlignment="1">
      <alignment horizontal="center" wrapText="1"/>
    </xf>
    <xf numFmtId="0" fontId="0" fillId="6" borderId="9" xfId="0" applyFill="1" applyBorder="1" applyAlignment="1">
      <alignment horizontal="center"/>
    </xf>
    <xf numFmtId="0" fontId="0" fillId="6" borderId="10" xfId="0" applyFill="1" applyBorder="1" applyAlignment="1">
      <alignment horizontal="center"/>
    </xf>
    <xf numFmtId="0" fontId="2" fillId="6" borderId="9" xfId="0" applyFont="1" applyFill="1" applyBorder="1" applyAlignment="1">
      <alignment horizontal="left"/>
    </xf>
    <xf numFmtId="0" fontId="2" fillId="6" borderId="10" xfId="0" applyFont="1" applyFill="1" applyBorder="1" applyAlignment="1">
      <alignment horizontal="left"/>
    </xf>
    <xf numFmtId="0" fontId="23" fillId="6" borderId="84" xfId="0" applyFont="1" applyFill="1" applyBorder="1" applyAlignment="1">
      <alignment horizontal="center" vertical="center" wrapText="1"/>
    </xf>
    <xf numFmtId="0" fontId="23" fillId="6" borderId="57" xfId="0" applyFont="1" applyFill="1" applyBorder="1" applyAlignment="1">
      <alignment horizontal="center" vertical="center" wrapText="1"/>
    </xf>
    <xf numFmtId="0" fontId="23" fillId="6" borderId="2" xfId="0" applyFont="1" applyFill="1" applyBorder="1" applyAlignment="1">
      <alignment horizontal="center" vertical="center" wrapText="1"/>
    </xf>
    <xf numFmtId="0" fontId="23" fillId="6" borderId="52" xfId="0" applyFont="1" applyFill="1" applyBorder="1" applyAlignment="1">
      <alignment horizontal="center" vertical="center" wrapText="1"/>
    </xf>
    <xf numFmtId="0" fontId="23" fillId="6" borderId="83" xfId="0" applyFont="1" applyFill="1" applyBorder="1" applyAlignment="1">
      <alignment horizontal="center" vertical="center" wrapText="1"/>
    </xf>
    <xf numFmtId="0" fontId="23" fillId="6" borderId="69" xfId="0" applyFont="1" applyFill="1" applyBorder="1" applyAlignment="1">
      <alignment horizontal="center" vertical="center" wrapText="1"/>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1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2" fillId="6" borderId="12" xfId="0" applyFont="1" applyFill="1" applyBorder="1" applyAlignment="1">
      <alignment horizontal="center" wrapText="1"/>
    </xf>
    <xf numFmtId="0" fontId="2" fillId="6" borderId="14" xfId="0" applyFont="1" applyFill="1" applyBorder="1" applyAlignment="1">
      <alignment horizontal="center"/>
    </xf>
    <xf numFmtId="0" fontId="2" fillId="6" borderId="6" xfId="0" applyFont="1" applyFill="1" applyBorder="1" applyAlignment="1">
      <alignment horizontal="center"/>
    </xf>
    <xf numFmtId="0" fontId="2" fillId="6" borderId="8" xfId="0" applyFont="1" applyFill="1" applyBorder="1" applyAlignment="1">
      <alignment horizontal="center"/>
    </xf>
    <xf numFmtId="10" fontId="0" fillId="6" borderId="15" xfId="1" applyNumberFormat="1" applyFont="1" applyFill="1" applyBorder="1" applyAlignment="1">
      <alignment horizontal="center"/>
    </xf>
    <xf numFmtId="10" fontId="0" fillId="6" borderId="17" xfId="1" applyNumberFormat="1" applyFont="1" applyFill="1" applyBorder="1" applyAlignment="1">
      <alignment horizontal="center"/>
    </xf>
    <xf numFmtId="2" fontId="0" fillId="6" borderId="0" xfId="0" applyNumberFormat="1" applyFill="1" applyAlignment="1">
      <alignment horizontal="center"/>
    </xf>
    <xf numFmtId="0" fontId="15" fillId="6" borderId="6" xfId="0" applyFont="1" applyFill="1" applyBorder="1" applyAlignment="1">
      <alignment horizontal="center" vertical="center"/>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2" fillId="6" borderId="0" xfId="0" applyFont="1" applyFill="1" applyAlignment="1">
      <alignment horizontal="center" vertical="center"/>
    </xf>
    <xf numFmtId="164" fontId="0" fillId="6" borderId="0" xfId="0" applyNumberFormat="1" applyFill="1" applyAlignment="1">
      <alignment horizontal="center"/>
    </xf>
    <xf numFmtId="9" fontId="2" fillId="6" borderId="5" xfId="1" applyFont="1" applyFill="1" applyBorder="1" applyAlignment="1">
      <alignment horizontal="center" vertical="center"/>
    </xf>
    <xf numFmtId="9" fontId="2" fillId="6" borderId="8" xfId="1" applyFont="1" applyFill="1" applyBorder="1" applyAlignment="1">
      <alignment horizontal="center" vertical="center"/>
    </xf>
    <xf numFmtId="0" fontId="2" fillId="6" borderId="0" xfId="0" applyFont="1" applyFill="1" applyAlignment="1">
      <alignment horizontal="left"/>
    </xf>
    <xf numFmtId="0" fontId="7" fillId="2" borderId="12" xfId="0" applyFont="1" applyFill="1" applyBorder="1" applyAlignment="1">
      <alignment horizontal="center"/>
    </xf>
    <xf numFmtId="0" fontId="7" fillId="2" borderId="13" xfId="0" applyFont="1" applyFill="1" applyBorder="1" applyAlignment="1">
      <alignment horizontal="center"/>
    </xf>
    <xf numFmtId="0" fontId="7" fillId="2" borderId="14" xfId="0" applyFont="1" applyFill="1" applyBorder="1" applyAlignment="1">
      <alignment horizontal="center"/>
    </xf>
    <xf numFmtId="0" fontId="7" fillId="2" borderId="4" xfId="0" applyFont="1" applyFill="1" applyBorder="1" applyAlignment="1">
      <alignment horizontal="center"/>
    </xf>
    <xf numFmtId="0" fontId="7" fillId="2" borderId="0" xfId="0" applyFont="1" applyFill="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13" fillId="6" borderId="12" xfId="0" applyFont="1" applyFill="1" applyBorder="1" applyAlignment="1">
      <alignment horizontal="center"/>
    </xf>
    <xf numFmtId="0" fontId="13" fillId="6" borderId="13" xfId="0" applyFont="1" applyFill="1" applyBorder="1" applyAlignment="1">
      <alignment horizontal="center"/>
    </xf>
    <xf numFmtId="0" fontId="13" fillId="6" borderId="14" xfId="0" applyFont="1" applyFill="1" applyBorder="1" applyAlignment="1">
      <alignment horizontal="center"/>
    </xf>
    <xf numFmtId="0" fontId="13" fillId="6" borderId="4" xfId="0" applyFont="1" applyFill="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0" fontId="13" fillId="6" borderId="6" xfId="0" applyFont="1" applyFill="1" applyBorder="1" applyAlignment="1">
      <alignment horizontal="center"/>
    </xf>
    <xf numFmtId="0" fontId="13" fillId="6" borderId="7" xfId="0" applyFont="1" applyFill="1" applyBorder="1" applyAlignment="1">
      <alignment horizontal="center"/>
    </xf>
    <xf numFmtId="0" fontId="13" fillId="6" borderId="8" xfId="0" applyFont="1" applyFill="1" applyBorder="1" applyAlignment="1">
      <alignment horizontal="center"/>
    </xf>
    <xf numFmtId="0" fontId="2" fillId="3" borderId="9" xfId="0" applyFont="1" applyFill="1" applyBorder="1" applyAlignment="1">
      <alignment horizont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2" fillId="3" borderId="9"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9" fontId="0" fillId="3" borderId="6" xfId="1" applyFont="1" applyFill="1" applyBorder="1" applyAlignment="1">
      <alignment horizontal="center"/>
    </xf>
    <xf numFmtId="9" fontId="0" fillId="3" borderId="7" xfId="1" applyFont="1" applyFill="1" applyBorder="1" applyAlignment="1">
      <alignment horizontal="center"/>
    </xf>
    <xf numFmtId="9" fontId="0" fillId="3" borderId="8" xfId="1" applyFont="1" applyFill="1" applyBorder="1" applyAlignment="1">
      <alignment horizontal="center"/>
    </xf>
    <xf numFmtId="9" fontId="0" fillId="3" borderId="9" xfId="1" applyFont="1" applyFill="1" applyBorder="1" applyAlignment="1">
      <alignment horizontal="center"/>
    </xf>
    <xf numFmtId="9" fontId="0" fillId="3" borderId="11" xfId="1" applyFont="1" applyFill="1" applyBorder="1" applyAlignment="1">
      <alignment horizontal="center"/>
    </xf>
    <xf numFmtId="9" fontId="0" fillId="3" borderId="10" xfId="1" applyFont="1" applyFill="1" applyBorder="1" applyAlignment="1">
      <alignment horizontal="center"/>
    </xf>
    <xf numFmtId="0" fontId="25" fillId="3" borderId="9" xfId="0" applyFont="1" applyFill="1" applyBorder="1" applyAlignment="1">
      <alignment horizontal="center"/>
    </xf>
    <xf numFmtId="0" fontId="25" fillId="3" borderId="11" xfId="0" applyFont="1" applyFill="1" applyBorder="1" applyAlignment="1">
      <alignment horizontal="center"/>
    </xf>
    <xf numFmtId="0" fontId="25" fillId="3" borderId="10" xfId="0" applyFont="1" applyFill="1" applyBorder="1" applyAlignment="1">
      <alignment horizontal="center"/>
    </xf>
    <xf numFmtId="0" fontId="25" fillId="3" borderId="6" xfId="0" applyFont="1" applyFill="1" applyBorder="1" applyAlignment="1">
      <alignment horizontal="center"/>
    </xf>
    <xf numFmtId="0" fontId="25" fillId="3" borderId="7" xfId="0" applyFont="1" applyFill="1" applyBorder="1" applyAlignment="1">
      <alignment horizontal="center"/>
    </xf>
    <xf numFmtId="0" fontId="25" fillId="3" borderId="8" xfId="0" applyFont="1" applyFill="1" applyBorder="1" applyAlignment="1">
      <alignment horizontal="center"/>
    </xf>
    <xf numFmtId="0" fontId="16" fillId="3" borderId="12"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14"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3" borderId="5"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5"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3" fontId="0" fillId="3" borderId="11" xfId="0" applyNumberFormat="1" applyFill="1" applyBorder="1" applyAlignment="1">
      <alignment horizontal="center"/>
    </xf>
    <xf numFmtId="3" fontId="0" fillId="3" borderId="10" xfId="0" applyNumberFormat="1" applyFill="1" applyBorder="1" applyAlignment="1">
      <alignment horizontal="center"/>
    </xf>
    <xf numFmtId="0" fontId="0" fillId="3" borderId="12" xfId="0" applyFill="1" applyBorder="1" applyAlignment="1">
      <alignment horizontal="center" wrapText="1"/>
    </xf>
    <xf numFmtId="0" fontId="0" fillId="3" borderId="13" xfId="0" applyFill="1" applyBorder="1" applyAlignment="1">
      <alignment horizontal="center" wrapText="1"/>
    </xf>
    <xf numFmtId="0" fontId="0" fillId="3" borderId="14" xfId="0" applyFill="1" applyBorder="1" applyAlignment="1">
      <alignment horizontal="center" wrapText="1"/>
    </xf>
    <xf numFmtId="0" fontId="0" fillId="3" borderId="4" xfId="0" applyFill="1" applyBorder="1" applyAlignment="1">
      <alignment horizontal="center" wrapText="1"/>
    </xf>
    <xf numFmtId="0" fontId="0" fillId="3" borderId="0" xfId="0" applyFill="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7" xfId="0" applyFill="1" applyBorder="1" applyAlignment="1">
      <alignment horizontal="center" wrapText="1"/>
    </xf>
    <xf numFmtId="0" fontId="0" fillId="3" borderId="8" xfId="0" applyFill="1" applyBorder="1" applyAlignment="1">
      <alignment horizontal="center" wrapText="1"/>
    </xf>
    <xf numFmtId="0" fontId="24" fillId="3" borderId="12" xfId="0" applyFont="1" applyFill="1" applyBorder="1" applyAlignment="1">
      <alignment horizontal="center" wrapText="1"/>
    </xf>
    <xf numFmtId="0" fontId="24" fillId="3" borderId="13" xfId="0" applyFont="1" applyFill="1" applyBorder="1" applyAlignment="1">
      <alignment horizontal="center" wrapText="1"/>
    </xf>
    <xf numFmtId="0" fontId="24" fillId="3" borderId="14" xfId="0" applyFont="1" applyFill="1" applyBorder="1" applyAlignment="1">
      <alignment horizontal="center" wrapText="1"/>
    </xf>
    <xf numFmtId="0" fontId="24" fillId="3" borderId="4" xfId="0" applyFont="1" applyFill="1" applyBorder="1" applyAlignment="1">
      <alignment horizontal="center" wrapText="1"/>
    </xf>
    <xf numFmtId="0" fontId="24" fillId="3" borderId="0" xfId="0" applyFont="1" applyFill="1" applyAlignment="1">
      <alignment horizontal="center" wrapText="1"/>
    </xf>
    <xf numFmtId="0" fontId="24" fillId="3" borderId="5" xfId="0" applyFont="1" applyFill="1" applyBorder="1" applyAlignment="1">
      <alignment horizontal="center" wrapText="1"/>
    </xf>
    <xf numFmtId="0" fontId="24" fillId="3" borderId="6" xfId="0" applyFont="1" applyFill="1" applyBorder="1" applyAlignment="1">
      <alignment horizontal="center" wrapText="1"/>
    </xf>
    <xf numFmtId="0" fontId="24" fillId="3" borderId="7" xfId="0" applyFont="1" applyFill="1" applyBorder="1" applyAlignment="1">
      <alignment horizontal="center" wrapText="1"/>
    </xf>
    <xf numFmtId="0" fontId="24" fillId="3" borderId="8" xfId="0" applyFont="1" applyFill="1" applyBorder="1" applyAlignment="1">
      <alignment horizontal="center" wrapText="1"/>
    </xf>
    <xf numFmtId="0" fontId="16" fillId="3" borderId="2" xfId="0" applyFont="1" applyFill="1" applyBorder="1" applyAlignment="1">
      <alignment horizontal="center" vertical="center" wrapText="1"/>
    </xf>
    <xf numFmtId="0" fontId="16" fillId="3" borderId="52" xfId="0" applyFont="1" applyFill="1" applyBorder="1" applyAlignment="1">
      <alignment horizontal="center" vertical="center" wrapText="1"/>
    </xf>
    <xf numFmtId="0" fontId="16" fillId="3" borderId="83"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69" xfId="0" applyFont="1" applyFill="1" applyBorder="1" applyAlignment="1">
      <alignment horizontal="center" vertical="center" wrapText="1"/>
    </xf>
    <xf numFmtId="0" fontId="10" fillId="3" borderId="9" xfId="0" applyFont="1" applyFill="1" applyBorder="1" applyAlignment="1">
      <alignment horizontal="center"/>
    </xf>
    <xf numFmtId="0" fontId="10" fillId="3" borderId="11" xfId="0" applyFont="1" applyFill="1" applyBorder="1" applyAlignment="1">
      <alignment horizontal="center"/>
    </xf>
    <xf numFmtId="0" fontId="10" fillId="3" borderId="10" xfId="0" applyFont="1" applyFill="1" applyBorder="1" applyAlignment="1">
      <alignment horizontal="center"/>
    </xf>
    <xf numFmtId="0" fontId="0" fillId="3" borderId="11" xfId="0" applyFill="1" applyBorder="1" applyAlignment="1">
      <alignment horizontal="center" vertical="center"/>
    </xf>
    <xf numFmtId="0" fontId="0" fillId="3" borderId="10" xfId="0" applyFill="1" applyBorder="1" applyAlignment="1">
      <alignment horizontal="center" vertical="center"/>
    </xf>
    <xf numFmtId="0" fontId="18" fillId="5" borderId="12" xfId="0" applyFont="1" applyFill="1" applyBorder="1" applyAlignment="1">
      <alignment horizontal="center" wrapText="1"/>
    </xf>
    <xf numFmtId="0" fontId="18" fillId="5" borderId="13" xfId="0" applyFont="1" applyFill="1" applyBorder="1" applyAlignment="1">
      <alignment horizontal="center" wrapText="1"/>
    </xf>
    <xf numFmtId="0" fontId="18" fillId="5" borderId="14" xfId="0" applyFont="1" applyFill="1" applyBorder="1" applyAlignment="1">
      <alignment horizontal="center" wrapText="1"/>
    </xf>
    <xf numFmtId="0" fontId="18" fillId="5" borderId="4" xfId="0" applyFont="1" applyFill="1" applyBorder="1" applyAlignment="1">
      <alignment horizontal="center" wrapText="1"/>
    </xf>
    <xf numFmtId="0" fontId="18" fillId="5" borderId="0" xfId="0" applyFont="1" applyFill="1" applyAlignment="1">
      <alignment horizontal="center" wrapText="1"/>
    </xf>
    <xf numFmtId="0" fontId="18" fillId="5" borderId="5" xfId="0" applyFont="1" applyFill="1" applyBorder="1" applyAlignment="1">
      <alignment horizontal="center" wrapText="1"/>
    </xf>
    <xf numFmtId="0" fontId="18" fillId="5" borderId="6" xfId="0" applyFont="1" applyFill="1" applyBorder="1" applyAlignment="1">
      <alignment horizontal="center" wrapText="1"/>
    </xf>
    <xf numFmtId="0" fontId="18" fillId="5" borderId="7" xfId="0" applyFont="1" applyFill="1" applyBorder="1" applyAlignment="1">
      <alignment horizontal="center" wrapText="1"/>
    </xf>
    <xf numFmtId="0" fontId="18" fillId="5" borderId="8" xfId="0" applyFont="1" applyFill="1" applyBorder="1" applyAlignment="1">
      <alignment horizontal="center" wrapText="1"/>
    </xf>
    <xf numFmtId="0" fontId="2" fillId="5" borderId="12" xfId="0" applyFont="1" applyFill="1" applyBorder="1" applyAlignment="1">
      <alignment horizontal="center" wrapText="1"/>
    </xf>
    <xf numFmtId="0" fontId="2" fillId="5" borderId="13" xfId="0" applyFont="1" applyFill="1" applyBorder="1" applyAlignment="1">
      <alignment horizontal="center" wrapText="1"/>
    </xf>
    <xf numFmtId="0" fontId="2" fillId="5" borderId="14" xfId="0" applyFont="1" applyFill="1" applyBorder="1" applyAlignment="1">
      <alignment horizontal="center" wrapText="1"/>
    </xf>
    <xf numFmtId="0" fontId="2" fillId="5" borderId="4" xfId="0" applyFont="1" applyFill="1" applyBorder="1" applyAlignment="1">
      <alignment horizontal="center" wrapText="1"/>
    </xf>
    <xf numFmtId="0" fontId="2" fillId="5" borderId="0" xfId="0" applyFont="1" applyFill="1" applyAlignment="1">
      <alignment horizontal="center" wrapText="1"/>
    </xf>
    <xf numFmtId="0" fontId="2" fillId="5" borderId="5" xfId="0" applyFont="1" applyFill="1" applyBorder="1" applyAlignment="1">
      <alignment horizontal="center"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0" fillId="0" borderId="0" xfId="0" applyAlignment="1">
      <alignment horizontal="center"/>
    </xf>
    <xf numFmtId="0" fontId="20" fillId="7" borderId="12" xfId="0" applyFont="1" applyFill="1" applyBorder="1" applyAlignment="1">
      <alignment horizontal="center" vertical="center"/>
    </xf>
    <xf numFmtId="0" fontId="20" fillId="7" borderId="13" xfId="0" applyFont="1" applyFill="1" applyBorder="1" applyAlignment="1">
      <alignment horizontal="center" vertical="center"/>
    </xf>
    <xf numFmtId="0" fontId="20" fillId="7" borderId="14" xfId="0"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Alignment="1">
      <alignment horizontal="center" vertical="center"/>
    </xf>
    <xf numFmtId="0" fontId="20" fillId="7" borderId="5" xfId="0" applyFont="1" applyFill="1" applyBorder="1" applyAlignment="1">
      <alignment horizontal="center" vertical="center"/>
    </xf>
    <xf numFmtId="0" fontId="20" fillId="7" borderId="6" xfId="0" applyFont="1" applyFill="1" applyBorder="1" applyAlignment="1">
      <alignment horizontal="center" vertical="center"/>
    </xf>
    <xf numFmtId="0" fontId="20" fillId="7" borderId="7" xfId="0" applyFont="1" applyFill="1" applyBorder="1" applyAlignment="1">
      <alignment horizontal="center" vertical="center"/>
    </xf>
    <xf numFmtId="0" fontId="20" fillId="7" borderId="8" xfId="0" applyFont="1" applyFill="1" applyBorder="1" applyAlignment="1">
      <alignment horizontal="center" vertical="center"/>
    </xf>
    <xf numFmtId="0" fontId="2" fillId="6" borderId="9" xfId="0" applyFont="1" applyFill="1" applyBorder="1" applyAlignment="1">
      <alignment horizontal="center"/>
    </xf>
    <xf numFmtId="0" fontId="2" fillId="6" borderId="11" xfId="0" applyFont="1" applyFill="1" applyBorder="1" applyAlignment="1">
      <alignment horizontal="center"/>
    </xf>
    <xf numFmtId="0" fontId="2" fillId="6" borderId="10" xfId="0" applyFont="1" applyFill="1" applyBorder="1" applyAlignment="1">
      <alignment horizontal="center"/>
    </xf>
    <xf numFmtId="0" fontId="5" fillId="0" borderId="27" xfId="0" applyFont="1" applyBorder="1" applyAlignment="1">
      <alignment horizontal="center" vertical="center" wrapText="1"/>
    </xf>
    <xf numFmtId="0" fontId="5" fillId="0" borderId="46"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44" xfId="0" applyFont="1" applyBorder="1" applyAlignment="1">
      <alignment horizontal="center" vertical="center" wrapText="1"/>
    </xf>
    <xf numFmtId="0" fontId="5" fillId="0" borderId="48" xfId="0" applyFont="1" applyBorder="1" applyAlignment="1">
      <alignment horizontal="center" vertical="center" wrapText="1"/>
    </xf>
    <xf numFmtId="0" fontId="2" fillId="0" borderId="78" xfId="0" applyFont="1" applyBorder="1" applyAlignment="1">
      <alignment horizontal="center"/>
    </xf>
    <xf numFmtId="0" fontId="2" fillId="0" borderId="79"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0E4C2"/>
      <color rgb="FFE0A26A"/>
      <color rgb="FFF9C87F"/>
      <color rgb="FFF9A2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'Quick Answer View '!$B$15</c:f>
              <c:strCache>
                <c:ptCount val="1"/>
                <c:pt idx="0">
                  <c:v>Market size (PKR Millions)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'Quick Answer View '!$C$13:$G$13</c:f>
              <c:numCache>
                <c:formatCode>General</c:formatCode>
                <c:ptCount val="5"/>
                <c:pt idx="0">
                  <c:v>2025</c:v>
                </c:pt>
                <c:pt idx="1">
                  <c:v>2026</c:v>
                </c:pt>
                <c:pt idx="2">
                  <c:v>2027</c:v>
                </c:pt>
                <c:pt idx="3">
                  <c:v>2028</c:v>
                </c:pt>
                <c:pt idx="4">
                  <c:v>2029</c:v>
                </c:pt>
              </c:numCache>
            </c:numRef>
          </c:cat>
          <c:val>
            <c:numRef>
              <c:f>'Quick Answer View '!$C$15:$G$15</c:f>
              <c:numCache>
                <c:formatCode>0.00</c:formatCode>
                <c:ptCount val="5"/>
                <c:pt idx="0">
                  <c:v>125119.32544963789</c:v>
                </c:pt>
                <c:pt idx="1">
                  <c:v>138937.83771447375</c:v>
                </c:pt>
                <c:pt idx="2">
                  <c:v>153802.19616447328</c:v>
                </c:pt>
                <c:pt idx="3">
                  <c:v>173730.41273037207</c:v>
                </c:pt>
                <c:pt idx="4">
                  <c:v>191505.49542308686</c:v>
                </c:pt>
              </c:numCache>
            </c:numRef>
          </c:val>
          <c:smooth val="0"/>
          <c:extLst>
            <c:ext xmlns:c16="http://schemas.microsoft.com/office/drawing/2014/chart" uri="{C3380CC4-5D6E-409C-BE32-E72D297353CC}">
              <c16:uniqueId val="{00000001-223A-4170-ABA4-3C763823E0EE}"/>
            </c:ext>
          </c:extLst>
        </c:ser>
        <c:dLbls>
          <c:showLegendKey val="0"/>
          <c:showVal val="0"/>
          <c:showCatName val="0"/>
          <c:showSerName val="0"/>
          <c:showPercent val="0"/>
          <c:showBubbleSize val="0"/>
        </c:dLbls>
        <c:smooth val="0"/>
        <c:axId val="1485268639"/>
        <c:axId val="1485253759"/>
      </c:lineChart>
      <c:catAx>
        <c:axId val="148526863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253759"/>
        <c:crosses val="autoZero"/>
        <c:auto val="1"/>
        <c:lblAlgn val="ctr"/>
        <c:lblOffset val="100"/>
        <c:noMultiLvlLbl val="0"/>
      </c:catAx>
      <c:valAx>
        <c:axId val="14852537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268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'Quick Answer View '!$B$25</c:f>
              <c:strCache>
                <c:ptCount val="1"/>
                <c:pt idx="0">
                  <c:v>Baskin Robbins Revenue (Millions)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cat>
            <c:numRef>
              <c:f>'Quick Answer View '!$C$24:$G$24</c:f>
              <c:numCache>
                <c:formatCode>General</c:formatCode>
                <c:ptCount val="5"/>
                <c:pt idx="0">
                  <c:v>2025</c:v>
                </c:pt>
                <c:pt idx="1">
                  <c:v>2026</c:v>
                </c:pt>
                <c:pt idx="2">
                  <c:v>2027</c:v>
                </c:pt>
                <c:pt idx="3">
                  <c:v>2028</c:v>
                </c:pt>
                <c:pt idx="4">
                  <c:v>2029</c:v>
                </c:pt>
              </c:numCache>
            </c:numRef>
          </c:cat>
          <c:val>
            <c:numRef>
              <c:f>'Quick Answer View '!$C$25:$G$25</c:f>
              <c:numCache>
                <c:formatCode>0.00</c:formatCode>
                <c:ptCount val="5"/>
                <c:pt idx="0">
                  <c:v>87.583527814746546</c:v>
                </c:pt>
                <c:pt idx="1">
                  <c:v>121.57060800016455</c:v>
                </c:pt>
                <c:pt idx="2">
                  <c:v>161.49230597269695</c:v>
                </c:pt>
                <c:pt idx="3">
                  <c:v>243.22257782252095</c:v>
                </c:pt>
                <c:pt idx="4">
                  <c:v>301.62115529136184</c:v>
                </c:pt>
              </c:numCache>
            </c:numRef>
          </c:val>
          <c:smooth val="0"/>
          <c:extLst>
            <c:ext xmlns:c16="http://schemas.microsoft.com/office/drawing/2014/chart" uri="{C3380CC4-5D6E-409C-BE32-E72D297353CC}">
              <c16:uniqueId val="{00000000-8D4C-4CD6-AC4A-1DF64569B44B}"/>
            </c:ext>
          </c:extLst>
        </c:ser>
        <c:dLbls>
          <c:showLegendKey val="0"/>
          <c:showVal val="0"/>
          <c:showCatName val="0"/>
          <c:showSerName val="0"/>
          <c:showPercent val="0"/>
          <c:showBubbleSize val="0"/>
        </c:dLbls>
        <c:axId val="1485257119"/>
        <c:axId val="1485252799"/>
        <c:axId val="1644951247"/>
      </c:line3DChart>
      <c:catAx>
        <c:axId val="148525711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252799"/>
        <c:crosses val="autoZero"/>
        <c:auto val="1"/>
        <c:lblAlgn val="ctr"/>
        <c:lblOffset val="100"/>
        <c:noMultiLvlLbl val="0"/>
      </c:catAx>
      <c:valAx>
        <c:axId val="1485252799"/>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257119"/>
        <c:crosses val="autoZero"/>
        <c:crossBetween val="between"/>
      </c:valAx>
      <c:serAx>
        <c:axId val="1644951247"/>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252799"/>
        <c:crosses val="autoZero"/>
      </c:ser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'!$AR$4</c:f>
              <c:strCache>
                <c:ptCount val="1"/>
                <c:pt idx="0">
                  <c:v>Net Income</c:v>
                </c:pt>
              </c:strCache>
            </c:strRef>
          </c:tx>
          <c:spPr>
            <a:ln w="28575" cap="rnd">
              <a:solidFill>
                <a:schemeClr val="accent1"/>
              </a:solidFill>
              <a:round/>
            </a:ln>
            <a:effectLst/>
          </c:spPr>
          <c:marker>
            <c:symbol val="none"/>
          </c:marker>
          <c:cat>
            <c:numRef>
              <c:f>'Quick Answer View '!$AS$3:$BB$3</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'!$AS$4:$BB$4</c:f>
              <c:numCache>
                <c:formatCode>#,##0</c:formatCode>
                <c:ptCount val="10"/>
                <c:pt idx="0">
                  <c:v>358670.67147970584</c:v>
                </c:pt>
                <c:pt idx="1">
                  <c:v>1779421.2182577713</c:v>
                </c:pt>
                <c:pt idx="2">
                  <c:v>2249385.3061783388</c:v>
                </c:pt>
                <c:pt idx="3">
                  <c:v>205084.87087181769</c:v>
                </c:pt>
                <c:pt idx="4">
                  <c:v>491903.63295629941</c:v>
                </c:pt>
                <c:pt idx="5">
                  <c:v>1395449.4725640849</c:v>
                </c:pt>
                <c:pt idx="6">
                  <c:v>1549150.7081042633</c:v>
                </c:pt>
                <c:pt idx="7">
                  <c:v>1696144.9724584667</c:v>
                </c:pt>
                <c:pt idx="8">
                  <c:v>1836109.2492566654</c:v>
                </c:pt>
                <c:pt idx="9">
                  <c:v>2021875.5049823006</c:v>
                </c:pt>
              </c:numCache>
            </c:numRef>
          </c:val>
          <c:smooth val="0"/>
          <c:extLst>
            <c:ext xmlns:c16="http://schemas.microsoft.com/office/drawing/2014/chart" uri="{C3380CC4-5D6E-409C-BE32-E72D297353CC}">
              <c16:uniqueId val="{00000000-2278-42B0-B013-31E0F168F71B}"/>
            </c:ext>
          </c:extLst>
        </c:ser>
        <c:dLbls>
          <c:showLegendKey val="0"/>
          <c:showVal val="0"/>
          <c:showCatName val="0"/>
          <c:showSerName val="0"/>
          <c:showPercent val="0"/>
          <c:showBubbleSize val="0"/>
        </c:dLbls>
        <c:smooth val="0"/>
        <c:axId val="1877286319"/>
        <c:axId val="1877286799"/>
      </c:lineChart>
      <c:catAx>
        <c:axId val="187728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86799"/>
        <c:crosses val="autoZero"/>
        <c:auto val="1"/>
        <c:lblAlgn val="ctr"/>
        <c:lblOffset val="100"/>
        <c:noMultiLvlLbl val="0"/>
      </c:catAx>
      <c:valAx>
        <c:axId val="18772867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8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'!$AR$6</c:f>
              <c:strCache>
                <c:ptCount val="1"/>
                <c:pt idx="0">
                  <c:v>Net Income</c:v>
                </c:pt>
              </c:strCache>
            </c:strRef>
          </c:tx>
          <c:spPr>
            <a:ln w="28575" cap="rnd">
              <a:solidFill>
                <a:schemeClr val="accent1"/>
              </a:solidFill>
              <a:round/>
            </a:ln>
            <a:effectLst/>
          </c:spPr>
          <c:marker>
            <c:symbol val="none"/>
          </c:marker>
          <c:cat>
            <c:numRef>
              <c:f>'Quick Answer View '!$AS$5:$BB$5</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'!$AS$6:$BB$6</c:f>
              <c:numCache>
                <c:formatCode>#,##0</c:formatCode>
                <c:ptCount val="10"/>
                <c:pt idx="0">
                  <c:v>2684337.8353981939</c:v>
                </c:pt>
                <c:pt idx="1">
                  <c:v>2669934.379625841</c:v>
                </c:pt>
                <c:pt idx="2">
                  <c:v>3226661.7727883151</c:v>
                </c:pt>
                <c:pt idx="3">
                  <c:v>2083683.6231014014</c:v>
                </c:pt>
                <c:pt idx="4">
                  <c:v>4350446.1659790799</c:v>
                </c:pt>
                <c:pt idx="5">
                  <c:v>6247198.951852981</c:v>
                </c:pt>
                <c:pt idx="6">
                  <c:v>7609492.9511334375</c:v>
                </c:pt>
                <c:pt idx="7">
                  <c:v>9088855.1176859234</c:v>
                </c:pt>
                <c:pt idx="8">
                  <c:v>10679794.866578855</c:v>
                </c:pt>
                <c:pt idx="9">
                  <c:v>12608886.830885768</c:v>
                </c:pt>
              </c:numCache>
            </c:numRef>
          </c:val>
          <c:smooth val="0"/>
          <c:extLst>
            <c:ext xmlns:c16="http://schemas.microsoft.com/office/drawing/2014/chart" uri="{C3380CC4-5D6E-409C-BE32-E72D297353CC}">
              <c16:uniqueId val="{00000000-B024-4E83-A1AA-C4C1FBB1950E}"/>
            </c:ext>
          </c:extLst>
        </c:ser>
        <c:dLbls>
          <c:showLegendKey val="0"/>
          <c:showVal val="0"/>
          <c:showCatName val="0"/>
          <c:showSerName val="0"/>
          <c:showPercent val="0"/>
          <c:showBubbleSize val="0"/>
        </c:dLbls>
        <c:smooth val="0"/>
        <c:axId val="1877273839"/>
        <c:axId val="1877290639"/>
      </c:lineChart>
      <c:catAx>
        <c:axId val="187727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90639"/>
        <c:crosses val="autoZero"/>
        <c:auto val="1"/>
        <c:lblAlgn val="ctr"/>
        <c:lblOffset val="100"/>
        <c:noMultiLvlLbl val="0"/>
      </c:catAx>
      <c:valAx>
        <c:axId val="1877290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73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'!$AR$8</c:f>
              <c:strCache>
                <c:ptCount val="1"/>
                <c:pt idx="0">
                  <c:v>Net Income</c:v>
                </c:pt>
              </c:strCache>
            </c:strRef>
          </c:tx>
          <c:spPr>
            <a:ln w="28575" cap="rnd">
              <a:solidFill>
                <a:schemeClr val="accent1"/>
              </a:solidFill>
              <a:round/>
            </a:ln>
            <a:effectLst/>
          </c:spPr>
          <c:marker>
            <c:symbol val="none"/>
          </c:marker>
          <c:cat>
            <c:numRef>
              <c:f>'Quick Answer View '!$AS$7:$BB$7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'!$AS$8:$BB$8</c:f>
              <c:numCache>
                <c:formatCode>#,##0</c:formatCode>
                <c:ptCount val="10"/>
                <c:pt idx="0">
                  <c:v>2984842.1174524943</c:v>
                </c:pt>
                <c:pt idx="1">
                  <c:v>539855.28789046162</c:v>
                </c:pt>
                <c:pt idx="2">
                  <c:v>729724.81209339807</c:v>
                </c:pt>
                <c:pt idx="3">
                  <c:v>67065.007326163934</c:v>
                </c:pt>
                <c:pt idx="4">
                  <c:v>865169.72498050984</c:v>
                </c:pt>
                <c:pt idx="5">
                  <c:v>1165500.751165594</c:v>
                </c:pt>
                <c:pt idx="6">
                  <c:v>1309069.2900306403</c:v>
                </c:pt>
                <c:pt idx="7">
                  <c:v>1459026.7244521349</c:v>
                </c:pt>
                <c:pt idx="8">
                  <c:v>1615364.5821981968</c:v>
                </c:pt>
                <c:pt idx="9">
                  <c:v>1790591.2138187848</c:v>
                </c:pt>
              </c:numCache>
            </c:numRef>
          </c:val>
          <c:smooth val="0"/>
          <c:extLst>
            <c:ext xmlns:c16="http://schemas.microsoft.com/office/drawing/2014/chart" uri="{C3380CC4-5D6E-409C-BE32-E72D297353CC}">
              <c16:uniqueId val="{00000000-A180-4575-BB6E-C5A07EED3303}"/>
            </c:ext>
          </c:extLst>
        </c:ser>
        <c:dLbls>
          <c:showLegendKey val="0"/>
          <c:showVal val="0"/>
          <c:showCatName val="0"/>
          <c:showSerName val="0"/>
          <c:showPercent val="0"/>
          <c:showBubbleSize val="0"/>
        </c:dLbls>
        <c:smooth val="0"/>
        <c:axId val="1877295439"/>
        <c:axId val="1877293039"/>
      </c:lineChart>
      <c:catAx>
        <c:axId val="187729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93039"/>
        <c:crosses val="autoZero"/>
        <c:auto val="1"/>
        <c:lblAlgn val="ctr"/>
        <c:lblOffset val="100"/>
        <c:noMultiLvlLbl val="0"/>
      </c:catAx>
      <c:valAx>
        <c:axId val="1877293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954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'!$AR$10</c:f>
              <c:strCache>
                <c:ptCount val="1"/>
                <c:pt idx="0">
                  <c:v>Net Income</c:v>
                </c:pt>
              </c:strCache>
            </c:strRef>
          </c:tx>
          <c:spPr>
            <a:ln w="28575" cap="rnd">
              <a:solidFill>
                <a:schemeClr val="accent1"/>
              </a:solidFill>
              <a:round/>
            </a:ln>
            <a:effectLst/>
          </c:spPr>
          <c:marker>
            <c:symbol val="none"/>
          </c:marker>
          <c:cat>
            <c:numRef>
              <c:f>'Quick Answer View '!$AS$9:$BB$9</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'!$AS$10:$BB$10</c:f>
              <c:numCache>
                <c:formatCode>#,##0</c:formatCode>
                <c:ptCount val="10"/>
                <c:pt idx="0">
                  <c:v>139192.06480375392</c:v>
                </c:pt>
                <c:pt idx="1">
                  <c:v>248524.43440504675</c:v>
                </c:pt>
                <c:pt idx="2">
                  <c:v>448318.31979344413</c:v>
                </c:pt>
                <c:pt idx="3">
                  <c:v>69368.661832460086</c:v>
                </c:pt>
                <c:pt idx="4">
                  <c:v>331621.22783367318</c:v>
                </c:pt>
                <c:pt idx="5">
                  <c:v>359218.82099134329</c:v>
                </c:pt>
                <c:pt idx="6">
                  <c:v>397650.35560608259</c:v>
                </c:pt>
                <c:pt idx="7">
                  <c:v>437015.61528618442</c:v>
                </c:pt>
                <c:pt idx="8">
                  <c:v>477491.93595219043</c:v>
                </c:pt>
                <c:pt idx="9">
                  <c:v>524763.00115142867</c:v>
                </c:pt>
              </c:numCache>
            </c:numRef>
          </c:val>
          <c:smooth val="0"/>
          <c:extLst>
            <c:ext xmlns:c16="http://schemas.microsoft.com/office/drawing/2014/chart" uri="{C3380CC4-5D6E-409C-BE32-E72D297353CC}">
              <c16:uniqueId val="{00000000-906B-4364-B34A-23BB977977F0}"/>
            </c:ext>
          </c:extLst>
        </c:ser>
        <c:dLbls>
          <c:showLegendKey val="0"/>
          <c:showVal val="0"/>
          <c:showCatName val="0"/>
          <c:showSerName val="0"/>
          <c:showPercent val="0"/>
          <c:showBubbleSize val="0"/>
        </c:dLbls>
        <c:smooth val="0"/>
        <c:axId val="1877280559"/>
        <c:axId val="1877271439"/>
      </c:lineChart>
      <c:catAx>
        <c:axId val="187728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71439"/>
        <c:crosses val="autoZero"/>
        <c:auto val="1"/>
        <c:lblAlgn val="ctr"/>
        <c:lblOffset val="100"/>
        <c:noMultiLvlLbl val="0"/>
      </c:catAx>
      <c:valAx>
        <c:axId val="1877271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805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'!$AR$12</c:f>
              <c:strCache>
                <c:ptCount val="1"/>
                <c:pt idx="0">
                  <c:v>Net Income</c:v>
                </c:pt>
              </c:strCache>
            </c:strRef>
          </c:tx>
          <c:spPr>
            <a:ln w="28575" cap="rnd">
              <a:solidFill>
                <a:schemeClr val="accent1"/>
              </a:solidFill>
              <a:round/>
            </a:ln>
            <a:effectLst/>
          </c:spPr>
          <c:marker>
            <c:symbol val="none"/>
          </c:marker>
          <c:cat>
            <c:numRef>
              <c:f>'Quick Answer View '!$AS$11:$BB$11</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'!$AS$12:$BB$12</c:f>
              <c:numCache>
                <c:formatCode>#,##0</c:formatCode>
                <c:ptCount val="10"/>
                <c:pt idx="0">
                  <c:v>507674.74566034804</c:v>
                </c:pt>
                <c:pt idx="1">
                  <c:v>614254.02972732042</c:v>
                </c:pt>
                <c:pt idx="2">
                  <c:v>861297.83052896115</c:v>
                </c:pt>
                <c:pt idx="3">
                  <c:v>143276.35707252147</c:v>
                </c:pt>
                <c:pt idx="4">
                  <c:v>811728.65606280311</c:v>
                </c:pt>
                <c:pt idx="5">
                  <c:v>819834.44276019582</c:v>
                </c:pt>
                <c:pt idx="6">
                  <c:v>909047.80607836996</c:v>
                </c:pt>
                <c:pt idx="7">
                  <c:v>1000780.6866349706</c:v>
                </c:pt>
                <c:pt idx="8">
                  <c:v>1095181.939328752</c:v>
                </c:pt>
                <c:pt idx="9">
                  <c:v>1201264.278819121</c:v>
                </c:pt>
              </c:numCache>
            </c:numRef>
          </c:val>
          <c:smooth val="0"/>
          <c:extLst>
            <c:ext xmlns:c16="http://schemas.microsoft.com/office/drawing/2014/chart" uri="{C3380CC4-5D6E-409C-BE32-E72D297353CC}">
              <c16:uniqueId val="{00000000-993F-4788-BA0D-16AE9C36FBC9}"/>
            </c:ext>
          </c:extLst>
        </c:ser>
        <c:dLbls>
          <c:showLegendKey val="0"/>
          <c:showVal val="0"/>
          <c:showCatName val="0"/>
          <c:showSerName val="0"/>
          <c:showPercent val="0"/>
          <c:showBubbleSize val="0"/>
        </c:dLbls>
        <c:smooth val="0"/>
        <c:axId val="1877261359"/>
        <c:axId val="1877259439"/>
      </c:lineChart>
      <c:catAx>
        <c:axId val="187726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59439"/>
        <c:crosses val="autoZero"/>
        <c:auto val="1"/>
        <c:lblAlgn val="ctr"/>
        <c:lblOffset val="100"/>
        <c:noMultiLvlLbl val="0"/>
      </c:catAx>
      <c:valAx>
        <c:axId val="1877259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613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'!$AR$14</c:f>
              <c:strCache>
                <c:ptCount val="1"/>
                <c:pt idx="0">
                  <c:v>Net Income</c:v>
                </c:pt>
              </c:strCache>
            </c:strRef>
          </c:tx>
          <c:spPr>
            <a:ln w="28575" cap="rnd">
              <a:solidFill>
                <a:schemeClr val="accent1"/>
              </a:solidFill>
              <a:round/>
            </a:ln>
            <a:effectLst/>
          </c:spPr>
          <c:marker>
            <c:symbol val="none"/>
          </c:marker>
          <c:cat>
            <c:numRef>
              <c:f>'Quick Answer View '!$AS$13:$BB$13</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'!$AS$14:$BB$14</c:f>
              <c:numCache>
                <c:formatCode>#,##0</c:formatCode>
                <c:ptCount val="10"/>
                <c:pt idx="0">
                  <c:v>6674717.4347944958</c:v>
                </c:pt>
                <c:pt idx="1">
                  <c:v>5851989.3499064408</c:v>
                </c:pt>
                <c:pt idx="2">
                  <c:v>7515388.0413824571</c:v>
                </c:pt>
                <c:pt idx="3">
                  <c:v>2568478.5202043653</c:v>
                </c:pt>
                <c:pt idx="4">
                  <c:v>6850869.4078123653</c:v>
                </c:pt>
                <c:pt idx="5">
                  <c:v>9987202.439334197</c:v>
                </c:pt>
                <c:pt idx="6">
                  <c:v>11774411.110952795</c:v>
                </c:pt>
                <c:pt idx="7">
                  <c:v>13681823.11651768</c:v>
                </c:pt>
                <c:pt idx="8">
                  <c:v>15703942.573314659</c:v>
                </c:pt>
                <c:pt idx="9">
                  <c:v>18147380.829657402</c:v>
                </c:pt>
              </c:numCache>
            </c:numRef>
          </c:val>
          <c:smooth val="0"/>
          <c:extLst>
            <c:ext xmlns:c16="http://schemas.microsoft.com/office/drawing/2014/chart" uri="{C3380CC4-5D6E-409C-BE32-E72D297353CC}">
              <c16:uniqueId val="{00000000-45D7-4F6D-99CE-37BB4AC32BF2}"/>
            </c:ext>
          </c:extLst>
        </c:ser>
        <c:dLbls>
          <c:showLegendKey val="0"/>
          <c:showVal val="0"/>
          <c:showCatName val="0"/>
          <c:showSerName val="0"/>
          <c:showPercent val="0"/>
          <c:showBubbleSize val="0"/>
        </c:dLbls>
        <c:smooth val="0"/>
        <c:axId val="1877268079"/>
        <c:axId val="1877272879"/>
      </c:lineChart>
      <c:catAx>
        <c:axId val="187726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72879"/>
        <c:crosses val="autoZero"/>
        <c:auto val="1"/>
        <c:lblAlgn val="ctr"/>
        <c:lblOffset val="100"/>
        <c:noMultiLvlLbl val="0"/>
      </c:catAx>
      <c:valAx>
        <c:axId val="18772728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68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Cash</a:t>
            </a:r>
            <a:r>
              <a:rPr lang="en-US" baseline="0"/>
              <a:t> Conversion Cycle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'Quick Answer View '!$AR$17</c:f>
              <c:strCache>
                <c:ptCount val="1"/>
                <c:pt idx="0">
                  <c:v>DIO (Days)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'Quick Answer View '!$AS$16:$AW$16</c:f>
              <c:numCache>
                <c:formatCode>General</c:formatCode>
                <c:ptCount val="5"/>
                <c:pt idx="0">
                  <c:v>2020</c:v>
                </c:pt>
                <c:pt idx="1">
                  <c:v>2021</c:v>
                </c:pt>
                <c:pt idx="2">
                  <c:v>2022</c:v>
                </c:pt>
                <c:pt idx="3">
                  <c:v>2023</c:v>
                </c:pt>
                <c:pt idx="4">
                  <c:v>2024</c:v>
                </c:pt>
              </c:numCache>
            </c:numRef>
          </c:cat>
          <c:val>
            <c:numRef>
              <c:f>'Quick Answer View '!$AS$17:$AW$17</c:f>
              <c:numCache>
                <c:formatCode>0</c:formatCode>
                <c:ptCount val="5"/>
                <c:pt idx="0">
                  <c:v>86.40321591316291</c:v>
                </c:pt>
                <c:pt idx="1">
                  <c:v>77.915132738194359</c:v>
                </c:pt>
                <c:pt idx="2">
                  <c:v>67.021897136355491</c:v>
                </c:pt>
                <c:pt idx="3">
                  <c:v>68.096099227111623</c:v>
                </c:pt>
                <c:pt idx="4">
                  <c:v>66.757897290918692</c:v>
                </c:pt>
              </c:numCache>
            </c:numRef>
          </c:val>
          <c:smooth val="0"/>
          <c:extLst>
            <c:ext xmlns:c16="http://schemas.microsoft.com/office/drawing/2014/chart" uri="{C3380CC4-5D6E-409C-BE32-E72D297353CC}">
              <c16:uniqueId val="{00000000-B425-4B54-A962-5686D1DC645F}"/>
            </c:ext>
          </c:extLst>
        </c:ser>
        <c:ser>
          <c:idx val="1"/>
          <c:order val="1"/>
          <c:tx>
            <c:strRef>
              <c:f>'Quick Answer View '!$AR$18</c:f>
              <c:strCache>
                <c:ptCount val="1"/>
                <c:pt idx="0">
                  <c:v>DSO (Days)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'Quick Answer View '!$AS$16:$AW$16</c:f>
              <c:numCache>
                <c:formatCode>General</c:formatCode>
                <c:ptCount val="5"/>
                <c:pt idx="0">
                  <c:v>2020</c:v>
                </c:pt>
                <c:pt idx="1">
                  <c:v>2021</c:v>
                </c:pt>
                <c:pt idx="2">
                  <c:v>2022</c:v>
                </c:pt>
                <c:pt idx="3">
                  <c:v>2023</c:v>
                </c:pt>
                <c:pt idx="4">
                  <c:v>2024</c:v>
                </c:pt>
              </c:numCache>
            </c:numRef>
          </c:cat>
          <c:val>
            <c:numRef>
              <c:f>'Quick Answer View '!$AS$18:$AW$18</c:f>
              <c:numCache>
                <c:formatCode>0</c:formatCode>
                <c:ptCount val="5"/>
                <c:pt idx="0">
                  <c:v>15.584303903606486</c:v>
                </c:pt>
                <c:pt idx="1">
                  <c:v>14.402381884306081</c:v>
                </c:pt>
                <c:pt idx="2">
                  <c:v>13.139476295383028</c:v>
                </c:pt>
                <c:pt idx="3">
                  <c:v>14.673324194349894</c:v>
                </c:pt>
                <c:pt idx="4">
                  <c:v>16.336282770533163</c:v>
                </c:pt>
              </c:numCache>
            </c:numRef>
          </c:val>
          <c:smooth val="0"/>
          <c:extLst>
            <c:ext xmlns:c16="http://schemas.microsoft.com/office/drawing/2014/chart" uri="{C3380CC4-5D6E-409C-BE32-E72D297353CC}">
              <c16:uniqueId val="{00000001-B425-4B54-A962-5686D1DC645F}"/>
            </c:ext>
          </c:extLst>
        </c:ser>
        <c:ser>
          <c:idx val="2"/>
          <c:order val="2"/>
          <c:tx>
            <c:strRef>
              <c:f>'Quick Answer View '!$AR$19</c:f>
              <c:strCache>
                <c:ptCount val="1"/>
                <c:pt idx="0">
                  <c:v>DPO (Days)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'Quick Answer View '!$AS$16:$AW$16</c:f>
              <c:numCache>
                <c:formatCode>General</c:formatCode>
                <c:ptCount val="5"/>
                <c:pt idx="0">
                  <c:v>2020</c:v>
                </c:pt>
                <c:pt idx="1">
                  <c:v>2021</c:v>
                </c:pt>
                <c:pt idx="2">
                  <c:v>2022</c:v>
                </c:pt>
                <c:pt idx="3">
                  <c:v>2023</c:v>
                </c:pt>
                <c:pt idx="4">
                  <c:v>2024</c:v>
                </c:pt>
              </c:numCache>
            </c:numRef>
          </c:cat>
          <c:val>
            <c:numRef>
              <c:f>'Quick Answer View '!$AS$19:$AW$19</c:f>
              <c:numCache>
                <c:formatCode>0</c:formatCode>
                <c:ptCount val="5"/>
                <c:pt idx="0">
                  <c:v>76.247269845265862</c:v>
                </c:pt>
                <c:pt idx="1">
                  <c:v>72.656389356257449</c:v>
                </c:pt>
                <c:pt idx="2">
                  <c:v>59.681928528569955</c:v>
                </c:pt>
                <c:pt idx="3">
                  <c:v>52.562884881987017</c:v>
                </c:pt>
                <c:pt idx="4">
                  <c:v>54.790418882533778</c:v>
                </c:pt>
              </c:numCache>
            </c:numRef>
          </c:val>
          <c:smooth val="0"/>
          <c:extLst>
            <c:ext xmlns:c16="http://schemas.microsoft.com/office/drawing/2014/chart" uri="{C3380CC4-5D6E-409C-BE32-E72D297353CC}">
              <c16:uniqueId val="{00000002-B425-4B54-A962-5686D1DC645F}"/>
            </c:ext>
          </c:extLst>
        </c:ser>
        <c:ser>
          <c:idx val="3"/>
          <c:order val="3"/>
          <c:tx>
            <c:strRef>
              <c:f>'Quick Answer View '!$AR$20</c:f>
              <c:strCache>
                <c:ptCount val="1"/>
                <c:pt idx="0">
                  <c:v>CCC (Days)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'Quick Answer View '!$AS$16:$AW$16</c:f>
              <c:numCache>
                <c:formatCode>General</c:formatCode>
                <c:ptCount val="5"/>
                <c:pt idx="0">
                  <c:v>2020</c:v>
                </c:pt>
                <c:pt idx="1">
                  <c:v>2021</c:v>
                </c:pt>
                <c:pt idx="2">
                  <c:v>2022</c:v>
                </c:pt>
                <c:pt idx="3">
                  <c:v>2023</c:v>
                </c:pt>
                <c:pt idx="4">
                  <c:v>2024</c:v>
                </c:pt>
              </c:numCache>
            </c:numRef>
          </c:cat>
          <c:val>
            <c:numRef>
              <c:f>'Quick Answer View '!$AS$20:$AW$20</c:f>
              <c:numCache>
                <c:formatCode>0</c:formatCode>
                <c:ptCount val="5"/>
                <c:pt idx="0">
                  <c:v>25.74024997150353</c:v>
                </c:pt>
                <c:pt idx="1">
                  <c:v>19.661125266242991</c:v>
                </c:pt>
                <c:pt idx="2">
                  <c:v>20.47944490316857</c:v>
                </c:pt>
                <c:pt idx="3">
                  <c:v>30.206538539474494</c:v>
                </c:pt>
                <c:pt idx="4">
                  <c:v>28.303761178918073</c:v>
                </c:pt>
              </c:numCache>
            </c:numRef>
          </c:val>
          <c:smooth val="0"/>
          <c:extLst>
            <c:ext xmlns:c16="http://schemas.microsoft.com/office/drawing/2014/chart" uri="{C3380CC4-5D6E-409C-BE32-E72D297353CC}">
              <c16:uniqueId val="{00000003-B425-4B54-A962-5686D1DC645F}"/>
            </c:ext>
          </c:extLst>
        </c:ser>
        <c:dLbls>
          <c:showLegendKey val="0"/>
          <c:showVal val="0"/>
          <c:showCatName val="0"/>
          <c:showSerName val="0"/>
          <c:showPercent val="0"/>
          <c:showBubbleSize val="0"/>
        </c:dLbls>
        <c:marker val="1"/>
        <c:smooth val="0"/>
        <c:axId val="1521902799"/>
        <c:axId val="1521897519"/>
      </c:lineChart>
      <c:catAx>
        <c:axId val="15219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897519"/>
        <c:crosses val="autoZero"/>
        <c:auto val="1"/>
        <c:lblAlgn val="ctr"/>
        <c:lblOffset val="100"/>
        <c:noMultiLvlLbl val="0"/>
      </c:catAx>
      <c:valAx>
        <c:axId val="1521897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9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'Quick Answer View '!$BE$10</c:f>
              <c:strCache>
                <c:ptCount val="1"/>
                <c:pt idx="0">
                  <c:v>Return On Equity</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'Quick Answer View '!$BF$9:$BJ$9</c:f>
              <c:numCache>
                <c:formatCode>General</c:formatCode>
                <c:ptCount val="5"/>
                <c:pt idx="0">
                  <c:v>2020</c:v>
                </c:pt>
                <c:pt idx="1">
                  <c:v>2021</c:v>
                </c:pt>
                <c:pt idx="2">
                  <c:v>2022</c:v>
                </c:pt>
                <c:pt idx="3">
                  <c:v>2023</c:v>
                </c:pt>
                <c:pt idx="4">
                  <c:v>2024</c:v>
                </c:pt>
              </c:numCache>
            </c:numRef>
          </c:cat>
          <c:val>
            <c:numRef>
              <c:f>'Quick Answer View '!$BF$10:$BJ$10</c:f>
              <c:numCache>
                <c:formatCode>0%</c:formatCode>
                <c:ptCount val="5"/>
                <c:pt idx="0">
                  <c:v>7.5876288659793817E-2</c:v>
                </c:pt>
                <c:pt idx="1">
                  <c:v>0.20623135985785901</c:v>
                </c:pt>
                <c:pt idx="2">
                  <c:v>0.24346856102859155</c:v>
                </c:pt>
                <c:pt idx="3">
                  <c:v>0.28893530419880037</c:v>
                </c:pt>
                <c:pt idx="4">
                  <c:v>0.29868875787761739</c:v>
                </c:pt>
              </c:numCache>
            </c:numRef>
          </c:val>
          <c:smooth val="0"/>
          <c:extLst>
            <c:ext xmlns:c16="http://schemas.microsoft.com/office/drawing/2014/chart" uri="{C3380CC4-5D6E-409C-BE32-E72D297353CC}">
              <c16:uniqueId val="{00000000-E2A9-4983-A437-D77502D918C2}"/>
            </c:ext>
          </c:extLst>
        </c:ser>
        <c:ser>
          <c:idx val="1"/>
          <c:order val="1"/>
          <c:tx>
            <c:strRef>
              <c:f>'Quick Answer View '!$BE$11</c:f>
              <c:strCache>
                <c:ptCount val="1"/>
                <c:pt idx="0">
                  <c:v>Return On Assets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'Quick Answer View '!$BF$9:$BJ$9</c:f>
              <c:numCache>
                <c:formatCode>General</c:formatCode>
                <c:ptCount val="5"/>
                <c:pt idx="0">
                  <c:v>2020</c:v>
                </c:pt>
                <c:pt idx="1">
                  <c:v>2021</c:v>
                </c:pt>
                <c:pt idx="2">
                  <c:v>2022</c:v>
                </c:pt>
                <c:pt idx="3">
                  <c:v>2023</c:v>
                </c:pt>
                <c:pt idx="4">
                  <c:v>2024</c:v>
                </c:pt>
              </c:numCache>
            </c:numRef>
          </c:cat>
          <c:val>
            <c:numRef>
              <c:f>'Quick Answer View '!$BF$11:$BJ$11</c:f>
              <c:numCache>
                <c:formatCode>0%</c:formatCode>
                <c:ptCount val="5"/>
                <c:pt idx="0">
                  <c:v>4.1791270772608545E-2</c:v>
                </c:pt>
                <c:pt idx="1">
                  <c:v>0.11228191397477975</c:v>
                </c:pt>
                <c:pt idx="2">
                  <c:v>0.13831170996898243</c:v>
                </c:pt>
                <c:pt idx="3">
                  <c:v>0.16480327468230693</c:v>
                </c:pt>
                <c:pt idx="4">
                  <c:v>0.16929768969291928</c:v>
                </c:pt>
              </c:numCache>
            </c:numRef>
          </c:val>
          <c:smooth val="0"/>
          <c:extLst>
            <c:ext xmlns:c16="http://schemas.microsoft.com/office/drawing/2014/chart" uri="{C3380CC4-5D6E-409C-BE32-E72D297353CC}">
              <c16:uniqueId val="{00000001-E2A9-4983-A437-D77502D918C2}"/>
            </c:ext>
          </c:extLst>
        </c:ser>
        <c:dLbls>
          <c:showLegendKey val="0"/>
          <c:showVal val="0"/>
          <c:showCatName val="0"/>
          <c:showSerName val="0"/>
          <c:showPercent val="0"/>
          <c:showBubbleSize val="0"/>
        </c:dLbls>
        <c:smooth val="0"/>
        <c:axId val="2057194575"/>
        <c:axId val="2057205615"/>
      </c:lineChart>
      <c:catAx>
        <c:axId val="2057194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205615"/>
        <c:crosses val="autoZero"/>
        <c:auto val="1"/>
        <c:lblAlgn val="ctr"/>
        <c:lblOffset val="100"/>
        <c:noMultiLvlLbl val="0"/>
      </c:catAx>
      <c:valAx>
        <c:axId val="2057205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19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'Quick Answer View '!$BE$14</c:f>
              <c:strCache>
                <c:ptCount val="1"/>
                <c:pt idx="0">
                  <c:v>Days Inventory Outstanding (DIO)</c:v>
                </c:pt>
              </c:strCache>
            </c:strRef>
          </c:tx>
          <c:spPr>
            <a:solidFill>
              <a:schemeClr val="accent1"/>
            </a:solidFill>
            <a:ln>
              <a:noFill/>
            </a:ln>
            <a:effectLst/>
            <a:sp3d/>
          </c:spPr>
          <c:invertIfNegative val="0"/>
          <c:cat>
            <c:numRef>
              <c:f>'Quick Answer View '!$BF$13:$BJ$13</c:f>
              <c:numCache>
                <c:formatCode>General</c:formatCode>
                <c:ptCount val="5"/>
                <c:pt idx="0">
                  <c:v>2020</c:v>
                </c:pt>
                <c:pt idx="1">
                  <c:v>2021</c:v>
                </c:pt>
                <c:pt idx="2">
                  <c:v>2022</c:v>
                </c:pt>
                <c:pt idx="3">
                  <c:v>2023</c:v>
                </c:pt>
                <c:pt idx="4">
                  <c:v>2024</c:v>
                </c:pt>
              </c:numCache>
            </c:numRef>
          </c:cat>
          <c:val>
            <c:numRef>
              <c:f>'Quick Answer View '!$BF$14:$BJ$14</c:f>
              <c:numCache>
                <c:formatCode>General</c:formatCode>
                <c:ptCount val="5"/>
                <c:pt idx="0">
                  <c:v>92.951065246338217</c:v>
                </c:pt>
                <c:pt idx="1">
                  <c:v>82.233868257435731</c:v>
                </c:pt>
                <c:pt idx="2">
                  <c:v>81.187816715437862</c:v>
                </c:pt>
                <c:pt idx="3">
                  <c:v>73.992657711049645</c:v>
                </c:pt>
                <c:pt idx="4">
                  <c:v>70.443117632612967</c:v>
                </c:pt>
              </c:numCache>
            </c:numRef>
          </c:val>
          <c:extLst>
            <c:ext xmlns:c16="http://schemas.microsoft.com/office/drawing/2014/chart" uri="{C3380CC4-5D6E-409C-BE32-E72D297353CC}">
              <c16:uniqueId val="{00000000-C752-463F-9C38-5E6D75834266}"/>
            </c:ext>
          </c:extLst>
        </c:ser>
        <c:ser>
          <c:idx val="1"/>
          <c:order val="1"/>
          <c:tx>
            <c:strRef>
              <c:f>'Quick Answer View '!$BE$15</c:f>
              <c:strCache>
                <c:ptCount val="1"/>
                <c:pt idx="0">
                  <c:v>Days Sales Outstanding (DSO)</c:v>
                </c:pt>
              </c:strCache>
            </c:strRef>
          </c:tx>
          <c:spPr>
            <a:solidFill>
              <a:schemeClr val="accent2"/>
            </a:solidFill>
            <a:ln>
              <a:noFill/>
            </a:ln>
            <a:effectLst/>
            <a:sp3d/>
          </c:spPr>
          <c:invertIfNegative val="0"/>
          <c:cat>
            <c:numRef>
              <c:f>'Quick Answer View '!$BF$13:$BJ$13</c:f>
              <c:numCache>
                <c:formatCode>General</c:formatCode>
                <c:ptCount val="5"/>
                <c:pt idx="0">
                  <c:v>2020</c:v>
                </c:pt>
                <c:pt idx="1">
                  <c:v>2021</c:v>
                </c:pt>
                <c:pt idx="2">
                  <c:v>2022</c:v>
                </c:pt>
                <c:pt idx="3">
                  <c:v>2023</c:v>
                </c:pt>
                <c:pt idx="4">
                  <c:v>2024</c:v>
                </c:pt>
              </c:numCache>
            </c:numRef>
          </c:cat>
          <c:val>
            <c:numRef>
              <c:f>'Quick Answer View '!$BF$15:$BJ$15</c:f>
              <c:numCache>
                <c:formatCode>General</c:formatCode>
                <c:ptCount val="5"/>
                <c:pt idx="0">
                  <c:v>13.37307616900304</c:v>
                </c:pt>
                <c:pt idx="1">
                  <c:v>10.252291095396162</c:v>
                </c:pt>
                <c:pt idx="2">
                  <c:v>9.4867051490681309</c:v>
                </c:pt>
                <c:pt idx="3">
                  <c:v>9.5902996077558633</c:v>
                </c:pt>
                <c:pt idx="4">
                  <c:v>10.043357838061711</c:v>
                </c:pt>
              </c:numCache>
            </c:numRef>
          </c:val>
          <c:extLst>
            <c:ext xmlns:c16="http://schemas.microsoft.com/office/drawing/2014/chart" uri="{C3380CC4-5D6E-409C-BE32-E72D297353CC}">
              <c16:uniqueId val="{00000001-C752-463F-9C38-5E6D75834266}"/>
            </c:ext>
          </c:extLst>
        </c:ser>
        <c:ser>
          <c:idx val="2"/>
          <c:order val="2"/>
          <c:tx>
            <c:strRef>
              <c:f>'Quick Answer View '!$BE$16</c:f>
              <c:strCache>
                <c:ptCount val="1"/>
                <c:pt idx="0">
                  <c:v>Days Payables Outstanding (DPO)</c:v>
                </c:pt>
              </c:strCache>
            </c:strRef>
          </c:tx>
          <c:spPr>
            <a:solidFill>
              <a:schemeClr val="accent3"/>
            </a:solidFill>
            <a:ln>
              <a:noFill/>
            </a:ln>
            <a:effectLst/>
            <a:sp3d/>
          </c:spPr>
          <c:invertIfNegative val="0"/>
          <c:cat>
            <c:numRef>
              <c:f>'Quick Answer View '!$BF$13:$BJ$13</c:f>
              <c:numCache>
                <c:formatCode>General</c:formatCode>
                <c:ptCount val="5"/>
                <c:pt idx="0">
                  <c:v>2020</c:v>
                </c:pt>
                <c:pt idx="1">
                  <c:v>2021</c:v>
                </c:pt>
                <c:pt idx="2">
                  <c:v>2022</c:v>
                </c:pt>
                <c:pt idx="3">
                  <c:v>2023</c:v>
                </c:pt>
                <c:pt idx="4">
                  <c:v>2024</c:v>
                </c:pt>
              </c:numCache>
            </c:numRef>
          </c:cat>
          <c:val>
            <c:numRef>
              <c:f>'Quick Answer View '!$BF$16:$BJ$16</c:f>
              <c:numCache>
                <c:formatCode>General</c:formatCode>
                <c:ptCount val="5"/>
                <c:pt idx="0">
                  <c:v>204.57334664891258</c:v>
                </c:pt>
                <c:pt idx="1">
                  <c:v>166.49176608973283</c:v>
                </c:pt>
                <c:pt idx="2">
                  <c:v>162.76639783027622</c:v>
                </c:pt>
                <c:pt idx="3">
                  <c:v>160.66393388647438</c:v>
                </c:pt>
                <c:pt idx="4">
                  <c:v>171.99011542239683</c:v>
                </c:pt>
              </c:numCache>
            </c:numRef>
          </c:val>
          <c:extLst>
            <c:ext xmlns:c16="http://schemas.microsoft.com/office/drawing/2014/chart" uri="{C3380CC4-5D6E-409C-BE32-E72D297353CC}">
              <c16:uniqueId val="{00000002-C752-463F-9C38-5E6D75834266}"/>
            </c:ext>
          </c:extLst>
        </c:ser>
        <c:ser>
          <c:idx val="3"/>
          <c:order val="3"/>
          <c:tx>
            <c:strRef>
              <c:f>'Quick Answer View '!$BE$17</c:f>
              <c:strCache>
                <c:ptCount val="1"/>
                <c:pt idx="0">
                  <c:v>Cash Conversion Cycle</c:v>
                </c:pt>
              </c:strCache>
            </c:strRef>
          </c:tx>
          <c:spPr>
            <a:solidFill>
              <a:schemeClr val="accent4"/>
            </a:solidFill>
            <a:ln>
              <a:noFill/>
            </a:ln>
            <a:effectLst/>
            <a:sp3d/>
          </c:spPr>
          <c:invertIfNegative val="0"/>
          <c:cat>
            <c:numRef>
              <c:f>'Quick Answer View '!$BF$13:$BJ$13</c:f>
              <c:numCache>
                <c:formatCode>General</c:formatCode>
                <c:ptCount val="5"/>
                <c:pt idx="0">
                  <c:v>2020</c:v>
                </c:pt>
                <c:pt idx="1">
                  <c:v>2021</c:v>
                </c:pt>
                <c:pt idx="2">
                  <c:v>2022</c:v>
                </c:pt>
                <c:pt idx="3">
                  <c:v>2023</c:v>
                </c:pt>
                <c:pt idx="4">
                  <c:v>2024</c:v>
                </c:pt>
              </c:numCache>
            </c:numRef>
          </c:cat>
          <c:val>
            <c:numRef>
              <c:f>'Quick Answer View '!$BF$17:$BJ$17</c:f>
              <c:numCache>
                <c:formatCode>General</c:formatCode>
                <c:ptCount val="5"/>
                <c:pt idx="0">
                  <c:v>-98.249205233571317</c:v>
                </c:pt>
                <c:pt idx="1">
                  <c:v>-74.005606736900944</c:v>
                </c:pt>
                <c:pt idx="2">
                  <c:v>-72.091875965770228</c:v>
                </c:pt>
                <c:pt idx="3">
                  <c:v>-77.08097656766887</c:v>
                </c:pt>
                <c:pt idx="4">
                  <c:v>-91.50363995172215</c:v>
                </c:pt>
              </c:numCache>
            </c:numRef>
          </c:val>
          <c:extLst>
            <c:ext xmlns:c16="http://schemas.microsoft.com/office/drawing/2014/chart" uri="{C3380CC4-5D6E-409C-BE32-E72D297353CC}">
              <c16:uniqueId val="{00000003-C752-463F-9C38-5E6D75834266}"/>
            </c:ext>
          </c:extLst>
        </c:ser>
        <c:dLbls>
          <c:showLegendKey val="0"/>
          <c:showVal val="0"/>
          <c:showCatName val="0"/>
          <c:showSerName val="0"/>
          <c:showPercent val="0"/>
          <c:showBubbleSize val="0"/>
        </c:dLbls>
        <c:gapWidth val="150"/>
        <c:shape val="box"/>
        <c:axId val="2064652847"/>
        <c:axId val="2064648047"/>
        <c:axId val="0"/>
      </c:bar3DChart>
      <c:catAx>
        <c:axId val="2064652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648047"/>
        <c:crosses val="autoZero"/>
        <c:auto val="1"/>
        <c:lblAlgn val="ctr"/>
        <c:lblOffset val="100"/>
        <c:noMultiLvlLbl val="0"/>
      </c:catAx>
      <c:valAx>
        <c:axId val="206464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65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cked"/>
        <c:varyColors val="0"/>
        <c:ser>
          <c:idx val="0"/>
          <c:order val="0"/>
          <c:tx>
            <c:strRef>
              <c:f>'Quick Answer View '!$BD$21</c:f>
              <c:strCache>
                <c:ptCount val="1"/>
                <c:pt idx="0">
                  <c:v>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'Quick Answer View '!$BE$20:$BN$20</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'!$BE$21:$BN$21</c:f>
              <c:numCache>
                <c:formatCode>General</c:formatCode>
                <c:ptCount val="10"/>
                <c:pt idx="0">
                  <c:v>20402</c:v>
                </c:pt>
                <c:pt idx="1">
                  <c:v>27716</c:v>
                </c:pt>
                <c:pt idx="2">
                  <c:v>32569</c:v>
                </c:pt>
                <c:pt idx="3">
                  <c:v>35947</c:v>
                </c:pt>
                <c:pt idx="4">
                  <c:v>38632</c:v>
                </c:pt>
                <c:pt idx="5">
                  <c:v>44460.499999998137</c:v>
                </c:pt>
                <c:pt idx="6">
                  <c:v>48929.599999999627</c:v>
                </c:pt>
                <c:pt idx="7">
                  <c:v>53398.699999999255</c:v>
                </c:pt>
                <c:pt idx="8">
                  <c:v>57867.799999998882</c:v>
                </c:pt>
                <c:pt idx="9">
                  <c:v>62336.89999999851</c:v>
                </c:pt>
              </c:numCache>
            </c:numRef>
          </c:val>
          <c:smooth val="0"/>
          <c:extLst>
            <c:ext xmlns:c16="http://schemas.microsoft.com/office/drawing/2014/chart" uri="{C3380CC4-5D6E-409C-BE32-E72D297353CC}">
              <c16:uniqueId val="{00000000-443B-4DB8-82EE-7E6E5B5F0C08}"/>
            </c:ext>
          </c:extLst>
        </c:ser>
        <c:ser>
          <c:idx val="1"/>
          <c:order val="1"/>
          <c:tx>
            <c:strRef>
              <c:f>'Quick Answer View '!$BD$22</c:f>
              <c:strCache>
                <c:ptCount val="1"/>
                <c:pt idx="0">
                  <c:v>Gross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'Quick Answer View '!$BE$20:$BN$20</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'!$BE$22:$BN$22</c:f>
              <c:numCache>
                <c:formatCode>General</c:formatCode>
                <c:ptCount val="10"/>
                <c:pt idx="0">
                  <c:v>11389.999999999998</c:v>
                </c:pt>
                <c:pt idx="1">
                  <c:v>15814.000000000002</c:v>
                </c:pt>
                <c:pt idx="2">
                  <c:v>18558</c:v>
                </c:pt>
                <c:pt idx="3">
                  <c:v>20761</c:v>
                </c:pt>
                <c:pt idx="4">
                  <c:v>22344</c:v>
                </c:pt>
                <c:pt idx="5">
                  <c:v>25829.899999999536</c:v>
                </c:pt>
                <c:pt idx="6">
                  <c:v>28515.400000000605</c:v>
                </c:pt>
                <c:pt idx="7">
                  <c:v>31200.900000000107</c:v>
                </c:pt>
                <c:pt idx="8">
                  <c:v>33886.400000000081</c:v>
                </c:pt>
                <c:pt idx="9">
                  <c:v>36571.900000000052</c:v>
                </c:pt>
              </c:numCache>
            </c:numRef>
          </c:val>
          <c:smooth val="0"/>
          <c:extLst>
            <c:ext xmlns:c16="http://schemas.microsoft.com/office/drawing/2014/chart" uri="{C3380CC4-5D6E-409C-BE32-E72D297353CC}">
              <c16:uniqueId val="{00000001-443B-4DB8-82EE-7E6E5B5F0C08}"/>
            </c:ext>
          </c:extLst>
        </c:ser>
        <c:ser>
          <c:idx val="2"/>
          <c:order val="2"/>
          <c:tx>
            <c:strRef>
              <c:f>'Quick Answer View '!$BD$23</c:f>
              <c:strCache>
                <c:ptCount val="1"/>
                <c:pt idx="0">
                  <c:v>Operating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'Quick Answer View '!$BE$20:$BN$20</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'!$BE$23:$BN$23</c:f>
              <c:numCache>
                <c:formatCode>General</c:formatCode>
                <c:ptCount val="10"/>
                <c:pt idx="0">
                  <c:v>1507</c:v>
                </c:pt>
                <c:pt idx="1">
                  <c:v>4282</c:v>
                </c:pt>
                <c:pt idx="2">
                  <c:v>5520</c:v>
                </c:pt>
                <c:pt idx="3">
                  <c:v>6809</c:v>
                </c:pt>
                <c:pt idx="4">
                  <c:v>7555</c:v>
                </c:pt>
                <c:pt idx="5">
                  <c:v>9524.8999999980424</c:v>
                </c:pt>
                <c:pt idx="6">
                  <c:v>11027.000000000093</c:v>
                </c:pt>
                <c:pt idx="7">
                  <c:v>12529.099999999346</c:v>
                </c:pt>
                <c:pt idx="8">
                  <c:v>14031.199999999066</c:v>
                </c:pt>
                <c:pt idx="9">
                  <c:v>15533.299999998788</c:v>
                </c:pt>
              </c:numCache>
            </c:numRef>
          </c:val>
          <c:smooth val="0"/>
          <c:extLst>
            <c:ext xmlns:c16="http://schemas.microsoft.com/office/drawing/2014/chart" uri="{C3380CC4-5D6E-409C-BE32-E72D297353CC}">
              <c16:uniqueId val="{00000002-443B-4DB8-82EE-7E6E5B5F0C08}"/>
            </c:ext>
          </c:extLst>
        </c:ser>
        <c:dLbls>
          <c:showLegendKey val="0"/>
          <c:showVal val="0"/>
          <c:showCatName val="0"/>
          <c:showSerName val="0"/>
          <c:showPercent val="0"/>
          <c:showBubbleSize val="0"/>
        </c:dLbls>
        <c:marker val="1"/>
        <c:smooth val="0"/>
        <c:axId val="1166652048"/>
        <c:axId val="1166656368"/>
      </c:lineChart>
      <c:catAx>
        <c:axId val="116665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56368"/>
        <c:crosses val="autoZero"/>
        <c:auto val="1"/>
        <c:lblAlgn val="ctr"/>
        <c:lblOffset val="100"/>
        <c:noMultiLvlLbl val="0"/>
      </c:catAx>
      <c:valAx>
        <c:axId val="116665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652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'Quick Answer View '!$BD$25</c:f>
              <c:strCache>
                <c:ptCount val="1"/>
                <c:pt idx="0">
                  <c:v>Free Cash Flow</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'Quick Answer View '!$BE$24:$BN$24</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'Quick Answer View '!$BE$25:$BN$25</c:f>
              <c:numCache>
                <c:formatCode>General</c:formatCode>
                <c:ptCount val="10"/>
                <c:pt idx="0">
                  <c:v>4552</c:v>
                </c:pt>
                <c:pt idx="1">
                  <c:v>7183</c:v>
                </c:pt>
                <c:pt idx="2">
                  <c:v>8418</c:v>
                </c:pt>
                <c:pt idx="3">
                  <c:v>9850</c:v>
                </c:pt>
                <c:pt idx="4">
                  <c:v>10729</c:v>
                </c:pt>
                <c:pt idx="5">
                  <c:v>12698.899999998042</c:v>
                </c:pt>
                <c:pt idx="6">
                  <c:v>14201.000000000093</c:v>
                </c:pt>
                <c:pt idx="7">
                  <c:v>15703.099999999346</c:v>
                </c:pt>
                <c:pt idx="8">
                  <c:v>17205.199999999066</c:v>
                </c:pt>
                <c:pt idx="9">
                  <c:v>18707.299999998788</c:v>
                </c:pt>
              </c:numCache>
            </c:numRef>
          </c:val>
          <c:smooth val="0"/>
          <c:extLst>
            <c:ext xmlns:c16="http://schemas.microsoft.com/office/drawing/2014/chart" uri="{C3380CC4-5D6E-409C-BE32-E72D297353CC}">
              <c16:uniqueId val="{00000000-D115-4D84-B4C7-EA5F81F157A5}"/>
            </c:ext>
          </c:extLst>
        </c:ser>
        <c:dLbls>
          <c:showLegendKey val="0"/>
          <c:showVal val="0"/>
          <c:showCatName val="0"/>
          <c:showSerName val="0"/>
          <c:showPercent val="0"/>
          <c:showBubbleSize val="0"/>
        </c:dLbls>
        <c:smooth val="0"/>
        <c:axId val="1005657056"/>
        <c:axId val="1005651296"/>
      </c:lineChart>
      <c:catAx>
        <c:axId val="1005657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651296"/>
        <c:crosses val="autoZero"/>
        <c:auto val="1"/>
        <c:lblAlgn val="ctr"/>
        <c:lblOffset val="100"/>
        <c:noMultiLvlLbl val="0"/>
      </c:catAx>
      <c:valAx>
        <c:axId val="100565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5657056"/>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Spin" dx="31" fmlaLink="$B$9" inc="10" max="500" min="300" page="10" val="350"/>
</file>

<file path=xl/ctrlProps/ctrlProp2.xml><?xml version="1.0" encoding="utf-8"?>
<formControlPr xmlns="http://schemas.microsoft.com/office/spreadsheetml/2009/9/main" objectType="Spin" dx="31" fmlaLink="$B$10" inc="10" max="450" min="250" page="10" val="300"/>
</file>

<file path=xl/ctrlProps/ctrlProp3.xml><?xml version="1.0" encoding="utf-8"?>
<formControlPr xmlns="http://schemas.microsoft.com/office/spreadsheetml/2009/9/main" objectType="Spin" dx="31" fmlaLink="$B$21" inc="10" max="600" min="350" page="10" val="500"/>
</file>

<file path=xl/ctrlProps/ctrlProp4.xml><?xml version="1.0" encoding="utf-8"?>
<formControlPr xmlns="http://schemas.microsoft.com/office/spreadsheetml/2009/9/main" objectType="Drop" dropLines="5" dropStyle="combo" dx="31" fmlaLink="$N$5" fmlaRange="'Quick Answer View '!$AO$2:$AO$6" noThreeD="1" sel="5" val="0"/>
</file>

<file path=xl/ctrlProps/ctrlProp5.xml><?xml version="1.0" encoding="utf-8"?>
<formControlPr xmlns="http://schemas.microsoft.com/office/spreadsheetml/2009/9/main" objectType="Drop" dropLines="5" dropStyle="combo" dx="31" fmlaLink="$N$6" fmlaRange="$AO$7:$AO$11" noThreeD="1" sel="3" val="0"/>
</file>

<file path=xl/ctrlProps/ctrlProp6.xml><?xml version="1.0" encoding="utf-8"?>
<formControlPr xmlns="http://schemas.microsoft.com/office/spreadsheetml/2009/9/main" objectType="Drop" dropLines="5" dropStyle="combo" dx="31" fmlaLink="$N$7" fmlaRange="$AO$12:$AO$16" noThreeD="1" sel="5" val="0"/>
</file>

<file path=xl/ctrlProps/ctrlProp7.xml><?xml version="1.0" encoding="utf-8"?>
<formControlPr xmlns="http://schemas.microsoft.com/office/spreadsheetml/2009/9/main" objectType="Drop" dropLines="5" dropStyle="combo" dx="31" fmlaLink="$N$10" fmlaRange="$AO$17:$AO$21" noThreeD="1" sel="1" val="0"/>
</file>

<file path=xl/ctrlProps/ctrlProp8.xml><?xml version="1.0" encoding="utf-8"?>
<formControlPr xmlns="http://schemas.microsoft.com/office/spreadsheetml/2009/9/main" objectType="Drop" dropLines="5" dropStyle="combo" dx="31" fmlaLink="$N$11" fmlaRange="$AO$22:$AO$26" noThreeD="1" sel="3" val="0"/>
</file>

<file path=xl/ctrlProps/ctrlProp9.xml><?xml version="1.0" encoding="utf-8"?>
<formControlPr xmlns="http://schemas.microsoft.com/office/spreadsheetml/2009/9/main" objectType="Drop" dropLines="5" dropStyle="combo" dx="31" fmlaLink="$W$39" fmlaRange="$AO$29:$AO$33" noThreeD="1" sel="2" val="0"/>
</file>

<file path=xl/ctrlProps/ctrlProp10.xml><?xml version="1.0" encoding="utf-8"?>
<formControlPr xmlns="http://schemas.microsoft.com/office/spreadsheetml/2009/9/main" objectType="Drop" dropLines="5" dropStyle="combo" dx="31" fmlaLink="$B$30" fmlaRange="$BL$5:$BL$9" noThreeD="1" sel="5" val="0"/>
</file>

<file path=xl/ctrlProps/ctrlProp11.xml><?xml version="1.0" encoding="utf-8"?>
<formControlPr xmlns="http://schemas.microsoft.com/office/spreadsheetml/2009/9/main" objectType="Drop" dropLines="5" dropStyle="combo" dx="31" fmlaLink="$B$31" fmlaRange="$BL$5:$BL$9" noThreeD="1" sel="5" val="0"/>
</file>

<file path=xl/ctrlProps/ctrlProp12.xml><?xml version="1.0" encoding="utf-8"?>
<formControlPr xmlns="http://schemas.microsoft.com/office/spreadsheetml/2009/9/main" objectType="Drop" dropLines="5" dropStyle="combo" dx="31" fmlaLink="$B$32" fmlaRange="$BL$5:$BL$9" noThreeD="1" sel="5" val="0"/>
</file>

<file path=xl/ctrlProps/ctrlProp13.xml><?xml version="1.0" encoding="utf-8"?>
<formControlPr xmlns="http://schemas.microsoft.com/office/spreadsheetml/2009/9/main" objectType="Spin" dx="31" fmlaLink="$E$71" inc="100" max="10000" min="100" page="10" val="6000"/>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180975</xdr:colOff>
      <xdr:row>7</xdr:row>
      <xdr:rowOff>63500</xdr:rowOff>
    </xdr:from>
    <xdr:to>
      <xdr:col>12</xdr:col>
      <xdr:colOff>349250</xdr:colOff>
      <xdr:row>16</xdr:row>
      <xdr:rowOff>22224</xdr:rowOff>
    </xdr:to>
    <xdr:graphicFrame macro="">
      <xdr:nvGraphicFramePr>
        <xdr:cNvPr id="2" name="Chart 1">
          <a:extLst>
            <a:ext uri="{FF2B5EF4-FFF2-40B4-BE49-F238E27FC236}">
              <a16:creationId xmlns:a16="http://schemas.microsoft.com/office/drawing/2014/main" id="{F4563C84-6284-BFAE-C669-BA16027EC4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185505</xdr:colOff>
      <xdr:row>16</xdr:row>
      <xdr:rowOff>121292</xdr:rowOff>
    </xdr:from>
    <xdr:to>
      <xdr:col>12</xdr:col>
      <xdr:colOff>321068</xdr:colOff>
      <xdr:row>25</xdr:row>
      <xdr:rowOff>94307</xdr:rowOff>
    </xdr:to>
    <xdr:graphicFrame macro="">
      <xdr:nvGraphicFramePr>
        <xdr:cNvPr id="3" name="Chart 2">
          <a:extLst>
            <a:ext uri="{FF2B5EF4-FFF2-40B4-BE49-F238E27FC236}">
              <a16:creationId xmlns:a16="http://schemas.microsoft.com/office/drawing/2014/main" id="{C3B65F49-C00E-6DBB-6F1B-D7CE074F86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3</xdr:col>
          <xdr:colOff>12700</xdr:colOff>
          <xdr:row>8</xdr:row>
          <xdr:rowOff>19050</xdr:rowOff>
        </xdr:from>
        <xdr:to>
          <xdr:col>3</xdr:col>
          <xdr:colOff>920750</xdr:colOff>
          <xdr:row>10</xdr:row>
          <xdr:rowOff>152400</xdr:rowOff>
        </xdr:to>
        <xdr:sp macro="" textlink="">
          <xdr:nvSpPr>
            <xdr:cNvPr id="4098" name="Spinner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25400</xdr:colOff>
          <xdr:row>8</xdr:row>
          <xdr:rowOff>31750</xdr:rowOff>
        </xdr:from>
        <xdr:to>
          <xdr:col>5</xdr:col>
          <xdr:colOff>908050</xdr:colOff>
          <xdr:row>10</xdr:row>
          <xdr:rowOff>171450</xdr:rowOff>
        </xdr:to>
        <xdr:sp macro="" textlink="">
          <xdr:nvSpPr>
            <xdr:cNvPr id="4099" name="Spinner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12700</xdr:colOff>
          <xdr:row>19</xdr:row>
          <xdr:rowOff>31750</xdr:rowOff>
        </xdr:from>
        <xdr:to>
          <xdr:col>5</xdr:col>
          <xdr:colOff>933450</xdr:colOff>
          <xdr:row>22</xdr:row>
          <xdr:rowOff>0</xdr:rowOff>
        </xdr:to>
        <xdr:sp macro="" textlink="">
          <xdr:nvSpPr>
            <xdr:cNvPr id="4101" name="Spinner 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4</xdr:row>
          <xdr:rowOff>12700</xdr:rowOff>
        </xdr:from>
        <xdr:to>
          <xdr:col>16</xdr:col>
          <xdr:colOff>558800</xdr:colOff>
          <xdr:row>6</xdr:row>
          <xdr:rowOff>228600</xdr:rowOff>
        </xdr:to>
        <xdr:sp macro="" textlink="">
          <xdr:nvSpPr>
            <xdr:cNvPr id="4103" name="Drop Down 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31750</xdr:colOff>
          <xdr:row>4</xdr:row>
          <xdr:rowOff>31750</xdr:rowOff>
        </xdr:from>
        <xdr:to>
          <xdr:col>20</xdr:col>
          <xdr:colOff>546100</xdr:colOff>
          <xdr:row>6</xdr:row>
          <xdr:rowOff>190500</xdr:rowOff>
        </xdr:to>
        <xdr:sp macro="" textlink="">
          <xdr:nvSpPr>
            <xdr:cNvPr id="4104" name="Drop Down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50800</xdr:colOff>
          <xdr:row>4</xdr:row>
          <xdr:rowOff>50800</xdr:rowOff>
        </xdr:from>
        <xdr:to>
          <xdr:col>22</xdr:col>
          <xdr:colOff>1778000</xdr:colOff>
          <xdr:row>6</xdr:row>
          <xdr:rowOff>190500</xdr:rowOff>
        </xdr:to>
        <xdr:sp macro="" textlink="">
          <xdr:nvSpPr>
            <xdr:cNvPr id="4105" name="Drop Down 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57150</xdr:colOff>
          <xdr:row>9</xdr:row>
          <xdr:rowOff>50800</xdr:rowOff>
        </xdr:from>
        <xdr:to>
          <xdr:col>16</xdr:col>
          <xdr:colOff>596900</xdr:colOff>
          <xdr:row>11</xdr:row>
          <xdr:rowOff>165100</xdr:rowOff>
        </xdr:to>
        <xdr:sp macro="" textlink="">
          <xdr:nvSpPr>
            <xdr:cNvPr id="4106" name="Drop Down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31750</xdr:colOff>
          <xdr:row>9</xdr:row>
          <xdr:rowOff>38100</xdr:rowOff>
        </xdr:from>
        <xdr:to>
          <xdr:col>20</xdr:col>
          <xdr:colOff>546100</xdr:colOff>
          <xdr:row>11</xdr:row>
          <xdr:rowOff>152400</xdr:rowOff>
        </xdr:to>
        <xdr:sp macro="" textlink="">
          <xdr:nvSpPr>
            <xdr:cNvPr id="4107" name="Drop Down 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14</xdr:col>
      <xdr:colOff>38485</xdr:colOff>
      <xdr:row>15</xdr:row>
      <xdr:rowOff>57730</xdr:rowOff>
    </xdr:from>
    <xdr:to>
      <xdr:col>18</xdr:col>
      <xdr:colOff>577272</xdr:colOff>
      <xdr:row>23</xdr:row>
      <xdr:rowOff>115458</xdr:rowOff>
    </xdr:to>
    <xdr:graphicFrame macro="">
      <xdr:nvGraphicFramePr>
        <xdr:cNvPr id="6" name="Chart 5">
          <a:extLst>
            <a:ext uri="{FF2B5EF4-FFF2-40B4-BE49-F238E27FC236}">
              <a16:creationId xmlns:a16="http://schemas.microsoft.com/office/drawing/2014/main" id="{18CBC22A-4445-018F-942F-E7BA0D40F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56765</xdr:colOff>
      <xdr:row>15</xdr:row>
      <xdr:rowOff>61960</xdr:rowOff>
    </xdr:from>
    <xdr:to>
      <xdr:col>23</xdr:col>
      <xdr:colOff>567651</xdr:colOff>
      <xdr:row>23</xdr:row>
      <xdr:rowOff>115454</xdr:rowOff>
    </xdr:to>
    <xdr:graphicFrame macro="">
      <xdr:nvGraphicFramePr>
        <xdr:cNvPr id="7" name="Chart 6">
          <a:extLst>
            <a:ext uri="{FF2B5EF4-FFF2-40B4-BE49-F238E27FC236}">
              <a16:creationId xmlns:a16="http://schemas.microsoft.com/office/drawing/2014/main" id="{C0E8DCBC-2A1C-0132-28F2-05A9076E7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66386</xdr:colOff>
      <xdr:row>15</xdr:row>
      <xdr:rowOff>61960</xdr:rowOff>
    </xdr:from>
    <xdr:to>
      <xdr:col>28</xdr:col>
      <xdr:colOff>492125</xdr:colOff>
      <xdr:row>23</xdr:row>
      <xdr:rowOff>125075</xdr:rowOff>
    </xdr:to>
    <xdr:graphicFrame macro="">
      <xdr:nvGraphicFramePr>
        <xdr:cNvPr id="8" name="Chart 7">
          <a:extLst>
            <a:ext uri="{FF2B5EF4-FFF2-40B4-BE49-F238E27FC236}">
              <a16:creationId xmlns:a16="http://schemas.microsoft.com/office/drawing/2014/main" id="{7022D3CF-1F56-D1C4-E4B6-B62E63BEF3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8659</xdr:colOff>
      <xdr:row>25</xdr:row>
      <xdr:rowOff>52339</xdr:rowOff>
    </xdr:from>
    <xdr:to>
      <xdr:col>18</xdr:col>
      <xdr:colOff>529166</xdr:colOff>
      <xdr:row>34</xdr:row>
      <xdr:rowOff>134697</xdr:rowOff>
    </xdr:to>
    <xdr:graphicFrame macro="">
      <xdr:nvGraphicFramePr>
        <xdr:cNvPr id="9" name="Chart 8">
          <a:extLst>
            <a:ext uri="{FF2B5EF4-FFF2-40B4-BE49-F238E27FC236}">
              <a16:creationId xmlns:a16="http://schemas.microsoft.com/office/drawing/2014/main" id="{171AF22E-0630-CB39-422E-1476ECC08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47143</xdr:colOff>
      <xdr:row>25</xdr:row>
      <xdr:rowOff>33096</xdr:rowOff>
    </xdr:from>
    <xdr:to>
      <xdr:col>23</xdr:col>
      <xdr:colOff>509924</xdr:colOff>
      <xdr:row>34</xdr:row>
      <xdr:rowOff>125075</xdr:rowOff>
    </xdr:to>
    <xdr:graphicFrame macro="">
      <xdr:nvGraphicFramePr>
        <xdr:cNvPr id="10" name="Chart 9">
          <a:extLst>
            <a:ext uri="{FF2B5EF4-FFF2-40B4-BE49-F238E27FC236}">
              <a16:creationId xmlns:a16="http://schemas.microsoft.com/office/drawing/2014/main" id="{0942AA92-D646-48AB-E7D1-413BC61647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57726</xdr:colOff>
      <xdr:row>25</xdr:row>
      <xdr:rowOff>67349</xdr:rowOff>
    </xdr:from>
    <xdr:to>
      <xdr:col>28</xdr:col>
      <xdr:colOff>567652</xdr:colOff>
      <xdr:row>34</xdr:row>
      <xdr:rowOff>134697</xdr:rowOff>
    </xdr:to>
    <xdr:graphicFrame macro="">
      <xdr:nvGraphicFramePr>
        <xdr:cNvPr id="11" name="Chart 10">
          <a:extLst>
            <a:ext uri="{FF2B5EF4-FFF2-40B4-BE49-F238E27FC236}">
              <a16:creationId xmlns:a16="http://schemas.microsoft.com/office/drawing/2014/main" id="{2F75BD1A-23E7-8E7A-59BB-D4B45A7E6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37523</xdr:colOff>
      <xdr:row>36</xdr:row>
      <xdr:rowOff>52339</xdr:rowOff>
    </xdr:from>
    <xdr:to>
      <xdr:col>20</xdr:col>
      <xdr:colOff>567652</xdr:colOff>
      <xdr:row>48</xdr:row>
      <xdr:rowOff>9621</xdr:rowOff>
    </xdr:to>
    <xdr:graphicFrame macro="">
      <xdr:nvGraphicFramePr>
        <xdr:cNvPr id="12" name="Chart 11">
          <a:extLst>
            <a:ext uri="{FF2B5EF4-FFF2-40B4-BE49-F238E27FC236}">
              <a16:creationId xmlns:a16="http://schemas.microsoft.com/office/drawing/2014/main" id="{E26FAEF3-13FA-3DFD-7C6B-098C1B0D5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xdr:colOff>
          <xdr:row>38</xdr:row>
          <xdr:rowOff>88900</xdr:rowOff>
        </xdr:from>
        <xdr:to>
          <xdr:col>24</xdr:col>
          <xdr:colOff>1168400</xdr:colOff>
          <xdr:row>41</xdr:row>
          <xdr:rowOff>107950</xdr:rowOff>
        </xdr:to>
        <xdr:sp macro="" textlink="">
          <xdr:nvSpPr>
            <xdr:cNvPr id="4108" name="Drop Down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844550</xdr:colOff>
          <xdr:row>30</xdr:row>
          <xdr:rowOff>25400</xdr:rowOff>
        </xdr:from>
        <xdr:to>
          <xdr:col>4</xdr:col>
          <xdr:colOff>228600</xdr:colOff>
          <xdr:row>32</xdr:row>
          <xdr:rowOff>63500</xdr:rowOff>
        </xdr:to>
        <xdr:sp macro="" textlink="">
          <xdr:nvSpPr>
            <xdr:cNvPr id="4109" name="Drop Down 13" hidden="1">
              <a:extLst>
                <a:ext uri="{63B3BB69-23CF-44E3-9099-C40C66FF867C}">
                  <a14:compatExt spid="_x0000_s4109"/>
                </a:ext>
                <a:ext uri="{FF2B5EF4-FFF2-40B4-BE49-F238E27FC236}">
                  <a16:creationId xmlns:a16="http://schemas.microsoft.com/office/drawing/2014/main" id="{00000000-0008-0000-0100-00000D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273050</xdr:colOff>
          <xdr:row>29</xdr:row>
          <xdr:rowOff>139700</xdr:rowOff>
        </xdr:from>
        <xdr:to>
          <xdr:col>7</xdr:col>
          <xdr:colOff>38100</xdr:colOff>
          <xdr:row>32</xdr:row>
          <xdr:rowOff>25400</xdr:rowOff>
        </xdr:to>
        <xdr:sp macro="" textlink="">
          <xdr:nvSpPr>
            <xdr:cNvPr id="4110" name="Drop Down 14" hidden="1">
              <a:extLst>
                <a:ext uri="{63B3BB69-23CF-44E3-9099-C40C66FF867C}">
                  <a14:compatExt spid="_x0000_s4110"/>
                </a:ext>
                <a:ext uri="{FF2B5EF4-FFF2-40B4-BE49-F238E27FC236}">
                  <a16:creationId xmlns:a16="http://schemas.microsoft.com/office/drawing/2014/main" id="{00000000-0008-0000-0100-00000E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107950</xdr:colOff>
          <xdr:row>29</xdr:row>
          <xdr:rowOff>165100</xdr:rowOff>
        </xdr:from>
        <xdr:to>
          <xdr:col>10</xdr:col>
          <xdr:colOff>44450</xdr:colOff>
          <xdr:row>32</xdr:row>
          <xdr:rowOff>38100</xdr:rowOff>
        </xdr:to>
        <xdr:sp macro="" textlink="">
          <xdr:nvSpPr>
            <xdr:cNvPr id="4111" name="Drop Down 15" hidden="1">
              <a:extLst>
                <a:ext uri="{63B3BB69-23CF-44E3-9099-C40C66FF867C}">
                  <a14:compatExt spid="_x0000_s4111"/>
                </a:ext>
                <a:ext uri="{FF2B5EF4-FFF2-40B4-BE49-F238E27FC236}">
                  <a16:creationId xmlns:a16="http://schemas.microsoft.com/office/drawing/2014/main" id="{00000000-0008-0000-0100-00000F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55564</xdr:colOff>
      <xdr:row>33</xdr:row>
      <xdr:rowOff>30691</xdr:rowOff>
    </xdr:from>
    <xdr:to>
      <xdr:col>5</xdr:col>
      <xdr:colOff>899584</xdr:colOff>
      <xdr:row>45</xdr:row>
      <xdr:rowOff>26458</xdr:rowOff>
    </xdr:to>
    <xdr:graphicFrame macro="">
      <xdr:nvGraphicFramePr>
        <xdr:cNvPr id="13" name="Chart 12">
          <a:extLst>
            <a:ext uri="{FF2B5EF4-FFF2-40B4-BE49-F238E27FC236}">
              <a16:creationId xmlns:a16="http://schemas.microsoft.com/office/drawing/2014/main" id="{0DC17EBE-D995-3D2D-853C-6B5CFC9940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29105</xdr:colOff>
      <xdr:row>46</xdr:row>
      <xdr:rowOff>57151</xdr:rowOff>
    </xdr:from>
    <xdr:to>
      <xdr:col>5</xdr:col>
      <xdr:colOff>886355</xdr:colOff>
      <xdr:row>58</xdr:row>
      <xdr:rowOff>145521</xdr:rowOff>
    </xdr:to>
    <xdr:graphicFrame macro="">
      <xdr:nvGraphicFramePr>
        <xdr:cNvPr id="14" name="Chart 13">
          <a:extLst>
            <a:ext uri="{FF2B5EF4-FFF2-40B4-BE49-F238E27FC236}">
              <a16:creationId xmlns:a16="http://schemas.microsoft.com/office/drawing/2014/main" id="{EB54A9EE-B0D5-5B23-6FAC-2BA1B47C1F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214313</xdr:colOff>
      <xdr:row>37</xdr:row>
      <xdr:rowOff>70379</xdr:rowOff>
    </xdr:from>
    <xdr:to>
      <xdr:col>12</xdr:col>
      <xdr:colOff>357188</xdr:colOff>
      <xdr:row>51</xdr:row>
      <xdr:rowOff>132291</xdr:rowOff>
    </xdr:to>
    <xdr:graphicFrame macro="">
      <xdr:nvGraphicFramePr>
        <xdr:cNvPr id="4" name="Chart 3">
          <a:extLst>
            <a:ext uri="{FF2B5EF4-FFF2-40B4-BE49-F238E27FC236}">
              <a16:creationId xmlns:a16="http://schemas.microsoft.com/office/drawing/2014/main" id="{813F79BB-8B99-586C-99F5-4C4C60F88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395377</xdr:colOff>
      <xdr:row>54</xdr:row>
      <xdr:rowOff>149754</xdr:rowOff>
    </xdr:from>
    <xdr:to>
      <xdr:col>12</xdr:col>
      <xdr:colOff>383646</xdr:colOff>
      <xdr:row>67</xdr:row>
      <xdr:rowOff>158750</xdr:rowOff>
    </xdr:to>
    <xdr:graphicFrame macro="">
      <xdr:nvGraphicFramePr>
        <xdr:cNvPr id="5" name="Chart 4">
          <a:extLst>
            <a:ext uri="{FF2B5EF4-FFF2-40B4-BE49-F238E27FC236}">
              <a16:creationId xmlns:a16="http://schemas.microsoft.com/office/drawing/2014/main" id="{8C1ACA19-D1EF-A00F-649F-4D6806C3E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xdr:from>
          <xdr:col>5</xdr:col>
          <xdr:colOff>704850</xdr:colOff>
          <xdr:row>59</xdr:row>
          <xdr:rowOff>95250</xdr:rowOff>
        </xdr:from>
        <xdr:to>
          <xdr:col>6</xdr:col>
          <xdr:colOff>203200</xdr:colOff>
          <xdr:row>63</xdr:row>
          <xdr:rowOff>19050</xdr:rowOff>
        </xdr:to>
        <xdr:sp macro="" textlink="">
          <xdr:nvSpPr>
            <xdr:cNvPr id="4113" name="Spinner 17" hidden="1">
              <a:extLst>
                <a:ext uri="{63B3BB69-23CF-44E3-9099-C40C66FF867C}">
                  <a14:compatExt spid="_x0000_s4113"/>
                </a:ext>
                <a:ext uri="{FF2B5EF4-FFF2-40B4-BE49-F238E27FC236}">
                  <a16:creationId xmlns:a16="http://schemas.microsoft.com/office/drawing/2014/main" id="{00000000-0008-0000-01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406400</xdr:colOff>
      <xdr:row>0</xdr:row>
      <xdr:rowOff>0</xdr:rowOff>
    </xdr:from>
    <xdr:to>
      <xdr:col>1</xdr:col>
      <xdr:colOff>506500</xdr:colOff>
      <xdr:row>3</xdr:row>
      <xdr:rowOff>105717</xdr:rowOff>
    </xdr:to>
    <xdr:pic>
      <xdr:nvPicPr>
        <xdr:cNvPr id="2" name="Picture 1" descr="Baskin-Robbins - Simple English Wikipedia, the free encyclopedia">
          <a:extLst>
            <a:ext uri="{FF2B5EF4-FFF2-40B4-BE49-F238E27FC236}">
              <a16:creationId xmlns:a16="http://schemas.microsoft.com/office/drawing/2014/main" id="{B4D029C8-9C05-49A2-9155-EB3E92692D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400" y="0"/>
          <a:ext cx="709700" cy="664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132120</xdr:colOff>
      <xdr:row>1</xdr:row>
      <xdr:rowOff>68646</xdr:rowOff>
    </xdr:from>
    <xdr:to>
      <xdr:col>1</xdr:col>
      <xdr:colOff>1993236</xdr:colOff>
      <xdr:row>7</xdr:row>
      <xdr:rowOff>1126</xdr:rowOff>
    </xdr:to>
    <xdr:pic>
      <xdr:nvPicPr>
        <xdr:cNvPr id="2" name="Picture 1" descr="Lucky Core Industries">
          <a:extLst>
            <a:ext uri="{FF2B5EF4-FFF2-40B4-BE49-F238E27FC236}">
              <a16:creationId xmlns:a16="http://schemas.microsoft.com/office/drawing/2014/main" id="{1D77B559-E3C8-42DE-C543-2AC4465788C7}"/>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531" t="24830" r="5864" b="26447"/>
        <a:stretch>
          <a:fillRect/>
        </a:stretch>
      </xdr:blipFill>
      <xdr:spPr bwMode="auto">
        <a:xfrm>
          <a:off x="749958" y="257430"/>
          <a:ext cx="1860324" cy="1074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859293</xdr:colOff>
      <xdr:row>0</xdr:row>
      <xdr:rowOff>134696</xdr:rowOff>
    </xdr:from>
    <xdr:to>
      <xdr:col>2</xdr:col>
      <xdr:colOff>984369</xdr:colOff>
      <xdr:row>3</xdr:row>
      <xdr:rowOff>86590</xdr:rowOff>
    </xdr:to>
    <xdr:pic>
      <xdr:nvPicPr>
        <xdr:cNvPr id="3" name="Picture 2" descr="Inditex - Foro de Marcas Renombradas ...">
          <a:extLst>
            <a:ext uri="{FF2B5EF4-FFF2-40B4-BE49-F238E27FC236}">
              <a16:creationId xmlns:a16="http://schemas.microsoft.com/office/drawing/2014/main" id="{8E38C8DC-C0C7-8057-3B15-8C2CE4A06E65}"/>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748" t="33899" r="9384" b="34624"/>
        <a:stretch>
          <a:fillRect/>
        </a:stretch>
      </xdr:blipFill>
      <xdr:spPr bwMode="auto">
        <a:xfrm>
          <a:off x="1467835" y="134696"/>
          <a:ext cx="2367419" cy="507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216477</xdr:colOff>
      <xdr:row>44</xdr:row>
      <xdr:rowOff>117859</xdr:rowOff>
    </xdr:from>
    <xdr:to>
      <xdr:col>16</xdr:col>
      <xdr:colOff>523683</xdr:colOff>
      <xdr:row>53</xdr:row>
      <xdr:rowOff>98690</xdr:rowOff>
    </xdr:to>
    <xdr:pic>
      <xdr:nvPicPr>
        <xdr:cNvPr id="4" name="Picture 3" descr="Inditex Products and Brands ...">
          <a:extLst>
            <a:ext uri="{FF2B5EF4-FFF2-40B4-BE49-F238E27FC236}">
              <a16:creationId xmlns:a16="http://schemas.microsoft.com/office/drawing/2014/main" id="{E4B5F5F4-1ADE-62D5-EF00-45A0B96E71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43404" y="8386088"/>
          <a:ext cx="2741373" cy="166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3" Type="http://schemas.openxmlformats.org/officeDocument/2006/relationships/ctrlProp" Target="../ctrlProps/ctrlProp1.xml"/><Relationship Id="rId7" Type="http://schemas.openxmlformats.org/officeDocument/2006/relationships/ctrlProp" Target="../ctrlProps/ctrlProp5.xml"/><Relationship Id="rId12" Type="http://schemas.openxmlformats.org/officeDocument/2006/relationships/ctrlProp" Target="../ctrlProps/ctrlProp10.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5" Type="http://schemas.openxmlformats.org/officeDocument/2006/relationships/ctrlProp" Target="../ctrlProps/ctrlProp3.xml"/><Relationship Id="rId15" Type="http://schemas.openxmlformats.org/officeDocument/2006/relationships/ctrlProp" Target="../ctrlProps/ctrlProp1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radingeconomics.com/euro-area/gdp-growth-annual" TargetMode="External"/><Relationship Id="rId1" Type="http://schemas.openxmlformats.org/officeDocument/2006/relationships/hyperlink" Target="https://www.kroll.com/en/insights/publications/cost-of-capital/recommended-eurozone-equity-risk-premium-corresponding-risk-free-rates"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5678-0659-4D5F-90E6-D1F71E9BA1B9}">
  <dimension ref="B1:C6"/>
  <sheetViews>
    <sheetView showGridLines="0" workbookViewId="0">
      <selection activeCell="F7" sqref="F7"/>
    </sheetView>
  </sheetViews>
  <sheetFormatPr defaultRowHeight="14.5" x14ac:dyDescent="0.35"/>
  <cols>
    <col min="2" max="2" width="12.08984375" customWidth="1"/>
    <col min="3" max="3" width="21.54296875" customWidth="1"/>
  </cols>
  <sheetData>
    <row r="1" spans="2:3" ht="15" thickBot="1" x14ac:dyDescent="0.4"/>
    <row r="2" spans="2:3" x14ac:dyDescent="0.35">
      <c r="B2" s="132" t="s">
        <v>185</v>
      </c>
      <c r="C2" s="133" t="s">
        <v>186</v>
      </c>
    </row>
    <row r="3" spans="2:3" x14ac:dyDescent="0.35">
      <c r="B3" s="134" t="s">
        <v>187</v>
      </c>
      <c r="C3" s="135">
        <v>26570</v>
      </c>
    </row>
    <row r="4" spans="2:3" ht="15" thickBot="1" x14ac:dyDescent="0.4">
      <c r="B4" s="136" t="s">
        <v>189</v>
      </c>
      <c r="C4" s="137">
        <v>98627</v>
      </c>
    </row>
    <row r="5" spans="2:3" ht="16.5" thickBot="1" x14ac:dyDescent="0.45">
      <c r="B5" s="379" t="s">
        <v>188</v>
      </c>
      <c r="C5" s="380"/>
    </row>
    <row r="6" spans="2:3" ht="15" thickBot="1" x14ac:dyDescent="0.4">
      <c r="B6" s="138" t="s">
        <v>190</v>
      </c>
      <c r="C6" s="139" t="s">
        <v>191</v>
      </c>
    </row>
  </sheetData>
  <mergeCells count="1">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F482-E3E9-4069-8DD0-F33A0D570929}">
  <dimension ref="A1:DC102"/>
  <sheetViews>
    <sheetView showGridLines="0" tabSelected="1" zoomScale="62" workbookViewId="0">
      <selection activeCell="P71" sqref="P71"/>
    </sheetView>
  </sheetViews>
  <sheetFormatPr defaultRowHeight="14.5" x14ac:dyDescent="0.35"/>
  <cols>
    <col min="2" max="2" width="19.81640625" customWidth="1"/>
    <col min="3" max="3" width="17.453125" customWidth="1"/>
    <col min="4" max="6" width="13.54296875" bestFit="1" customWidth="1"/>
    <col min="7" max="7" width="12.7265625" customWidth="1"/>
    <col min="8" max="8" width="11.08984375" customWidth="1"/>
    <col min="14" max="14" width="8.81640625" style="328" bestFit="1" customWidth="1"/>
    <col min="15" max="17" width="8.7265625" style="328"/>
    <col min="18" max="18" width="8.81640625" style="328" bestFit="1" customWidth="1"/>
    <col min="19" max="19" width="8.7265625" style="328" customWidth="1"/>
    <col min="20" max="21" width="8.7265625" style="328"/>
    <col min="22" max="22" width="8.81640625" style="328" bestFit="1" customWidth="1"/>
    <col min="23" max="23" width="32" style="328" customWidth="1"/>
    <col min="24" max="24" width="8.7265625" style="328"/>
    <col min="25" max="25" width="20.08984375" style="328" customWidth="1"/>
    <col min="26" max="27" width="8.81640625" style="328" bestFit="1" customWidth="1"/>
    <col min="28" max="39" width="8.7265625" style="328"/>
    <col min="40" max="43" width="8.90625" style="328" bestFit="1" customWidth="1"/>
    <col min="44" max="44" width="8.7265625" style="328"/>
    <col min="45" max="45" width="9.90625" style="328" bestFit="1" customWidth="1"/>
    <col min="46" max="46" width="10.08984375" style="328" bestFit="1" customWidth="1"/>
    <col min="47" max="47" width="9.90625" style="328" bestFit="1" customWidth="1"/>
    <col min="48" max="48" width="9.1796875" style="328" bestFit="1" customWidth="1"/>
    <col min="49" max="49" width="9.54296875" style="328" bestFit="1" customWidth="1"/>
    <col min="50" max="50" width="10.1796875" style="328" bestFit="1" customWidth="1"/>
    <col min="51" max="51" width="10.26953125" style="328" bestFit="1" customWidth="1"/>
    <col min="52" max="52" width="10.6328125" style="328" bestFit="1" customWidth="1"/>
    <col min="53" max="53" width="10.26953125" style="328" bestFit="1" customWidth="1"/>
    <col min="54" max="54" width="11" style="328" bestFit="1" customWidth="1"/>
    <col min="55" max="56" width="8.7265625" style="328"/>
    <col min="57" max="62" width="8.81640625" style="328" bestFit="1" customWidth="1"/>
    <col min="63" max="63" width="8.7265625" style="328"/>
    <col min="64" max="64" width="8.90625" style="328" customWidth="1"/>
    <col min="65" max="65" width="16.26953125" style="328" customWidth="1"/>
    <col min="66" max="66" width="15.6328125" style="328" customWidth="1"/>
    <col min="67" max="67" width="18.26953125" style="328" customWidth="1"/>
    <col min="68" max="16384" width="8.7265625" style="328"/>
  </cols>
  <sheetData>
    <row r="1" spans="1:107" s="121" customFormat="1" ht="15" thickBot="1" x14ac:dyDescent="0.4">
      <c r="A1" s="328"/>
      <c r="B1" s="328"/>
      <c r="C1" s="328"/>
      <c r="D1" s="328"/>
      <c r="E1" s="328"/>
      <c r="F1" s="328"/>
      <c r="G1" s="328"/>
      <c r="H1" s="328"/>
      <c r="I1" s="328"/>
      <c r="J1" s="328"/>
      <c r="K1" s="328"/>
      <c r="L1" s="328"/>
      <c r="M1" s="328"/>
      <c r="N1" s="328"/>
      <c r="O1" s="328"/>
      <c r="P1" s="328"/>
      <c r="Q1" s="328"/>
      <c r="R1" s="328"/>
      <c r="S1" s="328"/>
      <c r="T1" s="328"/>
      <c r="U1" s="328"/>
      <c r="V1" s="328"/>
      <c r="W1" s="328"/>
      <c r="X1" s="328"/>
      <c r="Y1" s="328"/>
      <c r="Z1" s="328"/>
      <c r="AA1" s="328"/>
      <c r="AB1" s="328"/>
      <c r="AC1" s="328"/>
      <c r="AD1" s="328"/>
      <c r="AE1" s="328"/>
      <c r="AF1" s="328"/>
      <c r="AG1" s="328"/>
      <c r="AH1" s="328"/>
      <c r="AI1" s="328"/>
      <c r="AJ1" s="328"/>
      <c r="AK1" s="328"/>
      <c r="AL1" s="328"/>
      <c r="AM1" s="328"/>
      <c r="AN1" s="329"/>
      <c r="AO1" s="329"/>
      <c r="AP1" s="329"/>
      <c r="AQ1" s="121" t="s">
        <v>296</v>
      </c>
    </row>
    <row r="2" spans="1:107" s="121" customFormat="1" ht="24" thickBot="1" x14ac:dyDescent="0.6">
      <c r="A2" s="328"/>
      <c r="B2" s="388" t="s">
        <v>277</v>
      </c>
      <c r="C2" s="389"/>
      <c r="D2" s="390"/>
      <c r="E2" s="299"/>
      <c r="F2" s="299"/>
      <c r="G2" s="299"/>
      <c r="H2" s="299"/>
      <c r="I2" s="299"/>
      <c r="J2" s="299"/>
      <c r="K2" s="299"/>
      <c r="L2" s="299"/>
      <c r="M2" s="299"/>
      <c r="N2" s="320"/>
      <c r="O2" s="388" t="s">
        <v>295</v>
      </c>
      <c r="P2" s="389"/>
      <c r="Q2" s="390"/>
      <c r="R2" s="299"/>
      <c r="S2" s="299"/>
      <c r="T2" s="299"/>
      <c r="U2" s="299"/>
      <c r="V2" s="299"/>
      <c r="W2" s="299"/>
      <c r="X2" s="299"/>
      <c r="Y2" s="299"/>
      <c r="Z2" s="299"/>
      <c r="AA2" s="299"/>
      <c r="AB2" s="299"/>
      <c r="AC2" s="299"/>
      <c r="AD2" s="305"/>
      <c r="AE2" s="328"/>
      <c r="AF2" s="328"/>
      <c r="AG2" s="328"/>
      <c r="AH2" s="328"/>
      <c r="AI2" s="328"/>
      <c r="AJ2" s="328"/>
      <c r="AK2" s="328"/>
      <c r="AL2" s="328"/>
      <c r="AM2"/>
      <c r="AN2" s="121" t="str" cm="1">
        <f t="array" ref="AN2:AN26">TRANSPOSE('Q2'!E10:AC10)</f>
        <v>Polyester</v>
      </c>
      <c r="AO2" s="121">
        <v>2020</v>
      </c>
      <c r="AP2" s="121">
        <v>1</v>
      </c>
      <c r="AQ2" s="164" cm="1">
        <f t="array" ref="AQ2:AQ6">TRANSPOSE('Q2'!E15:I15)</f>
        <v>0.88620858895705523</v>
      </c>
      <c r="BC2" s="121" t="s">
        <v>298</v>
      </c>
      <c r="BM2" s="121" t="s">
        <v>103</v>
      </c>
      <c r="BW2" s="121" t="s">
        <v>104</v>
      </c>
      <c r="CG2" s="121" t="s">
        <v>105</v>
      </c>
      <c r="CQ2" s="121" t="s">
        <v>131</v>
      </c>
    </row>
    <row r="3" spans="1:107" s="121" customFormat="1" ht="15" thickBot="1" x14ac:dyDescent="0.4">
      <c r="A3" s="328"/>
      <c r="B3" s="300" t="s">
        <v>278</v>
      </c>
      <c r="C3" s="277"/>
      <c r="D3" s="277"/>
      <c r="E3" s="277"/>
      <c r="F3" s="277"/>
      <c r="G3" s="277"/>
      <c r="H3" s="277"/>
      <c r="I3" s="277"/>
      <c r="J3" s="277"/>
      <c r="K3" s="277"/>
      <c r="L3" s="277"/>
      <c r="M3" s="277"/>
      <c r="N3" s="289"/>
      <c r="O3" s="319" t="s">
        <v>278</v>
      </c>
      <c r="P3" s="277"/>
      <c r="Q3" s="277"/>
      <c r="R3" s="277"/>
      <c r="S3" s="277"/>
      <c r="T3" s="277"/>
      <c r="U3" s="277"/>
      <c r="V3" s="277"/>
      <c r="W3" s="277"/>
      <c r="X3" s="277"/>
      <c r="Y3" s="277"/>
      <c r="Z3" s="277"/>
      <c r="AA3" s="277"/>
      <c r="AB3" s="277"/>
      <c r="AC3" s="277"/>
      <c r="AD3" s="279"/>
      <c r="AE3" s="328"/>
      <c r="AF3" s="328"/>
      <c r="AG3" s="328"/>
      <c r="AH3" s="328"/>
      <c r="AI3" s="328"/>
      <c r="AJ3" s="328"/>
      <c r="AK3" s="328"/>
      <c r="AL3" s="328"/>
      <c r="AM3"/>
      <c r="AN3" s="121">
        <v>0</v>
      </c>
      <c r="AO3" s="121">
        <v>2021</v>
      </c>
      <c r="AP3" s="121">
        <v>2</v>
      </c>
      <c r="AQ3" s="164">
        <v>1.1265439672801636</v>
      </c>
      <c r="AS3" s="121">
        <f>'Q2'!E21</f>
        <v>2020</v>
      </c>
      <c r="AT3" s="121">
        <f>'Q2'!F21</f>
        <v>2021</v>
      </c>
      <c r="AU3" s="121">
        <f>'Q2'!G21</f>
        <v>2022</v>
      </c>
      <c r="AV3" s="121">
        <f>'Q2'!H21</f>
        <v>2023</v>
      </c>
      <c r="AW3" s="121">
        <f>'Q2'!I21</f>
        <v>2024</v>
      </c>
      <c r="AX3" s="121">
        <f>'Q2'!J21</f>
        <v>2025</v>
      </c>
      <c r="AY3" s="121">
        <f>'Q2'!K21</f>
        <v>2026</v>
      </c>
      <c r="AZ3" s="121">
        <f>'Q2'!L21</f>
        <v>2027</v>
      </c>
      <c r="BA3" s="121">
        <f>'Q2'!M21</f>
        <v>2028</v>
      </c>
      <c r="BB3" s="121">
        <f>'Q2'!N21</f>
        <v>2029</v>
      </c>
    </row>
    <row r="4" spans="1:107" s="121" customFormat="1" ht="28.5" customHeight="1" x14ac:dyDescent="0.35">
      <c r="A4" s="328"/>
      <c r="B4" s="401" t="str">
        <f>'Q1'!B10</f>
        <v>Market Size in Litres (Millions)</v>
      </c>
      <c r="C4" s="402"/>
      <c r="D4" s="301">
        <f>'Q1'!F10</f>
        <v>130.93104065537858</v>
      </c>
      <c r="E4" s="277"/>
      <c r="F4" s="277"/>
      <c r="G4" s="277"/>
      <c r="H4" s="277"/>
      <c r="I4" s="277"/>
      <c r="J4" s="277"/>
      <c r="K4" s="277"/>
      <c r="L4" s="277"/>
      <c r="M4" s="277"/>
      <c r="N4" s="289"/>
      <c r="O4" s="304" t="s">
        <v>101</v>
      </c>
      <c r="P4" s="299"/>
      <c r="Q4" s="299"/>
      <c r="R4" s="299"/>
      <c r="S4" s="325" t="s">
        <v>102</v>
      </c>
      <c r="T4" s="299"/>
      <c r="U4" s="299"/>
      <c r="V4" s="299"/>
      <c r="W4" s="325" t="str">
        <f>AN12</f>
        <v>Pharmaceuticals</v>
      </c>
      <c r="X4" s="299"/>
      <c r="Y4" s="381" t="s">
        <v>300</v>
      </c>
      <c r="Z4" s="277"/>
      <c r="AA4" s="277"/>
      <c r="AB4" s="277"/>
      <c r="AC4" s="277"/>
      <c r="AD4" s="279"/>
      <c r="AE4" s="328"/>
      <c r="AF4" s="328"/>
      <c r="AG4" s="328"/>
      <c r="AH4" s="328"/>
      <c r="AI4" s="328"/>
      <c r="AJ4" s="328"/>
      <c r="AK4" s="328"/>
      <c r="AL4" s="328"/>
      <c r="AM4"/>
      <c r="AN4" s="121">
        <v>0</v>
      </c>
      <c r="AO4" s="121">
        <v>2022</v>
      </c>
      <c r="AP4" s="121">
        <v>3</v>
      </c>
      <c r="AQ4" s="164">
        <v>1.1378241308793455</v>
      </c>
      <c r="AR4" s="121" t="s">
        <v>130</v>
      </c>
      <c r="AS4" s="162">
        <f>'Q2'!E31</f>
        <v>358670.67147970584</v>
      </c>
      <c r="AT4" s="162">
        <f>'Q2'!F31</f>
        <v>1779421.2182577713</v>
      </c>
      <c r="AU4" s="162">
        <f>'Q2'!G31</f>
        <v>2249385.3061783388</v>
      </c>
      <c r="AV4" s="162">
        <f>'Q2'!H31</f>
        <v>205084.87087181769</v>
      </c>
      <c r="AW4" s="162">
        <f>'Q2'!I31</f>
        <v>491903.63295629941</v>
      </c>
      <c r="AX4" s="162">
        <f>'Q2'!J31</f>
        <v>1395449.4725640849</v>
      </c>
      <c r="AY4" s="162">
        <f>'Q2'!K31</f>
        <v>1549150.7081042633</v>
      </c>
      <c r="AZ4" s="162">
        <f>'Q2'!L31</f>
        <v>1696144.9724584667</v>
      </c>
      <c r="BA4" s="162">
        <f>'Q2'!M31</f>
        <v>1836109.2492566654</v>
      </c>
      <c r="BB4" s="162">
        <f>'Q2'!N31</f>
        <v>2021875.5049823006</v>
      </c>
      <c r="BE4" s="331">
        <v>2019</v>
      </c>
      <c r="BF4" s="331">
        <v>2020</v>
      </c>
      <c r="BG4" s="331">
        <v>2021</v>
      </c>
      <c r="BH4" s="331">
        <v>2022</v>
      </c>
      <c r="BI4" s="331">
        <v>2023</v>
      </c>
      <c r="BJ4" s="331">
        <v>2024</v>
      </c>
      <c r="BL4" s="121" cm="1">
        <f t="array" ref="BL4:BO9">TRANSPOSE(BE4:BJ7)</f>
        <v>2019</v>
      </c>
      <c r="BM4" s="121" t="str">
        <v>Recievable Turnover</v>
      </c>
      <c r="BN4" s="121" t="str">
        <v>Payable Turnover</v>
      </c>
      <c r="BO4" s="121" t="str">
        <v>Inventory</v>
      </c>
      <c r="DA4" s="162"/>
      <c r="DB4" s="162"/>
      <c r="DC4" s="162"/>
    </row>
    <row r="5" spans="1:107" s="121" customFormat="1" ht="16.5" customHeight="1" thickBot="1" x14ac:dyDescent="0.4">
      <c r="A5" s="328"/>
      <c r="B5" s="403" t="str">
        <f>'Q1'!B12</f>
        <v>Market size (PKR Millions)</v>
      </c>
      <c r="C5" s="404"/>
      <c r="D5" s="302">
        <f>'Q1'!F12</f>
        <v>125119.32544963789</v>
      </c>
      <c r="E5" s="277"/>
      <c r="F5" s="277"/>
      <c r="G5" s="277"/>
      <c r="H5" s="277"/>
      <c r="I5" s="277"/>
      <c r="J5" s="277"/>
      <c r="K5" s="277"/>
      <c r="L5" s="277"/>
      <c r="M5" s="277"/>
      <c r="N5" s="303">
        <v>5</v>
      </c>
      <c r="O5" s="289"/>
      <c r="P5" s="277"/>
      <c r="Q5" s="277"/>
      <c r="R5" s="391">
        <f>VLOOKUP(N5,AP2:AQ6,2)</f>
        <v>0.91212269938650303</v>
      </c>
      <c r="S5" s="277"/>
      <c r="T5" s="277"/>
      <c r="U5" s="277"/>
      <c r="V5" s="391">
        <f>VLOOKUP(N6,AP7:AQ11,2)</f>
        <v>1.0044660633484164</v>
      </c>
      <c r="W5" s="277"/>
      <c r="X5" s="391">
        <f>VLOOKUP(N7,AP12:AQ16,2)</f>
        <v>0.875</v>
      </c>
      <c r="Y5" s="382"/>
      <c r="Z5" s="277"/>
      <c r="AA5" s="277"/>
      <c r="AB5" s="277"/>
      <c r="AC5" s="277"/>
      <c r="AD5" s="279"/>
      <c r="AE5" s="328"/>
      <c r="AF5" s="328"/>
      <c r="AG5" s="328"/>
      <c r="AH5" s="328"/>
      <c r="AI5" s="328"/>
      <c r="AJ5" s="328"/>
      <c r="AK5" s="328"/>
      <c r="AL5" s="328"/>
      <c r="AM5"/>
      <c r="AN5" s="121">
        <v>0</v>
      </c>
      <c r="AO5" s="121">
        <v>2023</v>
      </c>
      <c r="AP5" s="121">
        <v>4</v>
      </c>
      <c r="AQ5" s="164">
        <v>1.0213987730061349</v>
      </c>
      <c r="AS5" s="121">
        <f>'Q2'!O21</f>
        <v>2020</v>
      </c>
      <c r="AT5" s="121">
        <f>'Q2'!P21</f>
        <v>2021</v>
      </c>
      <c r="AU5" s="121">
        <f>'Q2'!Q21</f>
        <v>2022</v>
      </c>
      <c r="AV5" s="121">
        <f>'Q2'!R21</f>
        <v>2023</v>
      </c>
      <c r="AW5" s="121">
        <f>'Q2'!S21</f>
        <v>2024</v>
      </c>
      <c r="AX5" s="121">
        <f>'Q2'!T21</f>
        <v>2025</v>
      </c>
      <c r="AY5" s="121">
        <f>'Q2'!U21</f>
        <v>2026</v>
      </c>
      <c r="AZ5" s="121">
        <f>'Q2'!V21</f>
        <v>2027</v>
      </c>
      <c r="BA5" s="121">
        <f>'Q2'!W21</f>
        <v>2028</v>
      </c>
      <c r="BB5" s="121">
        <f>'Q2'!X21</f>
        <v>2029</v>
      </c>
      <c r="BE5" s="121" t="s">
        <v>194</v>
      </c>
      <c r="BF5" s="332">
        <f>'Q3'!E9</f>
        <v>27.293645484949831</v>
      </c>
      <c r="BG5" s="332">
        <f>'Q3'!F9</f>
        <v>35.60179833012203</v>
      </c>
      <c r="BH5" s="332">
        <f>'Q3'!G9</f>
        <v>38.474896633195513</v>
      </c>
      <c r="BI5" s="332">
        <f>'Q3'!H9</f>
        <v>38.059290629962945</v>
      </c>
      <c r="BJ5" s="332">
        <f>'Q3'!I9</f>
        <v>36.342427093132642</v>
      </c>
      <c r="BK5" s="121">
        <v>1</v>
      </c>
      <c r="BL5" s="121">
        <v>2020</v>
      </c>
      <c r="BM5" s="121">
        <v>27.293645484949831</v>
      </c>
      <c r="BN5" s="121">
        <v>1.7842011482874678</v>
      </c>
      <c r="BO5" s="121">
        <v>3.9267973856209148</v>
      </c>
    </row>
    <row r="6" spans="1:107" s="121" customFormat="1" ht="15" thickBot="1" x14ac:dyDescent="0.4">
      <c r="A6" s="328"/>
      <c r="B6" s="289"/>
      <c r="C6" s="277"/>
      <c r="D6" s="277"/>
      <c r="E6" s="277"/>
      <c r="F6" s="277"/>
      <c r="G6" s="277"/>
      <c r="H6" s="277"/>
      <c r="I6" s="277"/>
      <c r="J6" s="277"/>
      <c r="K6" s="277"/>
      <c r="L6" s="277"/>
      <c r="M6" s="277"/>
      <c r="N6" s="303">
        <v>3</v>
      </c>
      <c r="O6" s="289"/>
      <c r="P6" s="277"/>
      <c r="Q6" s="277"/>
      <c r="R6" s="391"/>
      <c r="S6" s="277"/>
      <c r="T6" s="277"/>
      <c r="U6" s="277"/>
      <c r="V6" s="391"/>
      <c r="W6" s="277"/>
      <c r="X6" s="391"/>
      <c r="Y6" s="382"/>
      <c r="Z6" s="277"/>
      <c r="AA6" s="277"/>
      <c r="AB6" s="277"/>
      <c r="AC6" s="277"/>
      <c r="AD6" s="279"/>
      <c r="AE6" s="328"/>
      <c r="AF6" s="328"/>
      <c r="AG6" s="328"/>
      <c r="AH6" s="328"/>
      <c r="AI6" s="328"/>
      <c r="AJ6" s="328"/>
      <c r="AK6" s="328"/>
      <c r="AL6" s="328"/>
      <c r="AM6"/>
      <c r="AN6" s="121">
        <v>0</v>
      </c>
      <c r="AO6" s="121">
        <v>2024</v>
      </c>
      <c r="AP6" s="121">
        <v>5</v>
      </c>
      <c r="AQ6" s="164">
        <v>0.91212269938650303</v>
      </c>
      <c r="AR6" s="121" t="s">
        <v>130</v>
      </c>
      <c r="AS6" s="162">
        <f>'Q2'!O31</f>
        <v>2684337.8353981939</v>
      </c>
      <c r="AT6" s="162">
        <f>'Q2'!P31</f>
        <v>2669934.379625841</v>
      </c>
      <c r="AU6" s="162">
        <f>'Q2'!Q31</f>
        <v>3226661.7727883151</v>
      </c>
      <c r="AV6" s="162">
        <f>'Q2'!R31</f>
        <v>2083683.6231014014</v>
      </c>
      <c r="AW6" s="162">
        <f>'Q2'!S31</f>
        <v>4350446.1659790799</v>
      </c>
      <c r="AX6" s="162">
        <f>'Q2'!T31</f>
        <v>6247198.951852981</v>
      </c>
      <c r="AY6" s="162">
        <f>'Q2'!U31</f>
        <v>7609492.9511334375</v>
      </c>
      <c r="AZ6" s="162">
        <f>'Q2'!V31</f>
        <v>9088855.1176859234</v>
      </c>
      <c r="BA6" s="162">
        <f>'Q2'!W31</f>
        <v>10679794.866578855</v>
      </c>
      <c r="BB6" s="162">
        <f>'Q2'!X31</f>
        <v>12608886.830885768</v>
      </c>
      <c r="BE6" s="121" t="s">
        <v>196</v>
      </c>
      <c r="BF6" s="332">
        <f>'Q3'!E13</f>
        <v>1.7842011482874678</v>
      </c>
      <c r="BG6" s="332">
        <f>'Q3'!F13</f>
        <v>2.1923006078467488</v>
      </c>
      <c r="BH6" s="332">
        <f>'Q3'!G13</f>
        <v>2.2424775928297054</v>
      </c>
      <c r="BI6" s="332">
        <f>'Q3'!H13</f>
        <v>2.2718228738125514</v>
      </c>
      <c r="BJ6" s="332">
        <f>'Q3'!I13</f>
        <v>2.1222149837133553</v>
      </c>
      <c r="BK6" s="121">
        <v>2</v>
      </c>
      <c r="BL6" s="121">
        <v>2021</v>
      </c>
      <c r="BM6" s="121">
        <v>35.60179833012203</v>
      </c>
      <c r="BN6" s="121">
        <v>2.1923006078467488</v>
      </c>
      <c r="BO6" s="121">
        <v>4.4385605071788179</v>
      </c>
    </row>
    <row r="7" spans="1:107" s="121" customFormat="1" ht="21" customHeight="1" x14ac:dyDescent="0.35">
      <c r="A7" s="328"/>
      <c r="B7" s="300" t="s">
        <v>281</v>
      </c>
      <c r="C7" s="395" t="s">
        <v>292</v>
      </c>
      <c r="D7" s="396"/>
      <c r="E7" s="395" t="s">
        <v>291</v>
      </c>
      <c r="F7" s="396"/>
      <c r="G7" s="399" t="s">
        <v>290</v>
      </c>
      <c r="H7" s="277"/>
      <c r="I7" s="277"/>
      <c r="J7" s="277"/>
      <c r="K7" s="277"/>
      <c r="L7" s="277"/>
      <c r="M7" s="277"/>
      <c r="N7" s="303">
        <v>5</v>
      </c>
      <c r="O7" s="289"/>
      <c r="P7" s="277"/>
      <c r="Q7" s="277"/>
      <c r="R7" s="391"/>
      <c r="S7" s="277"/>
      <c r="T7" s="277"/>
      <c r="U7" s="277"/>
      <c r="V7" s="391"/>
      <c r="W7" s="277"/>
      <c r="X7" s="391"/>
      <c r="Y7" s="382"/>
      <c r="Z7" s="277"/>
      <c r="AA7" s="277"/>
      <c r="AB7" s="277"/>
      <c r="AC7" s="277"/>
      <c r="AD7" s="279"/>
      <c r="AE7" s="328"/>
      <c r="AF7" s="328"/>
      <c r="AG7" s="328"/>
      <c r="AH7" s="328"/>
      <c r="AI7" s="328"/>
      <c r="AJ7" s="328"/>
      <c r="AK7" s="328"/>
      <c r="AL7" s="328"/>
      <c r="AM7"/>
      <c r="AN7" s="121" t="str">
        <v>Soda Ash</v>
      </c>
      <c r="AO7" s="121">
        <v>2020</v>
      </c>
      <c r="AP7" s="121">
        <v>1</v>
      </c>
      <c r="AQ7" s="164" cm="1">
        <f t="array" ref="AQ7:AQ11">TRANSPOSE('Q2'!J15:N15)</f>
        <v>0.87651294117647061</v>
      </c>
      <c r="AS7" s="121">
        <f>'Q2'!Y21</f>
        <v>2020</v>
      </c>
      <c r="AT7" s="121">
        <f>'Q2'!Z21</f>
        <v>2021</v>
      </c>
      <c r="AU7" s="121">
        <f>'Q2'!AA21</f>
        <v>2022</v>
      </c>
      <c r="AV7" s="121">
        <f>'Q2'!AB21</f>
        <v>2023</v>
      </c>
      <c r="AW7" s="121">
        <f>'Q2'!AC21</f>
        <v>2024</v>
      </c>
      <c r="AX7" s="121">
        <f>'Q2'!AD21</f>
        <v>2025</v>
      </c>
      <c r="AY7" s="121">
        <f>'Q2'!AE21</f>
        <v>2026</v>
      </c>
      <c r="AZ7" s="121">
        <f>'Q2'!AF21</f>
        <v>2027</v>
      </c>
      <c r="BA7" s="121">
        <f>'Q2'!AG21</f>
        <v>2028</v>
      </c>
      <c r="BB7" s="121">
        <f>'Q2'!AH21</f>
        <v>2029</v>
      </c>
      <c r="BE7" s="121" t="s">
        <v>137</v>
      </c>
      <c r="BF7" s="332">
        <f>'Q3'!E16</f>
        <v>3.9267973856209148</v>
      </c>
      <c r="BG7" s="332">
        <f>'Q3'!F16</f>
        <v>4.4385605071788179</v>
      </c>
      <c r="BH7" s="332">
        <f>'Q3'!G16</f>
        <v>4.4957484357452273</v>
      </c>
      <c r="BI7" s="332">
        <f>'Q3'!H16</f>
        <v>4.9329218775377619</v>
      </c>
      <c r="BJ7" s="332">
        <f>'Q3'!I16</f>
        <v>5.181485605217115</v>
      </c>
      <c r="BK7" s="121">
        <v>3</v>
      </c>
      <c r="BL7" s="121">
        <v>2022</v>
      </c>
      <c r="BM7" s="121">
        <v>38.474896633195513</v>
      </c>
      <c r="BN7" s="121">
        <v>2.2424775928297054</v>
      </c>
      <c r="BO7" s="121">
        <v>4.4957484357452273</v>
      </c>
    </row>
    <row r="8" spans="1:107" s="121" customFormat="1" ht="20" customHeight="1" thickBot="1" x14ac:dyDescent="0.4">
      <c r="A8" s="328"/>
      <c r="B8" s="289"/>
      <c r="C8" s="397"/>
      <c r="D8" s="398"/>
      <c r="E8" s="397"/>
      <c r="F8" s="398"/>
      <c r="G8" s="400"/>
      <c r="H8" s="277"/>
      <c r="I8" s="277"/>
      <c r="J8" s="277"/>
      <c r="K8" s="277"/>
      <c r="L8" s="277"/>
      <c r="M8" s="277"/>
      <c r="N8" s="303"/>
      <c r="O8" s="289"/>
      <c r="P8" s="277"/>
      <c r="Q8" s="277"/>
      <c r="R8" s="319"/>
      <c r="S8" s="277"/>
      <c r="T8" s="277"/>
      <c r="U8" s="277"/>
      <c r="V8" s="319"/>
      <c r="W8" s="277"/>
      <c r="X8" s="277"/>
      <c r="Y8" s="382"/>
      <c r="Z8" s="277"/>
      <c r="AA8" s="277"/>
      <c r="AB8" s="277"/>
      <c r="AC8" s="277"/>
      <c r="AD8" s="279"/>
      <c r="AE8" s="328"/>
      <c r="AF8" s="328"/>
      <c r="AG8" s="328"/>
      <c r="AH8" s="328"/>
      <c r="AI8" s="328"/>
      <c r="AJ8" s="328"/>
      <c r="AK8" s="328"/>
      <c r="AL8" s="328"/>
      <c r="AM8"/>
      <c r="AN8" s="121">
        <v>0</v>
      </c>
      <c r="AO8" s="121">
        <v>2021</v>
      </c>
      <c r="AP8" s="121">
        <v>2</v>
      </c>
      <c r="AQ8" s="164">
        <v>0.93319764705882358</v>
      </c>
      <c r="AR8" s="121" t="str">
        <f>AR6</f>
        <v>Net Income</v>
      </c>
      <c r="AS8" s="162">
        <f>'Q2'!Y31</f>
        <v>2984842.1174524943</v>
      </c>
      <c r="AT8" s="162">
        <f>'Q2'!Z31</f>
        <v>539855.28789046162</v>
      </c>
      <c r="AU8" s="162">
        <f>'Q2'!AA31</f>
        <v>729724.81209339807</v>
      </c>
      <c r="AV8" s="162">
        <f>'Q2'!AB31</f>
        <v>67065.007326163934</v>
      </c>
      <c r="AW8" s="162">
        <f>'Q2'!AC31</f>
        <v>865169.72498050984</v>
      </c>
      <c r="AX8" s="162">
        <f>'Q2'!AD31</f>
        <v>1165500.751165594</v>
      </c>
      <c r="AY8" s="162">
        <f>'Q2'!AE31</f>
        <v>1309069.2900306403</v>
      </c>
      <c r="AZ8" s="162">
        <f>'Q2'!AF31</f>
        <v>1459026.7244521349</v>
      </c>
      <c r="BA8" s="162">
        <f>'Q2'!AG31</f>
        <v>1615364.5821981968</v>
      </c>
      <c r="BB8" s="162">
        <f>'Q2'!AH31</f>
        <v>1790591.2138187848</v>
      </c>
      <c r="BK8" s="121">
        <v>4</v>
      </c>
      <c r="BL8" s="121">
        <v>2023</v>
      </c>
      <c r="BM8" s="121">
        <v>38.059290629962945</v>
      </c>
      <c r="BN8" s="121">
        <v>2.2718228738125514</v>
      </c>
      <c r="BO8" s="121">
        <v>4.9329218775377619</v>
      </c>
    </row>
    <row r="9" spans="1:107" s="121" customFormat="1" x14ac:dyDescent="0.35">
      <c r="A9" s="328"/>
      <c r="B9" s="303">
        <v>350</v>
      </c>
      <c r="C9" s="304" t="s">
        <v>55</v>
      </c>
      <c r="D9" s="305"/>
      <c r="E9" s="304" t="s">
        <v>51</v>
      </c>
      <c r="F9" s="305"/>
      <c r="G9" s="306" t="s">
        <v>52</v>
      </c>
      <c r="H9" s="277"/>
      <c r="I9" s="277"/>
      <c r="J9" s="277"/>
      <c r="K9" s="277"/>
      <c r="L9" s="277"/>
      <c r="M9" s="277"/>
      <c r="N9" s="303"/>
      <c r="O9" s="300" t="s">
        <v>297</v>
      </c>
      <c r="P9" s="277"/>
      <c r="Q9" s="277"/>
      <c r="R9" s="319"/>
      <c r="S9" s="319" t="str">
        <f>AN22</f>
        <v>Chemicals</v>
      </c>
      <c r="T9" s="277"/>
      <c r="U9" s="277"/>
      <c r="V9" s="319"/>
      <c r="W9" s="277"/>
      <c r="X9" s="277"/>
      <c r="Y9" s="382"/>
      <c r="Z9" s="277"/>
      <c r="AA9" s="277"/>
      <c r="AB9" s="277"/>
      <c r="AC9" s="277"/>
      <c r="AD9" s="279"/>
      <c r="AE9" s="328"/>
      <c r="AF9" s="328"/>
      <c r="AG9" s="328"/>
      <c r="AH9" s="328"/>
      <c r="AI9" s="328"/>
      <c r="AJ9" s="328"/>
      <c r="AK9" s="328"/>
      <c r="AL9" s="328"/>
      <c r="AM9"/>
      <c r="AN9" s="121">
        <v>0</v>
      </c>
      <c r="AO9" s="121">
        <v>2022</v>
      </c>
      <c r="AP9" s="121">
        <v>3</v>
      </c>
      <c r="AQ9" s="164">
        <v>1.0044660633484164</v>
      </c>
      <c r="AS9" s="121">
        <f>'Q2'!AI21</f>
        <v>2020</v>
      </c>
      <c r="AT9" s="121">
        <f>'Q2'!AJ21</f>
        <v>2021</v>
      </c>
      <c r="AU9" s="121">
        <f>'Q2'!AK21</f>
        <v>2022</v>
      </c>
      <c r="AV9" s="121">
        <f>'Q2'!AL21</f>
        <v>2023</v>
      </c>
      <c r="AW9" s="121">
        <f>'Q2'!AM21</f>
        <v>2024</v>
      </c>
      <c r="AX9" s="121">
        <f>'Q2'!AN21</f>
        <v>2025</v>
      </c>
      <c r="AY9" s="121">
        <f>'Q2'!AO21</f>
        <v>2026</v>
      </c>
      <c r="AZ9" s="121">
        <f>'Q2'!AP21</f>
        <v>2027</v>
      </c>
      <c r="BA9" s="121">
        <f>'Q2'!AQ21</f>
        <v>2028</v>
      </c>
      <c r="BB9" s="121">
        <f>'Q2'!AR21</f>
        <v>2029</v>
      </c>
      <c r="BF9" s="331">
        <v>2020</v>
      </c>
      <c r="BG9" s="331">
        <v>2021</v>
      </c>
      <c r="BH9" s="331">
        <v>2022</v>
      </c>
      <c r="BI9" s="331">
        <v>2023</v>
      </c>
      <c r="BJ9" s="331">
        <v>2024</v>
      </c>
      <c r="BK9" s="121">
        <v>5</v>
      </c>
      <c r="BL9" s="121">
        <v>2024</v>
      </c>
      <c r="BM9" s="121">
        <v>36.342427093132642</v>
      </c>
      <c r="BN9" s="121">
        <v>2.1222149837133553</v>
      </c>
      <c r="BO9" s="121">
        <v>5.181485605217115</v>
      </c>
    </row>
    <row r="10" spans="1:107" s="121" customFormat="1" x14ac:dyDescent="0.35">
      <c r="A10" s="328"/>
      <c r="B10" s="303">
        <v>300</v>
      </c>
      <c r="C10" s="307">
        <f>B9/10000</f>
        <v>3.5000000000000003E-2</v>
      </c>
      <c r="D10" s="279"/>
      <c r="E10" s="308">
        <f>B10/1000</f>
        <v>0.3</v>
      </c>
      <c r="F10" s="279"/>
      <c r="G10" s="309">
        <f>1-C10-E10</f>
        <v>0.66500000000000004</v>
      </c>
      <c r="H10" s="277"/>
      <c r="I10" s="277"/>
      <c r="J10" s="277"/>
      <c r="K10" s="277"/>
      <c r="L10" s="277"/>
      <c r="M10" s="277"/>
      <c r="N10" s="303">
        <v>1</v>
      </c>
      <c r="O10" s="289"/>
      <c r="P10" s="277"/>
      <c r="Q10" s="277"/>
      <c r="R10" s="391">
        <f>VLOOKUP(N10,AP17:AQ21,2)</f>
        <v>0.95305000000000006</v>
      </c>
      <c r="S10" s="277"/>
      <c r="T10" s="277"/>
      <c r="U10" s="277"/>
      <c r="V10" s="391">
        <f>VLOOKUP(N11,AP22:AQ26,2)</f>
        <v>0.85587037037037039</v>
      </c>
      <c r="W10" s="277"/>
      <c r="X10" s="277"/>
      <c r="Y10" s="382"/>
      <c r="Z10" s="277"/>
      <c r="AA10" s="277"/>
      <c r="AB10" s="277"/>
      <c r="AC10" s="277"/>
      <c r="AD10" s="279"/>
      <c r="AE10" s="328"/>
      <c r="AF10" s="328"/>
      <c r="AG10" s="328"/>
      <c r="AH10" s="328"/>
      <c r="AI10" s="328"/>
      <c r="AJ10" s="328"/>
      <c r="AK10" s="328"/>
      <c r="AL10" s="328"/>
      <c r="AM10"/>
      <c r="AN10" s="121">
        <v>0</v>
      </c>
      <c r="AO10" s="121">
        <v>2023</v>
      </c>
      <c r="AP10" s="121">
        <v>4</v>
      </c>
      <c r="AQ10" s="164">
        <v>0.91428928571428569</v>
      </c>
      <c r="AR10" s="121" t="str">
        <f>AR8</f>
        <v>Net Income</v>
      </c>
      <c r="AS10" s="162">
        <f>'Q2'!AI31</f>
        <v>139192.06480375392</v>
      </c>
      <c r="AT10" s="162">
        <f>'Q2'!AJ31</f>
        <v>248524.43440504675</v>
      </c>
      <c r="AU10" s="162">
        <f>'Q2'!AK31</f>
        <v>448318.31979344413</v>
      </c>
      <c r="AV10" s="162">
        <f>'Q2'!AL31</f>
        <v>69368.661832460086</v>
      </c>
      <c r="AW10" s="162">
        <f>'Q2'!AM31</f>
        <v>331621.22783367318</v>
      </c>
      <c r="AX10" s="162">
        <f>'Q2'!AN31</f>
        <v>359218.82099134329</v>
      </c>
      <c r="AY10" s="162">
        <f>'Q2'!AO31</f>
        <v>397650.35560608259</v>
      </c>
      <c r="AZ10" s="162">
        <f>'Q2'!AP31</f>
        <v>437015.61528618442</v>
      </c>
      <c r="BA10" s="162">
        <f>'Q2'!AQ31</f>
        <v>477491.93595219043</v>
      </c>
      <c r="BB10" s="162">
        <f>'Q2'!AR31</f>
        <v>524763.00115142867</v>
      </c>
      <c r="BE10" s="121" t="s">
        <v>302</v>
      </c>
      <c r="BF10" s="333">
        <f>'Q3'!E20</f>
        <v>7.5876288659793817E-2</v>
      </c>
      <c r="BG10" s="333">
        <f>'Q3'!F20</f>
        <v>0.20623135985785901</v>
      </c>
      <c r="BH10" s="333">
        <f>'Q3'!G20</f>
        <v>0.24346856102859155</v>
      </c>
      <c r="BI10" s="333">
        <f>'Q3'!H20</f>
        <v>0.28893530419880037</v>
      </c>
      <c r="BJ10" s="333">
        <f>'Q3'!I20</f>
        <v>0.29868875787761739</v>
      </c>
      <c r="BK10" s="333"/>
    </row>
    <row r="11" spans="1:107" s="121" customFormat="1" ht="15" thickBot="1" x14ac:dyDescent="0.4">
      <c r="A11" s="328"/>
      <c r="B11" s="289"/>
      <c r="C11" s="291"/>
      <c r="D11" s="287"/>
      <c r="E11" s="291"/>
      <c r="F11" s="287"/>
      <c r="G11" s="310"/>
      <c r="H11" s="277"/>
      <c r="I11" s="277"/>
      <c r="J11" s="277"/>
      <c r="K11" s="277"/>
      <c r="L11" s="277"/>
      <c r="M11" s="277"/>
      <c r="N11" s="303">
        <v>3</v>
      </c>
      <c r="O11" s="289"/>
      <c r="P11" s="277"/>
      <c r="Q11" s="277"/>
      <c r="R11" s="391"/>
      <c r="S11" s="277"/>
      <c r="T11" s="277"/>
      <c r="U11" s="277"/>
      <c r="V11" s="391"/>
      <c r="W11" s="277"/>
      <c r="X11" s="277"/>
      <c r="Y11" s="382"/>
      <c r="Z11" s="277"/>
      <c r="AA11" s="277"/>
      <c r="AB11" s="277"/>
      <c r="AC11" s="277"/>
      <c r="AD11" s="279"/>
      <c r="AE11" s="328"/>
      <c r="AF11" s="328"/>
      <c r="AG11" s="328"/>
      <c r="AH11" s="328"/>
      <c r="AI11" s="328"/>
      <c r="AJ11" s="328"/>
      <c r="AK11" s="328"/>
      <c r="AL11" s="328"/>
      <c r="AM11"/>
      <c r="AN11" s="121">
        <v>0</v>
      </c>
      <c r="AO11" s="121">
        <v>2024</v>
      </c>
      <c r="AP11" s="121">
        <v>5</v>
      </c>
      <c r="AQ11" s="164">
        <v>0.97245000000000004</v>
      </c>
      <c r="AS11" s="121">
        <f>'Q2'!AS21</f>
        <v>2020</v>
      </c>
      <c r="AT11" s="121">
        <f>'Q2'!AT21</f>
        <v>2021</v>
      </c>
      <c r="AU11" s="121">
        <f>'Q2'!AU21</f>
        <v>2022</v>
      </c>
      <c r="AV11" s="121">
        <f>'Q2'!AV21</f>
        <v>2023</v>
      </c>
      <c r="AW11" s="121">
        <f>'Q2'!AW21</f>
        <v>2024</v>
      </c>
      <c r="AX11" s="121">
        <f>'Q2'!AX21</f>
        <v>2025</v>
      </c>
      <c r="AY11" s="121">
        <f>'Q2'!AY21</f>
        <v>2026</v>
      </c>
      <c r="AZ11" s="121">
        <f>'Q2'!AZ21</f>
        <v>2027</v>
      </c>
      <c r="BA11" s="121">
        <f>'Q2'!BA21</f>
        <v>2028</v>
      </c>
      <c r="BB11" s="121">
        <f>'Q2'!BB21</f>
        <v>2029</v>
      </c>
      <c r="BE11" s="121" t="s">
        <v>303</v>
      </c>
      <c r="BF11" s="333">
        <f>'Q3'!E23</f>
        <v>4.1791270772608545E-2</v>
      </c>
      <c r="BG11" s="333">
        <f>'Q3'!F23</f>
        <v>0.11228191397477975</v>
      </c>
      <c r="BH11" s="333">
        <f>'Q3'!G23</f>
        <v>0.13831170996898243</v>
      </c>
      <c r="BI11" s="333">
        <f>'Q3'!H23</f>
        <v>0.16480327468230693</v>
      </c>
      <c r="BJ11" s="333">
        <f>'Q3'!I23</f>
        <v>0.16929768969291928</v>
      </c>
      <c r="BK11" s="333"/>
    </row>
    <row r="12" spans="1:107" s="121" customFormat="1" ht="15" thickBot="1" x14ac:dyDescent="0.4">
      <c r="A12" s="328"/>
      <c r="B12" s="289"/>
      <c r="C12" s="277"/>
      <c r="D12" s="277"/>
      <c r="E12" s="277"/>
      <c r="F12" s="277"/>
      <c r="G12" s="277"/>
      <c r="H12" s="277"/>
      <c r="I12" s="277"/>
      <c r="J12" s="277"/>
      <c r="K12" s="277"/>
      <c r="L12" s="277"/>
      <c r="M12" s="277"/>
      <c r="N12" s="289"/>
      <c r="O12" s="289"/>
      <c r="P12" s="277"/>
      <c r="Q12" s="277"/>
      <c r="R12" s="391"/>
      <c r="S12" s="277"/>
      <c r="T12" s="277"/>
      <c r="U12" s="277"/>
      <c r="V12" s="391"/>
      <c r="W12" s="277"/>
      <c r="X12" s="277"/>
      <c r="Y12" s="382"/>
      <c r="Z12" s="277"/>
      <c r="AA12" s="277"/>
      <c r="AB12" s="277"/>
      <c r="AC12" s="277"/>
      <c r="AD12" s="279"/>
      <c r="AE12" s="328"/>
      <c r="AF12" s="328"/>
      <c r="AG12" s="328"/>
      <c r="AH12" s="328"/>
      <c r="AI12" s="328"/>
      <c r="AJ12" s="328"/>
      <c r="AK12" s="328"/>
      <c r="AL12" s="328"/>
      <c r="AM12"/>
      <c r="AN12" s="121" t="str">
        <v>Pharmaceuticals</v>
      </c>
      <c r="AO12" s="121">
        <v>2020</v>
      </c>
      <c r="AP12" s="121">
        <v>1</v>
      </c>
      <c r="AQ12" s="164" cm="1">
        <f t="array" ref="AQ12:AQ16">TRANSPOSE('Q2'!O15:S15)</f>
        <v>0.95304999999999995</v>
      </c>
      <c r="AR12" s="121" t="s">
        <v>130</v>
      </c>
      <c r="AS12" s="162">
        <f>'Q2'!AS31</f>
        <v>507674.74566034804</v>
      </c>
      <c r="AT12" s="162">
        <f>'Q2'!AT31</f>
        <v>614254.02972732042</v>
      </c>
      <c r="AU12" s="162">
        <f>'Q2'!AU31</f>
        <v>861297.83052896115</v>
      </c>
      <c r="AV12" s="162">
        <f>'Q2'!AV31</f>
        <v>143276.35707252147</v>
      </c>
      <c r="AW12" s="162">
        <f>'Q2'!AW31</f>
        <v>811728.65606280311</v>
      </c>
      <c r="AX12" s="162">
        <f>'Q2'!AX31</f>
        <v>819834.44276019582</v>
      </c>
      <c r="AY12" s="162">
        <f>'Q2'!AY31</f>
        <v>909047.80607836996</v>
      </c>
      <c r="AZ12" s="162">
        <f>'Q2'!AZ31</f>
        <v>1000780.6866349706</v>
      </c>
      <c r="BA12" s="162">
        <f>'Q2'!BA31</f>
        <v>1095181.939328752</v>
      </c>
      <c r="BB12" s="162">
        <f>'Q2'!BB31</f>
        <v>1201264.278819121</v>
      </c>
    </row>
    <row r="13" spans="1:107" s="121" customFormat="1" ht="15" thickBot="1" x14ac:dyDescent="0.4">
      <c r="A13" s="328"/>
      <c r="B13" s="306"/>
      <c r="C13" s="311">
        <v>2025</v>
      </c>
      <c r="D13" s="292">
        <v>2026</v>
      </c>
      <c r="E13" s="292">
        <v>2027</v>
      </c>
      <c r="F13" s="292">
        <v>2028</v>
      </c>
      <c r="G13" s="312">
        <v>2029</v>
      </c>
      <c r="H13" s="277"/>
      <c r="I13" s="277"/>
      <c r="J13" s="277"/>
      <c r="K13" s="277"/>
      <c r="L13" s="277"/>
      <c r="M13" s="277"/>
      <c r="N13" s="289"/>
      <c r="O13" s="291"/>
      <c r="P13" s="285"/>
      <c r="Q13" s="285"/>
      <c r="R13" s="285"/>
      <c r="S13" s="285"/>
      <c r="T13" s="285"/>
      <c r="U13" s="285"/>
      <c r="V13" s="285"/>
      <c r="W13" s="285"/>
      <c r="X13" s="285"/>
      <c r="Y13" s="383"/>
      <c r="Z13" s="277"/>
      <c r="AA13" s="277"/>
      <c r="AB13" s="277"/>
      <c r="AC13" s="277"/>
      <c r="AD13" s="279"/>
      <c r="AE13" s="328"/>
      <c r="AF13" s="328"/>
      <c r="AG13" s="328"/>
      <c r="AH13" s="328"/>
      <c r="AI13" s="328"/>
      <c r="AJ13" s="328"/>
      <c r="AK13" s="328"/>
      <c r="AL13" s="328"/>
      <c r="AM13"/>
      <c r="AN13" s="121">
        <v>0</v>
      </c>
      <c r="AO13" s="121">
        <v>2021</v>
      </c>
      <c r="AP13" s="121">
        <v>2</v>
      </c>
      <c r="AQ13" s="164">
        <v>0.84299999999999986</v>
      </c>
      <c r="AS13" s="121">
        <f>'Q2'!BC21</f>
        <v>2020</v>
      </c>
      <c r="AT13" s="121">
        <f>'Q2'!BD21</f>
        <v>2021</v>
      </c>
      <c r="AU13" s="121">
        <f>'Q2'!BE21</f>
        <v>2022</v>
      </c>
      <c r="AV13" s="121">
        <f>'Q2'!BF21</f>
        <v>2023</v>
      </c>
      <c r="AW13" s="121">
        <f>'Q2'!BG21</f>
        <v>2024</v>
      </c>
      <c r="AX13" s="121">
        <f>'Q2'!BH21</f>
        <v>2025</v>
      </c>
      <c r="AY13" s="121">
        <f>'Q2'!BI21</f>
        <v>2026</v>
      </c>
      <c r="AZ13" s="121">
        <f>'Q2'!BJ21</f>
        <v>2027</v>
      </c>
      <c r="BA13" s="121">
        <f>'Q2'!BK21</f>
        <v>2028</v>
      </c>
      <c r="BB13" s="121">
        <f>'Q2'!BL21</f>
        <v>2029</v>
      </c>
      <c r="BF13" s="121">
        <f>'Q3'!E31</f>
        <v>2020</v>
      </c>
      <c r="BG13" s="121">
        <f>'Q3'!F31</f>
        <v>2021</v>
      </c>
      <c r="BH13" s="121">
        <f>'Q3'!G31</f>
        <v>2022</v>
      </c>
      <c r="BI13" s="121">
        <f>'Q3'!H31</f>
        <v>2023</v>
      </c>
      <c r="BJ13" s="121">
        <f>'Q3'!I31</f>
        <v>2024</v>
      </c>
    </row>
    <row r="14" spans="1:107" s="121" customFormat="1" ht="29.5" thickBot="1" x14ac:dyDescent="0.4">
      <c r="A14" s="328"/>
      <c r="B14" s="313" t="str">
        <f>B4</f>
        <v>Market Size in Litres (Millions)</v>
      </c>
      <c r="C14" s="314">
        <f>'Q1'!F10</f>
        <v>130.93104065537858</v>
      </c>
      <c r="D14" s="314">
        <f>'Q1'!G10</f>
        <v>135.51844243103429</v>
      </c>
      <c r="E14" s="314">
        <f>'Q1'!H10</f>
        <v>140.26657198328101</v>
      </c>
      <c r="F14" s="314">
        <f>'Q1'!I10</f>
        <v>145.1810606955099</v>
      </c>
      <c r="G14" s="315">
        <f>'Q1'!J10</f>
        <v>150.26773725664057</v>
      </c>
      <c r="H14" s="277"/>
      <c r="I14" s="277"/>
      <c r="J14" s="277"/>
      <c r="K14" s="277"/>
      <c r="L14" s="277"/>
      <c r="M14" s="277"/>
      <c r="N14" s="289"/>
      <c r="O14" s="319" t="s">
        <v>279</v>
      </c>
      <c r="P14" s="277"/>
      <c r="Q14" s="277"/>
      <c r="R14" s="277"/>
      <c r="S14" s="277"/>
      <c r="T14" s="277"/>
      <c r="U14" s="277"/>
      <c r="V14" s="277"/>
      <c r="W14" s="277"/>
      <c r="X14" s="277"/>
      <c r="Y14" s="277"/>
      <c r="Z14" s="277"/>
      <c r="AA14" s="277"/>
      <c r="AB14" s="277"/>
      <c r="AC14" s="277"/>
      <c r="AD14" s="279"/>
      <c r="AE14" s="328"/>
      <c r="AF14" s="328"/>
      <c r="AG14" s="328"/>
      <c r="AH14" s="328"/>
      <c r="AI14" s="328"/>
      <c r="AJ14" s="328"/>
      <c r="AK14" s="328"/>
      <c r="AL14" s="328"/>
      <c r="AM14"/>
      <c r="AN14" s="121">
        <v>0</v>
      </c>
      <c r="AO14" s="121">
        <v>2022</v>
      </c>
      <c r="AP14" s="121">
        <v>3</v>
      </c>
      <c r="AQ14" s="164">
        <v>0.85587037037037039</v>
      </c>
      <c r="AR14" s="121" t="str">
        <f>AR4</f>
        <v>Net Income</v>
      </c>
      <c r="AS14" s="162">
        <f>'Q2'!BC31</f>
        <v>6674717.4347944958</v>
      </c>
      <c r="AT14" s="162">
        <f>'Q2'!BD31</f>
        <v>5851989.3499064408</v>
      </c>
      <c r="AU14" s="162">
        <f>'Q2'!BE31</f>
        <v>7515388.0413824571</v>
      </c>
      <c r="AV14" s="162">
        <f>'Q2'!BF31</f>
        <v>2568478.5202043653</v>
      </c>
      <c r="AW14" s="162">
        <f>'Q2'!BG31</f>
        <v>6850869.4078123653</v>
      </c>
      <c r="AX14" s="162">
        <f>'Q2'!BH31</f>
        <v>9987202.439334197</v>
      </c>
      <c r="AY14" s="162">
        <f>'Q2'!BI31</f>
        <v>11774411.110952795</v>
      </c>
      <c r="AZ14" s="162">
        <f>'Q2'!BJ31</f>
        <v>13681823.11651768</v>
      </c>
      <c r="BA14" s="162">
        <f>'Q2'!BK31</f>
        <v>15703942.573314659</v>
      </c>
      <c r="BB14" s="162">
        <f>'Q2'!BL31</f>
        <v>18147380.829657402</v>
      </c>
      <c r="BE14" s="121" t="str">
        <f>'Q3'!B32</f>
        <v>Days Inventory Outstanding (DIO)</v>
      </c>
      <c r="BF14" s="121">
        <f>'Q3'!E32</f>
        <v>92.951065246338217</v>
      </c>
      <c r="BG14" s="121">
        <f>'Q3'!F32</f>
        <v>82.233868257435731</v>
      </c>
      <c r="BH14" s="121">
        <f>'Q3'!G32</f>
        <v>81.187816715437862</v>
      </c>
      <c r="BI14" s="121">
        <f>'Q3'!H32</f>
        <v>73.992657711049645</v>
      </c>
      <c r="BJ14" s="121">
        <f>'Q3'!I32</f>
        <v>70.443117632612967</v>
      </c>
    </row>
    <row r="15" spans="1:107" s="121" customFormat="1" ht="29.5" thickBot="1" x14ac:dyDescent="0.4">
      <c r="A15" s="328"/>
      <c r="B15" s="316" t="str">
        <f>B5</f>
        <v>Market size (PKR Millions)</v>
      </c>
      <c r="C15" s="317">
        <f>'Q1'!F12</f>
        <v>125119.32544963789</v>
      </c>
      <c r="D15" s="317">
        <f>'Q1'!G12</f>
        <v>138937.83771447375</v>
      </c>
      <c r="E15" s="317">
        <f>'Q1'!H12</f>
        <v>153802.19616447328</v>
      </c>
      <c r="F15" s="317">
        <f>'Q1'!I12</f>
        <v>173730.41273037207</v>
      </c>
      <c r="G15" s="318">
        <f>'Q1'!J12</f>
        <v>191505.49542308686</v>
      </c>
      <c r="H15" s="277"/>
      <c r="I15" s="277"/>
      <c r="J15" s="277"/>
      <c r="K15" s="277"/>
      <c r="L15" s="277"/>
      <c r="M15" s="277"/>
      <c r="N15" s="289"/>
      <c r="O15" s="384" t="str">
        <f>O4</f>
        <v>Polyester</v>
      </c>
      <c r="P15" s="385"/>
      <c r="Q15" s="385"/>
      <c r="R15" s="325"/>
      <c r="S15" s="325"/>
      <c r="T15" s="385" t="str">
        <f>S4</f>
        <v>Soda Ash</v>
      </c>
      <c r="U15" s="385"/>
      <c r="V15" s="385"/>
      <c r="W15" s="325"/>
      <c r="X15" s="325"/>
      <c r="Y15" s="385" t="str">
        <f>W4</f>
        <v>Pharmaceuticals</v>
      </c>
      <c r="Z15" s="385"/>
      <c r="AA15" s="385"/>
      <c r="AB15" s="299"/>
      <c r="AC15" s="305"/>
      <c r="AD15" s="279"/>
      <c r="AE15" s="328"/>
      <c r="AF15" s="328"/>
      <c r="AG15" s="328"/>
      <c r="AH15" s="328"/>
      <c r="AI15" s="328"/>
      <c r="AJ15" s="328"/>
      <c r="AK15" s="328"/>
      <c r="AL15" s="328"/>
      <c r="AM15"/>
      <c r="AN15" s="121">
        <v>0</v>
      </c>
      <c r="AO15" s="121">
        <v>2023</v>
      </c>
      <c r="AP15" s="121">
        <v>4</v>
      </c>
      <c r="AQ15" s="164">
        <v>0.78055555555555567</v>
      </c>
      <c r="BE15" s="121" t="str">
        <f>'Q3'!B33</f>
        <v>Days Sales Outstanding (DSO)</v>
      </c>
      <c r="BF15" s="121">
        <f>'Q3'!E33</f>
        <v>13.37307616900304</v>
      </c>
      <c r="BG15" s="121">
        <f>'Q3'!F33</f>
        <v>10.252291095396162</v>
      </c>
      <c r="BH15" s="121">
        <f>'Q3'!G33</f>
        <v>9.4867051490681309</v>
      </c>
      <c r="BI15" s="121">
        <f>'Q3'!H33</f>
        <v>9.5902996077558633</v>
      </c>
      <c r="BJ15" s="121">
        <f>'Q3'!I33</f>
        <v>10.043357838061711</v>
      </c>
    </row>
    <row r="16" spans="1:107" s="121" customFormat="1" x14ac:dyDescent="0.35">
      <c r="A16" s="328"/>
      <c r="B16" s="289"/>
      <c r="C16" s="277"/>
      <c r="D16" s="277"/>
      <c r="E16" s="277"/>
      <c r="F16" s="277"/>
      <c r="G16" s="277"/>
      <c r="H16" s="277"/>
      <c r="I16" s="277"/>
      <c r="J16" s="277"/>
      <c r="K16" s="277"/>
      <c r="L16" s="277"/>
      <c r="M16" s="277"/>
      <c r="N16" s="289"/>
      <c r="O16" s="289"/>
      <c r="P16" s="277"/>
      <c r="Q16" s="277"/>
      <c r="R16" s="277"/>
      <c r="S16" s="277"/>
      <c r="T16" s="277"/>
      <c r="U16" s="277"/>
      <c r="V16" s="277"/>
      <c r="W16" s="277"/>
      <c r="X16" s="277"/>
      <c r="Y16" s="277"/>
      <c r="Z16" s="277"/>
      <c r="AA16" s="277"/>
      <c r="AB16" s="277"/>
      <c r="AC16" s="279"/>
      <c r="AD16" s="279"/>
      <c r="AE16" s="328"/>
      <c r="AF16" s="328"/>
      <c r="AG16" s="328"/>
      <c r="AH16" s="328"/>
      <c r="AI16" s="328"/>
      <c r="AJ16" s="328"/>
      <c r="AK16" s="328"/>
      <c r="AL16" s="328"/>
      <c r="AM16"/>
      <c r="AN16" s="121">
        <v>0</v>
      </c>
      <c r="AO16" s="121">
        <v>2024</v>
      </c>
      <c r="AP16" s="121">
        <v>5</v>
      </c>
      <c r="AQ16" s="164">
        <v>0.875</v>
      </c>
      <c r="AS16" s="121">
        <f>'Q2'!E37</f>
        <v>2020</v>
      </c>
      <c r="AT16" s="121">
        <f>'Q2'!F37</f>
        <v>2021</v>
      </c>
      <c r="AU16" s="121">
        <f>'Q2'!G37</f>
        <v>2022</v>
      </c>
      <c r="AV16" s="121">
        <f>'Q2'!H37</f>
        <v>2023</v>
      </c>
      <c r="AW16" s="121">
        <f>'Q2'!I37</f>
        <v>2024</v>
      </c>
      <c r="AX16" s="121">
        <f>'Q2'!J37</f>
        <v>0</v>
      </c>
      <c r="AY16" s="121">
        <f>'Q2'!K37</f>
        <v>0</v>
      </c>
      <c r="BE16" s="121" t="str">
        <f>'Q3'!B34</f>
        <v>Days Payables Outstanding (DPO)</v>
      </c>
      <c r="BF16" s="121">
        <f>'Q3'!E34</f>
        <v>204.57334664891258</v>
      </c>
      <c r="BG16" s="121">
        <f>'Q3'!F34</f>
        <v>166.49176608973283</v>
      </c>
      <c r="BH16" s="121">
        <f>'Q3'!G34</f>
        <v>162.76639783027622</v>
      </c>
      <c r="BI16" s="121">
        <f>'Q3'!H34</f>
        <v>160.66393388647438</v>
      </c>
      <c r="BJ16" s="121">
        <f>'Q3'!I34</f>
        <v>171.99011542239683</v>
      </c>
    </row>
    <row r="17" spans="1:66" s="121" customFormat="1" ht="15" thickBot="1" x14ac:dyDescent="0.4">
      <c r="A17" s="328"/>
      <c r="B17" s="300" t="s">
        <v>279</v>
      </c>
      <c r="C17" s="277"/>
      <c r="D17" s="319" t="s">
        <v>280</v>
      </c>
      <c r="E17" s="277"/>
      <c r="F17" s="277"/>
      <c r="G17" s="277"/>
      <c r="H17" s="277"/>
      <c r="I17" s="277"/>
      <c r="J17" s="277"/>
      <c r="K17" s="277"/>
      <c r="L17" s="277"/>
      <c r="M17" s="277"/>
      <c r="N17" s="289"/>
      <c r="O17" s="289"/>
      <c r="P17" s="277"/>
      <c r="Q17" s="277"/>
      <c r="R17" s="277"/>
      <c r="S17" s="277"/>
      <c r="T17" s="277"/>
      <c r="U17" s="277"/>
      <c r="V17" s="277"/>
      <c r="W17" s="277"/>
      <c r="X17" s="277"/>
      <c r="Y17" s="277"/>
      <c r="Z17" s="277"/>
      <c r="AA17" s="277"/>
      <c r="AB17" s="277"/>
      <c r="AC17" s="279"/>
      <c r="AD17" s="279"/>
      <c r="AE17" s="328"/>
      <c r="AF17" s="328"/>
      <c r="AG17" s="328"/>
      <c r="AH17" s="328"/>
      <c r="AI17" s="328"/>
      <c r="AJ17" s="328"/>
      <c r="AK17" s="328"/>
      <c r="AL17" s="328"/>
      <c r="AM17"/>
      <c r="AN17" s="121" t="str">
        <v>Animal</v>
      </c>
      <c r="AO17" s="121">
        <v>2020</v>
      </c>
      <c r="AP17" s="121">
        <v>1</v>
      </c>
      <c r="AQ17" s="164" cm="1">
        <f t="array" ref="AQ17:AQ21">TRANSPOSE('Q2'!T15:X15)</f>
        <v>0.95305000000000006</v>
      </c>
      <c r="AR17" s="121" t="str">
        <f>'Q2'!B43</f>
        <v>DIO (Days)</v>
      </c>
      <c r="AS17" s="330">
        <f>'Q2'!E43</f>
        <v>86.40321591316291</v>
      </c>
      <c r="AT17" s="330">
        <f>'Q2'!F43</f>
        <v>77.915132738194359</v>
      </c>
      <c r="AU17" s="330">
        <f>'Q2'!G43</f>
        <v>67.021897136355491</v>
      </c>
      <c r="AV17" s="330">
        <f>'Q2'!H43</f>
        <v>68.096099227111623</v>
      </c>
      <c r="AW17" s="330">
        <f>'Q2'!I43</f>
        <v>66.757897290918692</v>
      </c>
      <c r="AX17" s="330">
        <f>'Q2'!J43</f>
        <v>0</v>
      </c>
      <c r="AY17" s="330">
        <f>'Q2'!K43</f>
        <v>0</v>
      </c>
      <c r="BE17" s="121" t="str">
        <f>'Q3'!B35</f>
        <v>Cash Conversion Cycle</v>
      </c>
      <c r="BF17" s="121">
        <f>'Q3'!E35</f>
        <v>-98.249205233571317</v>
      </c>
      <c r="BG17" s="121">
        <f>'Q3'!F35</f>
        <v>-74.005606736900944</v>
      </c>
      <c r="BH17" s="121">
        <f>'Q3'!G35</f>
        <v>-72.091875965770228</v>
      </c>
      <c r="BI17" s="121">
        <f>'Q3'!H35</f>
        <v>-77.08097656766887</v>
      </c>
      <c r="BJ17" s="121">
        <f>'Q3'!I35</f>
        <v>-91.50363995172215</v>
      </c>
    </row>
    <row r="18" spans="1:66" s="121" customFormat="1" ht="15" thickBot="1" x14ac:dyDescent="0.4">
      <c r="A18" s="328"/>
      <c r="B18" s="405" t="s">
        <v>282</v>
      </c>
      <c r="C18" s="406"/>
      <c r="D18" s="405" t="s">
        <v>282</v>
      </c>
      <c r="E18" s="406"/>
      <c r="F18" s="277"/>
      <c r="G18" s="277"/>
      <c r="H18" s="277"/>
      <c r="I18" s="277"/>
      <c r="J18" s="277"/>
      <c r="K18" s="277"/>
      <c r="L18" s="277"/>
      <c r="M18" s="277"/>
      <c r="N18" s="289"/>
      <c r="O18" s="289"/>
      <c r="P18" s="277"/>
      <c r="Q18" s="277"/>
      <c r="R18" s="277"/>
      <c r="S18" s="277"/>
      <c r="T18" s="277"/>
      <c r="U18" s="277"/>
      <c r="V18" s="277"/>
      <c r="W18" s="277"/>
      <c r="X18" s="277"/>
      <c r="Y18" s="277"/>
      <c r="Z18" s="277"/>
      <c r="AA18" s="277"/>
      <c r="AB18" s="277"/>
      <c r="AC18" s="279"/>
      <c r="AD18" s="279"/>
      <c r="AE18" s="328"/>
      <c r="AF18" s="328"/>
      <c r="AG18" s="328"/>
      <c r="AH18" s="328"/>
      <c r="AI18" s="328"/>
      <c r="AJ18" s="328"/>
      <c r="AK18" s="328"/>
      <c r="AL18" s="328"/>
      <c r="AM18"/>
      <c r="AN18" s="121">
        <v>0</v>
      </c>
      <c r="AO18" s="121">
        <v>2021</v>
      </c>
      <c r="AP18" s="121">
        <v>2</v>
      </c>
      <c r="AQ18" s="164">
        <v>0.84299999999999997</v>
      </c>
      <c r="AR18" s="121" t="str">
        <f>'Q2'!B44</f>
        <v>DSO (Days)</v>
      </c>
      <c r="AS18" s="330">
        <f>'Q2'!E44</f>
        <v>15.584303903606486</v>
      </c>
      <c r="AT18" s="330">
        <f>'Q2'!F44</f>
        <v>14.402381884306081</v>
      </c>
      <c r="AU18" s="330">
        <f>'Q2'!G44</f>
        <v>13.139476295383028</v>
      </c>
      <c r="AV18" s="330">
        <f>'Q2'!H44</f>
        <v>14.673324194349894</v>
      </c>
      <c r="AW18" s="330">
        <f>'Q2'!I44</f>
        <v>16.336282770533163</v>
      </c>
      <c r="AX18" s="330">
        <f>'Q2'!J44</f>
        <v>0</v>
      </c>
      <c r="AY18" s="330">
        <f>'Q2'!K44</f>
        <v>0</v>
      </c>
    </row>
    <row r="19" spans="1:66" s="121" customFormat="1" ht="15" thickBot="1" x14ac:dyDescent="0.4">
      <c r="A19" s="328"/>
      <c r="B19" s="289"/>
      <c r="C19" s="277"/>
      <c r="D19" s="277"/>
      <c r="E19" s="277"/>
      <c r="F19" s="277"/>
      <c r="G19" s="277"/>
      <c r="H19" s="277"/>
      <c r="I19" s="277"/>
      <c r="J19" s="277"/>
      <c r="K19" s="277"/>
      <c r="L19" s="277"/>
      <c r="M19" s="277"/>
      <c r="N19" s="289"/>
      <c r="O19" s="289"/>
      <c r="P19" s="277"/>
      <c r="Q19" s="277"/>
      <c r="R19" s="277"/>
      <c r="S19" s="277"/>
      <c r="T19" s="277"/>
      <c r="U19" s="277"/>
      <c r="V19" s="277"/>
      <c r="W19" s="277"/>
      <c r="X19" s="277"/>
      <c r="Y19" s="277"/>
      <c r="Z19" s="277"/>
      <c r="AA19" s="277"/>
      <c r="AB19" s="277"/>
      <c r="AC19" s="279"/>
      <c r="AD19" s="279"/>
      <c r="AE19" s="328"/>
      <c r="AF19" s="328"/>
      <c r="AG19" s="328"/>
      <c r="AH19" s="328"/>
      <c r="AI19" s="328"/>
      <c r="AJ19" s="328"/>
      <c r="AK19" s="328"/>
      <c r="AL19" s="328"/>
      <c r="AM19"/>
      <c r="AN19" s="121">
        <v>0</v>
      </c>
      <c r="AO19" s="121">
        <v>2022</v>
      </c>
      <c r="AP19" s="121">
        <v>3</v>
      </c>
      <c r="AQ19" s="164">
        <v>0.8558703703703705</v>
      </c>
      <c r="AR19" s="121" t="str">
        <f>'Q2'!B45</f>
        <v>DPO (Days)</v>
      </c>
      <c r="AS19" s="330">
        <f>'Q2'!E45</f>
        <v>76.247269845265862</v>
      </c>
      <c r="AT19" s="330">
        <f>'Q2'!F45</f>
        <v>72.656389356257449</v>
      </c>
      <c r="AU19" s="330">
        <f>'Q2'!G45</f>
        <v>59.681928528569955</v>
      </c>
      <c r="AV19" s="330">
        <f>'Q2'!H45</f>
        <v>52.562884881987017</v>
      </c>
      <c r="AW19" s="330">
        <f>'Q2'!I45</f>
        <v>54.790418882533778</v>
      </c>
      <c r="AX19" s="330">
        <f>'Q2'!J45</f>
        <v>0</v>
      </c>
      <c r="AY19" s="330">
        <f>'Q2'!K45</f>
        <v>0</v>
      </c>
    </row>
    <row r="20" spans="1:66" s="121" customFormat="1" ht="15" thickBot="1" x14ac:dyDescent="0.4">
      <c r="A20" s="328"/>
      <c r="B20" s="300" t="s">
        <v>283</v>
      </c>
      <c r="C20" s="277"/>
      <c r="D20" s="277"/>
      <c r="E20" s="277"/>
      <c r="F20" s="277"/>
      <c r="G20" s="392" t="s">
        <v>289</v>
      </c>
      <c r="H20" s="277"/>
      <c r="I20" s="277"/>
      <c r="J20" s="277"/>
      <c r="K20" s="277"/>
      <c r="L20" s="277"/>
      <c r="M20" s="277"/>
      <c r="N20" s="289"/>
      <c r="O20" s="289"/>
      <c r="P20" s="277"/>
      <c r="Q20" s="277"/>
      <c r="R20" s="277"/>
      <c r="S20" s="277"/>
      <c r="T20" s="277"/>
      <c r="U20" s="277"/>
      <c r="V20" s="277"/>
      <c r="W20" s="277"/>
      <c r="X20" s="277"/>
      <c r="Y20" s="277"/>
      <c r="Z20" s="277"/>
      <c r="AA20" s="277"/>
      <c r="AB20" s="277"/>
      <c r="AC20" s="279"/>
      <c r="AD20" s="279"/>
      <c r="AE20" s="328"/>
      <c r="AF20" s="328"/>
      <c r="AG20" s="328"/>
      <c r="AH20" s="328"/>
      <c r="AI20" s="328"/>
      <c r="AJ20" s="328"/>
      <c r="AK20" s="328"/>
      <c r="AL20" s="328"/>
      <c r="AM20"/>
      <c r="AN20" s="121">
        <v>0</v>
      </c>
      <c r="AO20" s="121">
        <v>2023</v>
      </c>
      <c r="AP20" s="121">
        <v>4</v>
      </c>
      <c r="AQ20" s="164">
        <v>0.78055555555555556</v>
      </c>
      <c r="AR20" s="121" t="str">
        <f>'Q2'!B46</f>
        <v>CCC (Days)</v>
      </c>
      <c r="AS20" s="330">
        <f>'Q2'!E46</f>
        <v>25.74024997150353</v>
      </c>
      <c r="AT20" s="330">
        <f>'Q2'!F46</f>
        <v>19.661125266242991</v>
      </c>
      <c r="AU20" s="330">
        <f>'Q2'!G46</f>
        <v>20.47944490316857</v>
      </c>
      <c r="AV20" s="330">
        <f>'Q2'!H46</f>
        <v>30.206538539474494</v>
      </c>
      <c r="AW20" s="330">
        <f>'Q2'!I46</f>
        <v>28.303761178918073</v>
      </c>
      <c r="AX20" s="330">
        <f>'Q2'!J46</f>
        <v>0</v>
      </c>
      <c r="AY20" s="330">
        <f>'Q2'!K46</f>
        <v>0</v>
      </c>
      <c r="BE20" s="331">
        <v>2020</v>
      </c>
      <c r="BF20" s="331">
        <v>2021</v>
      </c>
      <c r="BG20" s="331">
        <v>2022</v>
      </c>
      <c r="BH20" s="331">
        <v>2023</v>
      </c>
      <c r="BI20" s="331">
        <v>2024</v>
      </c>
      <c r="BJ20" s="331">
        <v>2025</v>
      </c>
      <c r="BK20" s="331">
        <v>2026</v>
      </c>
      <c r="BL20" s="331">
        <v>2027</v>
      </c>
      <c r="BM20" s="331">
        <v>2028</v>
      </c>
      <c r="BN20" s="331">
        <v>2029</v>
      </c>
    </row>
    <row r="21" spans="1:66" s="121" customFormat="1" x14ac:dyDescent="0.35">
      <c r="A21" s="328"/>
      <c r="B21" s="303">
        <v>500</v>
      </c>
      <c r="C21" s="421" t="s">
        <v>288</v>
      </c>
      <c r="D21" s="422"/>
      <c r="E21" s="425">
        <f>B21/10000</f>
        <v>0.05</v>
      </c>
      <c r="F21" s="277"/>
      <c r="G21" s="393"/>
      <c r="H21" s="277"/>
      <c r="I21" s="277"/>
      <c r="J21" s="277"/>
      <c r="K21" s="277"/>
      <c r="L21" s="277"/>
      <c r="M21" s="277"/>
      <c r="N21" s="289"/>
      <c r="O21" s="289"/>
      <c r="P21" s="277"/>
      <c r="Q21" s="277"/>
      <c r="R21" s="277"/>
      <c r="S21" s="277"/>
      <c r="T21" s="277"/>
      <c r="U21" s="277"/>
      <c r="V21" s="277"/>
      <c r="W21" s="277"/>
      <c r="X21" s="277"/>
      <c r="Y21" s="277"/>
      <c r="Z21" s="277"/>
      <c r="AA21" s="277"/>
      <c r="AB21" s="277"/>
      <c r="AC21" s="279"/>
      <c r="AD21" s="279"/>
      <c r="AE21" s="328"/>
      <c r="AF21" s="328"/>
      <c r="AG21" s="328"/>
      <c r="AH21" s="328"/>
      <c r="AI21" s="328"/>
      <c r="AJ21" s="328"/>
      <c r="AK21" s="328"/>
      <c r="AL21" s="328"/>
      <c r="AM21"/>
      <c r="AN21" s="121">
        <v>0</v>
      </c>
      <c r="AO21" s="121">
        <v>2024</v>
      </c>
      <c r="AP21" s="121">
        <v>5</v>
      </c>
      <c r="AQ21" s="164">
        <v>0.87500000000000011</v>
      </c>
      <c r="AS21" s="330"/>
      <c r="BD21" s="121" t="str">
        <f>'Q3'!B67</f>
        <v>Revenue</v>
      </c>
      <c r="BE21" s="121">
        <f>'Q3'!C67</f>
        <v>20402</v>
      </c>
      <c r="BF21" s="121">
        <f>'Q3'!D67</f>
        <v>27716</v>
      </c>
      <c r="BG21" s="121">
        <f>'Q3'!E67</f>
        <v>32569</v>
      </c>
      <c r="BH21" s="121">
        <f>'Q3'!F67</f>
        <v>35947</v>
      </c>
      <c r="BI21" s="121">
        <f>'Q3'!G67</f>
        <v>38632</v>
      </c>
      <c r="BJ21" s="121">
        <f>'Q3'!H67</f>
        <v>44460.499999998137</v>
      </c>
      <c r="BK21" s="121">
        <f>'Q3'!I67</f>
        <v>48929.599999999627</v>
      </c>
      <c r="BL21" s="121">
        <f>'Q3'!J67</f>
        <v>53398.699999999255</v>
      </c>
      <c r="BM21" s="121">
        <f>'Q3'!K67</f>
        <v>57867.799999998882</v>
      </c>
      <c r="BN21" s="121">
        <f>'Q3'!L67</f>
        <v>62336.89999999851</v>
      </c>
    </row>
    <row r="22" spans="1:66" s="121" customFormat="1" ht="15" thickBot="1" x14ac:dyDescent="0.4">
      <c r="A22" s="328"/>
      <c r="B22" s="289"/>
      <c r="C22" s="423"/>
      <c r="D22" s="424"/>
      <c r="E22" s="426"/>
      <c r="F22" s="277"/>
      <c r="G22" s="394"/>
      <c r="H22" s="277"/>
      <c r="I22" s="277"/>
      <c r="J22" s="277"/>
      <c r="K22" s="277"/>
      <c r="L22" s="277"/>
      <c r="M22" s="277"/>
      <c r="N22" s="289"/>
      <c r="O22" s="289"/>
      <c r="P22" s="277"/>
      <c r="Q22" s="277"/>
      <c r="R22" s="277"/>
      <c r="S22" s="277"/>
      <c r="T22" s="277"/>
      <c r="U22" s="277"/>
      <c r="V22" s="277"/>
      <c r="W22" s="277"/>
      <c r="X22" s="277"/>
      <c r="Y22" s="277"/>
      <c r="Z22" s="277"/>
      <c r="AA22" s="277"/>
      <c r="AB22" s="277"/>
      <c r="AC22" s="279"/>
      <c r="AD22" s="279"/>
      <c r="AE22" s="328"/>
      <c r="AF22" s="328"/>
      <c r="AG22" s="328"/>
      <c r="AH22" s="328"/>
      <c r="AI22" s="328"/>
      <c r="AJ22" s="328"/>
      <c r="AK22" s="328"/>
      <c r="AL22" s="328"/>
      <c r="AM22"/>
      <c r="AN22" s="121" t="str">
        <v>Chemicals</v>
      </c>
      <c r="AO22" s="121">
        <v>2020</v>
      </c>
      <c r="AP22" s="121">
        <v>1</v>
      </c>
      <c r="AQ22" s="164" cm="1">
        <f t="array" ref="AQ22:AQ26">TRANSPOSE('Q2'!Y15:AC15)</f>
        <v>0.95305000000000017</v>
      </c>
      <c r="BD22" s="121" t="str">
        <f>'Q3'!B68</f>
        <v>Gross Profit</v>
      </c>
      <c r="BE22" s="121">
        <f>'Q3'!C68</f>
        <v>11389.999999999998</v>
      </c>
      <c r="BF22" s="121">
        <f>'Q3'!D68</f>
        <v>15814.000000000002</v>
      </c>
      <c r="BG22" s="121">
        <f>'Q3'!E68</f>
        <v>18558</v>
      </c>
      <c r="BH22" s="121">
        <f>'Q3'!F68</f>
        <v>20761</v>
      </c>
      <c r="BI22" s="121">
        <f>'Q3'!G68</f>
        <v>22344</v>
      </c>
      <c r="BJ22" s="121">
        <f>'Q3'!H68</f>
        <v>25829.899999999536</v>
      </c>
      <c r="BK22" s="121">
        <f>'Q3'!I68</f>
        <v>28515.400000000605</v>
      </c>
      <c r="BL22" s="121">
        <f>'Q3'!J68</f>
        <v>31200.900000000107</v>
      </c>
      <c r="BM22" s="121">
        <f>'Q3'!K68</f>
        <v>33886.400000000081</v>
      </c>
      <c r="BN22" s="121">
        <f>'Q3'!L68</f>
        <v>36571.900000000052</v>
      </c>
    </row>
    <row r="23" spans="1:66" s="121" customFormat="1" ht="15" thickBot="1" x14ac:dyDescent="0.4">
      <c r="A23" s="328"/>
      <c r="B23" s="289"/>
      <c r="C23" s="277"/>
      <c r="D23" s="277"/>
      <c r="E23" s="277"/>
      <c r="F23" s="277"/>
      <c r="G23" s="277"/>
      <c r="H23" s="277"/>
      <c r="I23" s="277"/>
      <c r="J23" s="277"/>
      <c r="K23" s="277"/>
      <c r="L23" s="277"/>
      <c r="M23" s="277"/>
      <c r="N23" s="289"/>
      <c r="O23" s="289"/>
      <c r="P23" s="277"/>
      <c r="Q23" s="277"/>
      <c r="R23" s="277"/>
      <c r="S23" s="277"/>
      <c r="T23" s="277"/>
      <c r="U23" s="277"/>
      <c r="V23" s="277"/>
      <c r="W23" s="277"/>
      <c r="X23" s="277"/>
      <c r="Y23" s="277"/>
      <c r="Z23" s="277"/>
      <c r="AA23" s="277"/>
      <c r="AB23" s="277"/>
      <c r="AC23" s="279"/>
      <c r="AD23" s="279"/>
      <c r="AE23" s="328"/>
      <c r="AF23" s="328"/>
      <c r="AG23" s="328"/>
      <c r="AH23" s="328"/>
      <c r="AI23" s="328"/>
      <c r="AJ23" s="328"/>
      <c r="AK23" s="328"/>
      <c r="AL23" s="328"/>
      <c r="AM23"/>
      <c r="AN23" s="121">
        <v>0</v>
      </c>
      <c r="AO23" s="121">
        <v>2021</v>
      </c>
      <c r="AP23" s="121">
        <v>2</v>
      </c>
      <c r="AQ23" s="164">
        <v>0.84299999999999997</v>
      </c>
      <c r="BD23" s="121" t="str">
        <f>'Q3'!B69</f>
        <v>Operating Profit</v>
      </c>
      <c r="BE23" s="121">
        <f>'Q3'!C69</f>
        <v>1507</v>
      </c>
      <c r="BF23" s="121">
        <f>'Q3'!D69</f>
        <v>4282</v>
      </c>
      <c r="BG23" s="121">
        <f>'Q3'!E69</f>
        <v>5520</v>
      </c>
      <c r="BH23" s="121">
        <f>'Q3'!F69</f>
        <v>6809</v>
      </c>
      <c r="BI23" s="121">
        <f>'Q3'!G69</f>
        <v>7555</v>
      </c>
      <c r="BJ23" s="121">
        <f>'Q3'!H69</f>
        <v>9524.8999999980424</v>
      </c>
      <c r="BK23" s="121">
        <f>'Q3'!I69</f>
        <v>11027.000000000093</v>
      </c>
      <c r="BL23" s="121">
        <f>'Q3'!J69</f>
        <v>12529.099999999346</v>
      </c>
      <c r="BM23" s="121">
        <f>'Q3'!K69</f>
        <v>14031.199999999066</v>
      </c>
      <c r="BN23" s="121">
        <f>'Q3'!L69</f>
        <v>15533.299999998788</v>
      </c>
    </row>
    <row r="24" spans="1:66" s="121" customFormat="1" ht="15" thickBot="1" x14ac:dyDescent="0.4">
      <c r="A24" s="328"/>
      <c r="B24" s="306"/>
      <c r="C24" s="320">
        <f>C13</f>
        <v>2025</v>
      </c>
      <c r="D24" s="299">
        <f>D13</f>
        <v>2026</v>
      </c>
      <c r="E24" s="299">
        <f>E13</f>
        <v>2027</v>
      </c>
      <c r="F24" s="299">
        <f>F13</f>
        <v>2028</v>
      </c>
      <c r="G24" s="305">
        <f>G13</f>
        <v>2029</v>
      </c>
      <c r="H24" s="277"/>
      <c r="I24" s="277"/>
      <c r="J24" s="277"/>
      <c r="K24" s="277"/>
      <c r="L24" s="277"/>
      <c r="M24" s="277"/>
      <c r="N24" s="289"/>
      <c r="O24" s="289"/>
      <c r="P24" s="277"/>
      <c r="Q24" s="277"/>
      <c r="R24" s="277"/>
      <c r="S24" s="277"/>
      <c r="T24" s="277"/>
      <c r="U24" s="277"/>
      <c r="V24" s="277"/>
      <c r="W24" s="277"/>
      <c r="X24" s="277"/>
      <c r="Y24" s="277"/>
      <c r="Z24" s="277"/>
      <c r="AA24" s="277"/>
      <c r="AB24" s="277"/>
      <c r="AC24" s="279"/>
      <c r="AD24" s="279"/>
      <c r="AE24" s="328"/>
      <c r="AF24" s="328"/>
      <c r="AG24" s="328"/>
      <c r="AH24" s="328"/>
      <c r="AI24" s="328"/>
      <c r="AJ24" s="328"/>
      <c r="AK24" s="328"/>
      <c r="AL24" s="328"/>
      <c r="AM24"/>
      <c r="AN24" s="121">
        <v>0</v>
      </c>
      <c r="AO24" s="121">
        <v>2022</v>
      </c>
      <c r="AP24" s="121">
        <v>3</v>
      </c>
      <c r="AQ24" s="164">
        <v>0.85587037037037039</v>
      </c>
      <c r="BE24" s="121">
        <f>BE20</f>
        <v>2020</v>
      </c>
      <c r="BF24" s="121">
        <f t="shared" ref="BF24:BN24" si="0">BF20</f>
        <v>2021</v>
      </c>
      <c r="BG24" s="121">
        <f t="shared" si="0"/>
        <v>2022</v>
      </c>
      <c r="BH24" s="121">
        <f t="shared" si="0"/>
        <v>2023</v>
      </c>
      <c r="BI24" s="121">
        <f t="shared" si="0"/>
        <v>2024</v>
      </c>
      <c r="BJ24" s="121">
        <f t="shared" si="0"/>
        <v>2025</v>
      </c>
      <c r="BK24" s="121">
        <f t="shared" si="0"/>
        <v>2026</v>
      </c>
      <c r="BL24" s="121">
        <f t="shared" si="0"/>
        <v>2027</v>
      </c>
      <c r="BM24" s="121">
        <f t="shared" si="0"/>
        <v>2028</v>
      </c>
      <c r="BN24" s="121">
        <f t="shared" si="0"/>
        <v>2029</v>
      </c>
    </row>
    <row r="25" spans="1:66" s="121" customFormat="1" ht="29.5" thickBot="1" x14ac:dyDescent="0.4">
      <c r="A25" s="328"/>
      <c r="B25" s="321" t="str">
        <f>'Q1'!B46</f>
        <v>Baskin Robbins Revenue (Millions)</v>
      </c>
      <c r="C25" s="322">
        <f>'Q1'!F46</f>
        <v>87.583527814746546</v>
      </c>
      <c r="D25" s="322">
        <f>'Q1'!G46</f>
        <v>121.57060800016455</v>
      </c>
      <c r="E25" s="322">
        <f>'Q1'!H46</f>
        <v>161.49230597269695</v>
      </c>
      <c r="F25" s="322">
        <f>'Q1'!I46</f>
        <v>243.22257782252095</v>
      </c>
      <c r="G25" s="323">
        <f>'Q1'!J46</f>
        <v>301.62115529136184</v>
      </c>
      <c r="H25" s="277"/>
      <c r="I25" s="277"/>
      <c r="J25" s="277"/>
      <c r="K25" s="277"/>
      <c r="L25" s="277"/>
      <c r="M25" s="277"/>
      <c r="N25" s="289"/>
      <c r="O25" s="386" t="str">
        <f>O9</f>
        <v xml:space="preserve">Animal </v>
      </c>
      <c r="P25" s="387"/>
      <c r="Q25" s="387"/>
      <c r="R25" s="319"/>
      <c r="S25" s="319"/>
      <c r="T25" s="387" t="str">
        <f>S9</f>
        <v>Chemicals</v>
      </c>
      <c r="U25" s="387"/>
      <c r="V25" s="387"/>
      <c r="W25" s="319"/>
      <c r="X25" s="319"/>
      <c r="Y25" s="387" t="s">
        <v>131</v>
      </c>
      <c r="Z25" s="387"/>
      <c r="AA25" s="387"/>
      <c r="AB25" s="277"/>
      <c r="AC25" s="279"/>
      <c r="AD25" s="279"/>
      <c r="AE25" s="328"/>
      <c r="AF25" s="328"/>
      <c r="AG25" s="328"/>
      <c r="AH25" s="328"/>
      <c r="AI25" s="328"/>
      <c r="AJ25" s="328"/>
      <c r="AK25" s="328"/>
      <c r="AL25" s="328"/>
      <c r="AM25"/>
      <c r="AN25" s="121">
        <v>0</v>
      </c>
      <c r="AO25" s="121">
        <v>2023</v>
      </c>
      <c r="AP25" s="121">
        <v>4</v>
      </c>
      <c r="AQ25" s="164">
        <v>0.78055555555555556</v>
      </c>
      <c r="BD25" s="121" t="str">
        <f>'Q3'!B75</f>
        <v>Free Cash Flow</v>
      </c>
      <c r="BE25" s="121">
        <f>'Q3'!C75</f>
        <v>4552</v>
      </c>
      <c r="BF25" s="121">
        <f>'Q3'!D75</f>
        <v>7183</v>
      </c>
      <c r="BG25" s="121">
        <f>'Q3'!E75</f>
        <v>8418</v>
      </c>
      <c r="BH25" s="121">
        <f>'Q3'!F75</f>
        <v>9850</v>
      </c>
      <c r="BI25" s="121">
        <f>'Q3'!G75</f>
        <v>10729</v>
      </c>
      <c r="BJ25" s="121">
        <f>'Q3'!H75</f>
        <v>12698.899999998042</v>
      </c>
      <c r="BK25" s="121">
        <f>'Q3'!I75</f>
        <v>14201.000000000093</v>
      </c>
      <c r="BL25" s="121">
        <f>'Q3'!J75</f>
        <v>15703.099999999346</v>
      </c>
      <c r="BM25" s="121">
        <f>'Q3'!K75</f>
        <v>17205.199999999066</v>
      </c>
      <c r="BN25" s="121">
        <f>'Q3'!L75</f>
        <v>18707.299999998788</v>
      </c>
    </row>
    <row r="26" spans="1:66" s="121" customFormat="1" ht="15" thickBot="1" x14ac:dyDescent="0.4">
      <c r="A26" s="328"/>
      <c r="B26" s="291"/>
      <c r="C26" s="285"/>
      <c r="D26" s="285"/>
      <c r="E26" s="285"/>
      <c r="F26" s="285"/>
      <c r="G26" s="285"/>
      <c r="H26" s="285"/>
      <c r="I26" s="285"/>
      <c r="J26" s="285"/>
      <c r="K26" s="285"/>
      <c r="L26" s="285"/>
      <c r="M26" s="285"/>
      <c r="N26" s="289"/>
      <c r="O26" s="289"/>
      <c r="P26" s="277"/>
      <c r="Q26" s="277"/>
      <c r="R26" s="277"/>
      <c r="S26" s="277"/>
      <c r="T26" s="277"/>
      <c r="U26" s="277"/>
      <c r="V26" s="277"/>
      <c r="W26" s="277"/>
      <c r="X26" s="277"/>
      <c r="Y26" s="277"/>
      <c r="Z26" s="277"/>
      <c r="AA26" s="277"/>
      <c r="AB26" s="277"/>
      <c r="AC26" s="279"/>
      <c r="AD26" s="279"/>
      <c r="AE26" s="328"/>
      <c r="AF26" s="328"/>
      <c r="AG26" s="328"/>
      <c r="AH26" s="328"/>
      <c r="AI26" s="328"/>
      <c r="AJ26" s="328"/>
      <c r="AK26" s="328"/>
      <c r="AL26" s="328"/>
      <c r="AM26"/>
      <c r="AN26" s="121">
        <v>0</v>
      </c>
      <c r="AO26" s="121">
        <v>2024</v>
      </c>
      <c r="AP26" s="121">
        <v>5</v>
      </c>
      <c r="AQ26" s="164">
        <v>0.875</v>
      </c>
    </row>
    <row r="27" spans="1:66" s="121" customFormat="1" ht="23.5" customHeight="1" x14ac:dyDescent="0.35">
      <c r="A27" s="328"/>
      <c r="B27" s="415" t="s">
        <v>301</v>
      </c>
      <c r="C27" s="416"/>
      <c r="D27" s="417"/>
      <c r="E27" s="299"/>
      <c r="F27" s="299"/>
      <c r="G27" s="299"/>
      <c r="H27" s="299"/>
      <c r="I27" s="299"/>
      <c r="J27" s="299"/>
      <c r="K27" s="299"/>
      <c r="L27" s="299"/>
      <c r="M27" s="305"/>
      <c r="N27" s="277"/>
      <c r="O27" s="289"/>
      <c r="P27" s="277"/>
      <c r="Q27" s="277"/>
      <c r="R27" s="277"/>
      <c r="S27" s="277"/>
      <c r="T27" s="277"/>
      <c r="U27" s="277"/>
      <c r="V27" s="277"/>
      <c r="W27" s="277"/>
      <c r="X27" s="277"/>
      <c r="Y27" s="277"/>
      <c r="Z27" s="277"/>
      <c r="AA27" s="277"/>
      <c r="AB27" s="277"/>
      <c r="AC27" s="279"/>
      <c r="AD27" s="279"/>
      <c r="AE27" s="328"/>
      <c r="AF27" s="328"/>
      <c r="AG27" s="328"/>
      <c r="AH27" s="328"/>
      <c r="AI27" s="328"/>
      <c r="AJ27" s="328"/>
      <c r="AK27" s="328"/>
      <c r="AL27" s="328"/>
      <c r="AM27"/>
    </row>
    <row r="28" spans="1:66" s="121" customFormat="1" ht="23.5" customHeight="1" thickBot="1" x14ac:dyDescent="0.4">
      <c r="A28" s="328"/>
      <c r="B28" s="418"/>
      <c r="C28" s="419"/>
      <c r="D28" s="420"/>
      <c r="E28" s="277"/>
      <c r="F28" s="277"/>
      <c r="G28" s="277"/>
      <c r="H28" s="277"/>
      <c r="I28" s="277"/>
      <c r="J28" s="277"/>
      <c r="K28" s="277"/>
      <c r="L28" s="277"/>
      <c r="M28" s="279"/>
      <c r="N28" s="277"/>
      <c r="O28" s="289"/>
      <c r="P28" s="277"/>
      <c r="Q28" s="277"/>
      <c r="R28" s="277"/>
      <c r="S28" s="277"/>
      <c r="T28" s="277"/>
      <c r="U28" s="277"/>
      <c r="V28" s="277"/>
      <c r="W28" s="277"/>
      <c r="X28" s="277"/>
      <c r="Y28" s="277"/>
      <c r="Z28" s="277"/>
      <c r="AA28" s="277"/>
      <c r="AB28" s="277"/>
      <c r="AC28" s="279"/>
      <c r="AD28" s="279"/>
      <c r="AE28" s="328"/>
      <c r="AF28" s="328"/>
      <c r="AG28" s="328"/>
      <c r="AH28" s="328"/>
      <c r="AI28" s="328"/>
      <c r="AJ28" s="328"/>
      <c r="AK28" s="328"/>
      <c r="AL28" s="328"/>
      <c r="AM28"/>
    </row>
    <row r="29" spans="1:66" s="121" customFormat="1" x14ac:dyDescent="0.35">
      <c r="A29" s="328"/>
      <c r="B29" s="300" t="s">
        <v>278</v>
      </c>
      <c r="C29" s="385" t="str">
        <f>'Q3'!B9</f>
        <v>Recievable Turnover</v>
      </c>
      <c r="D29" s="385"/>
      <c r="E29" s="277"/>
      <c r="F29" s="431" t="str">
        <f>'Q3'!B13</f>
        <v>Payable Turnover</v>
      </c>
      <c r="G29" s="431"/>
      <c r="H29" s="277"/>
      <c r="I29" s="431" t="str">
        <f>'Q3'!B16</f>
        <v>Inventory Turnover</v>
      </c>
      <c r="J29" s="431"/>
      <c r="K29" s="277"/>
      <c r="L29" s="277"/>
      <c r="M29" s="279"/>
      <c r="N29" s="277"/>
      <c r="O29" s="289"/>
      <c r="P29" s="277"/>
      <c r="Q29" s="277"/>
      <c r="R29" s="277"/>
      <c r="S29" s="277"/>
      <c r="T29" s="277"/>
      <c r="U29" s="277"/>
      <c r="V29" s="277"/>
      <c r="W29" s="277"/>
      <c r="X29" s="277"/>
      <c r="Y29" s="277"/>
      <c r="Z29" s="277"/>
      <c r="AA29" s="277"/>
      <c r="AB29" s="277"/>
      <c r="AC29" s="279"/>
      <c r="AD29" s="279"/>
      <c r="AE29" s="328"/>
      <c r="AF29" s="328"/>
      <c r="AG29" s="328"/>
      <c r="AH29" s="328"/>
      <c r="AI29" s="328"/>
      <c r="AJ29" s="328"/>
      <c r="AK29" s="328"/>
      <c r="AL29" s="328"/>
      <c r="AM29"/>
      <c r="AN29" s="121">
        <v>1</v>
      </c>
      <c r="AO29" s="121" cm="1">
        <f t="array" ref="AO29:AO34">TRANSPOSE('Q2'!E51:J51)</f>
        <v>2020</v>
      </c>
      <c r="AP29" s="121" cm="1">
        <f t="array" ref="AP29:AP34">TRANSPOSE('Q2'!E54:J54)</f>
        <v>0.14588426414128364</v>
      </c>
    </row>
    <row r="30" spans="1:66" s="121" customFormat="1" x14ac:dyDescent="0.35">
      <c r="A30" s="328"/>
      <c r="B30" s="377">
        <v>5</v>
      </c>
      <c r="C30" s="387"/>
      <c r="D30" s="387"/>
      <c r="E30" s="427">
        <f>VLOOKUP(B30,$BK$5:$BO$9,3)</f>
        <v>36.342427093132642</v>
      </c>
      <c r="F30" s="431"/>
      <c r="G30" s="431"/>
      <c r="H30" s="432">
        <f>VLOOKUP(B31,$BK$5:$BO$9,4)</f>
        <v>2.1222149837133553</v>
      </c>
      <c r="I30" s="431"/>
      <c r="J30" s="431"/>
      <c r="K30" s="427">
        <f>VLOOKUP(B32,$BK$5:$BO$9,5)</f>
        <v>5.181485605217115</v>
      </c>
      <c r="L30" s="277"/>
      <c r="M30" s="279"/>
      <c r="N30" s="277"/>
      <c r="O30" s="289"/>
      <c r="P30" s="277"/>
      <c r="Q30" s="277"/>
      <c r="R30" s="277"/>
      <c r="S30" s="277"/>
      <c r="T30" s="277"/>
      <c r="U30" s="277"/>
      <c r="V30" s="277"/>
      <c r="W30" s="277"/>
      <c r="X30" s="277"/>
      <c r="Y30" s="277"/>
      <c r="Z30" s="277"/>
      <c r="AA30" s="277"/>
      <c r="AB30" s="277"/>
      <c r="AC30" s="279"/>
      <c r="AD30" s="279"/>
      <c r="AE30" s="328"/>
      <c r="AF30" s="328"/>
      <c r="AG30" s="328"/>
      <c r="AH30" s="328"/>
      <c r="AI30" s="328"/>
      <c r="AJ30" s="328"/>
      <c r="AK30" s="328"/>
      <c r="AL30" s="328"/>
      <c r="AM30"/>
      <c r="AN30" s="121">
        <v>2</v>
      </c>
      <c r="AO30" s="121">
        <v>2021</v>
      </c>
      <c r="AP30" s="121">
        <v>0.2495663172748443</v>
      </c>
    </row>
    <row r="31" spans="1:66" s="121" customFormat="1" x14ac:dyDescent="0.35">
      <c r="A31" s="328"/>
      <c r="B31" s="377">
        <v>5</v>
      </c>
      <c r="C31" s="277"/>
      <c r="D31" s="277"/>
      <c r="E31" s="427"/>
      <c r="F31" s="277"/>
      <c r="G31" s="277"/>
      <c r="H31" s="432"/>
      <c r="I31" s="277"/>
      <c r="J31" s="277"/>
      <c r="K31" s="427"/>
      <c r="L31" s="277"/>
      <c r="M31" s="279"/>
      <c r="N31" s="277"/>
      <c r="O31" s="289"/>
      <c r="P31" s="277"/>
      <c r="Q31" s="277"/>
      <c r="R31" s="277"/>
      <c r="S31" s="277"/>
      <c r="T31" s="277"/>
      <c r="U31" s="277"/>
      <c r="V31" s="277"/>
      <c r="W31" s="277"/>
      <c r="X31" s="277"/>
      <c r="Y31" s="277"/>
      <c r="Z31" s="277"/>
      <c r="AA31" s="277"/>
      <c r="AB31" s="277"/>
      <c r="AC31" s="279"/>
      <c r="AD31" s="279"/>
      <c r="AE31" s="328"/>
      <c r="AF31" s="328"/>
      <c r="AG31" s="328"/>
      <c r="AH31" s="328"/>
      <c r="AI31" s="328"/>
      <c r="AJ31" s="328"/>
      <c r="AK31" s="328"/>
      <c r="AL31" s="328"/>
      <c r="AM31"/>
      <c r="AN31" s="121">
        <v>3</v>
      </c>
      <c r="AO31" s="121">
        <v>2022</v>
      </c>
      <c r="AP31" s="121">
        <v>0.23676852389981753</v>
      </c>
    </row>
    <row r="32" spans="1:66" s="121" customFormat="1" x14ac:dyDescent="0.35">
      <c r="A32" s="328"/>
      <c r="B32" s="377">
        <v>5</v>
      </c>
      <c r="C32" s="277"/>
      <c r="D32" s="277"/>
      <c r="E32" s="427"/>
      <c r="F32" s="277"/>
      <c r="G32" s="277"/>
      <c r="H32" s="432"/>
      <c r="I32" s="277"/>
      <c r="J32" s="277"/>
      <c r="K32" s="427"/>
      <c r="L32" s="277"/>
      <c r="M32" s="279"/>
      <c r="N32" s="277"/>
      <c r="O32" s="289"/>
      <c r="P32" s="277"/>
      <c r="Q32" s="277"/>
      <c r="R32" s="277"/>
      <c r="S32" s="277"/>
      <c r="T32" s="277"/>
      <c r="U32" s="277"/>
      <c r="V32" s="277"/>
      <c r="W32" s="277"/>
      <c r="X32" s="277"/>
      <c r="Y32" s="277"/>
      <c r="Z32" s="277"/>
      <c r="AA32" s="277"/>
      <c r="AB32" s="277"/>
      <c r="AC32" s="279"/>
      <c r="AD32" s="279"/>
      <c r="AE32" s="328"/>
      <c r="AF32" s="328"/>
      <c r="AG32" s="328"/>
      <c r="AH32" s="328"/>
      <c r="AI32" s="328"/>
      <c r="AJ32" s="328"/>
      <c r="AK32" s="328"/>
      <c r="AL32" s="328"/>
      <c r="AM32"/>
      <c r="AN32" s="121">
        <v>4</v>
      </c>
      <c r="AO32" s="121">
        <v>2023</v>
      </c>
      <c r="AP32" s="121">
        <v>0.40434915078492095</v>
      </c>
    </row>
    <row r="33" spans="1:42" s="121" customFormat="1" x14ac:dyDescent="0.35">
      <c r="A33" s="328"/>
      <c r="B33" s="300"/>
      <c r="C33" s="277"/>
      <c r="D33" s="277"/>
      <c r="E33" s="277"/>
      <c r="F33" s="277"/>
      <c r="G33" s="277"/>
      <c r="H33" s="277"/>
      <c r="I33" s="277"/>
      <c r="J33" s="277"/>
      <c r="K33" s="277"/>
      <c r="L33" s="277"/>
      <c r="M33" s="279"/>
      <c r="N33" s="277"/>
      <c r="O33" s="289"/>
      <c r="P33" s="277"/>
      <c r="Q33" s="277"/>
      <c r="R33" s="277"/>
      <c r="S33" s="277"/>
      <c r="T33" s="277"/>
      <c r="U33" s="277"/>
      <c r="V33" s="277"/>
      <c r="W33" s="277"/>
      <c r="X33" s="277"/>
      <c r="Y33" s="277"/>
      <c r="Z33" s="277"/>
      <c r="AA33" s="277"/>
      <c r="AB33" s="277"/>
      <c r="AC33" s="279"/>
      <c r="AD33" s="279"/>
      <c r="AE33" s="328"/>
      <c r="AF33" s="328"/>
      <c r="AG33" s="328"/>
      <c r="AH33" s="328"/>
      <c r="AI33" s="328"/>
      <c r="AJ33" s="328"/>
      <c r="AK33" s="328"/>
      <c r="AL33" s="328"/>
      <c r="AM33"/>
      <c r="AN33" s="121">
        <v>5</v>
      </c>
      <c r="AO33" s="121">
        <v>2024</v>
      </c>
      <c r="AP33" s="121">
        <v>0.22570709602712377</v>
      </c>
    </row>
    <row r="34" spans="1:42" s="121" customFormat="1" ht="15" thickBot="1" x14ac:dyDescent="0.4">
      <c r="A34" s="328"/>
      <c r="B34" s="300" t="s">
        <v>279</v>
      </c>
      <c r="C34" s="277"/>
      <c r="D34" s="277"/>
      <c r="E34" s="277"/>
      <c r="F34" s="277"/>
      <c r="G34" s="319" t="s">
        <v>281</v>
      </c>
      <c r="H34" s="277"/>
      <c r="I34" s="277"/>
      <c r="J34" s="277"/>
      <c r="K34" s="277"/>
      <c r="L34" s="277"/>
      <c r="M34" s="279"/>
      <c r="N34" s="277"/>
      <c r="O34" s="289"/>
      <c r="P34" s="277"/>
      <c r="Q34" s="277"/>
      <c r="R34" s="277"/>
      <c r="S34" s="277"/>
      <c r="T34" s="277"/>
      <c r="U34" s="277"/>
      <c r="V34" s="277"/>
      <c r="W34" s="277"/>
      <c r="X34" s="277"/>
      <c r="Y34" s="277"/>
      <c r="Z34" s="277"/>
      <c r="AA34" s="277"/>
      <c r="AB34" s="277"/>
      <c r="AC34" s="279"/>
      <c r="AD34" s="279"/>
      <c r="AE34" s="328"/>
      <c r="AF34" s="328"/>
      <c r="AG34" s="328"/>
      <c r="AH34" s="328"/>
      <c r="AI34" s="328"/>
      <c r="AJ34" s="328"/>
      <c r="AK34" s="328"/>
      <c r="AL34" s="328"/>
      <c r="AM34"/>
      <c r="AN34" s="121">
        <v>6</v>
      </c>
      <c r="AO34" s="121">
        <v>0</v>
      </c>
      <c r="AP34" s="121">
        <v>0</v>
      </c>
    </row>
    <row r="35" spans="1:42" customFormat="1" ht="15" thickBot="1" x14ac:dyDescent="0.4">
      <c r="A35" s="328"/>
      <c r="B35" s="289"/>
      <c r="C35" s="277"/>
      <c r="D35" s="277"/>
      <c r="E35" s="277"/>
      <c r="F35" s="277"/>
      <c r="G35" s="277"/>
      <c r="H35" s="405" t="s">
        <v>304</v>
      </c>
      <c r="I35" s="406"/>
      <c r="J35" s="277"/>
      <c r="K35" s="277"/>
      <c r="L35" s="277"/>
      <c r="M35" s="279"/>
      <c r="N35" s="277"/>
      <c r="O35" s="291"/>
      <c r="P35" s="285"/>
      <c r="Q35" s="285"/>
      <c r="R35" s="285"/>
      <c r="S35" s="285"/>
      <c r="T35" s="285"/>
      <c r="U35" s="285"/>
      <c r="V35" s="285"/>
      <c r="W35" s="285"/>
      <c r="X35" s="285"/>
      <c r="Y35" s="285"/>
      <c r="Z35" s="285"/>
      <c r="AA35" s="285"/>
      <c r="AB35" s="285"/>
      <c r="AC35" s="287"/>
      <c r="AD35" s="279"/>
      <c r="AE35" s="328"/>
      <c r="AF35" s="328"/>
      <c r="AG35" s="328"/>
      <c r="AH35" s="328"/>
      <c r="AI35" s="328"/>
      <c r="AJ35" s="328"/>
      <c r="AK35" s="328"/>
      <c r="AL35" s="328"/>
    </row>
    <row r="36" spans="1:42" customFormat="1" ht="15" thickBot="1" x14ac:dyDescent="0.4">
      <c r="A36" s="328"/>
      <c r="B36" s="289"/>
      <c r="C36" s="277"/>
      <c r="D36" s="277"/>
      <c r="E36" s="277"/>
      <c r="F36" s="277"/>
      <c r="G36" s="277"/>
      <c r="H36" s="277"/>
      <c r="I36" s="277"/>
      <c r="J36" s="277"/>
      <c r="K36" s="277"/>
      <c r="L36" s="277"/>
      <c r="M36" s="279"/>
      <c r="N36" s="277"/>
      <c r="O36" s="277"/>
      <c r="P36" s="277"/>
      <c r="Q36" s="277"/>
      <c r="R36" s="277"/>
      <c r="S36" s="277"/>
      <c r="T36" s="277"/>
      <c r="U36" s="277"/>
      <c r="V36" s="277"/>
      <c r="W36" s="277"/>
      <c r="X36" s="277"/>
      <c r="Y36" s="277"/>
      <c r="Z36" s="277"/>
      <c r="AA36" s="277"/>
      <c r="AB36" s="277"/>
      <c r="AC36" s="277"/>
      <c r="AD36" s="279"/>
      <c r="AE36" s="328"/>
      <c r="AF36" s="328"/>
      <c r="AG36" s="328"/>
      <c r="AH36" s="328"/>
      <c r="AI36" s="328"/>
      <c r="AJ36" s="328"/>
      <c r="AK36" s="328"/>
      <c r="AL36" s="328"/>
    </row>
    <row r="37" spans="1:42" customFormat="1" x14ac:dyDescent="0.35">
      <c r="A37" s="328"/>
      <c r="B37" s="289"/>
      <c r="C37" s="277"/>
      <c r="D37" s="277"/>
      <c r="E37" s="277"/>
      <c r="F37" s="277"/>
      <c r="G37" s="319" t="s">
        <v>283</v>
      </c>
      <c r="H37" s="277"/>
      <c r="I37" s="277"/>
      <c r="J37" s="277"/>
      <c r="K37" s="277"/>
      <c r="L37" s="277"/>
      <c r="M37" s="279"/>
      <c r="N37" s="277"/>
      <c r="O37" s="304" t="s">
        <v>280</v>
      </c>
      <c r="P37" s="299"/>
      <c r="Q37" s="299"/>
      <c r="R37" s="299"/>
      <c r="S37" s="299"/>
      <c r="T37" s="299"/>
      <c r="U37" s="305"/>
      <c r="V37" s="277"/>
      <c r="W37" s="304" t="s">
        <v>281</v>
      </c>
      <c r="X37" s="299"/>
      <c r="Y37" s="299"/>
      <c r="Z37" s="299"/>
      <c r="AA37" s="305"/>
      <c r="AB37" s="277"/>
      <c r="AC37" s="277"/>
      <c r="AD37" s="279"/>
      <c r="AE37" s="328"/>
      <c r="AF37" s="328"/>
      <c r="AG37" s="328"/>
      <c r="AH37" s="328"/>
      <c r="AI37" s="328"/>
      <c r="AJ37" s="328"/>
      <c r="AK37" s="328"/>
      <c r="AL37" s="328"/>
    </row>
    <row r="38" spans="1:42" customFormat="1" x14ac:dyDescent="0.35">
      <c r="A38" s="328"/>
      <c r="B38" s="289"/>
      <c r="C38" s="277"/>
      <c r="D38" s="277"/>
      <c r="E38" s="277"/>
      <c r="F38" s="277"/>
      <c r="G38" s="277"/>
      <c r="H38" s="277"/>
      <c r="I38" s="277"/>
      <c r="J38" s="277"/>
      <c r="K38" s="277"/>
      <c r="L38" s="277"/>
      <c r="M38" s="279"/>
      <c r="N38" s="277"/>
      <c r="O38" s="289"/>
      <c r="P38" s="277"/>
      <c r="Q38" s="277"/>
      <c r="R38" s="277"/>
      <c r="S38" s="277"/>
      <c r="T38" s="277"/>
      <c r="U38" s="279"/>
      <c r="V38" s="277"/>
      <c r="W38" s="289"/>
      <c r="X38" s="435" t="s">
        <v>299</v>
      </c>
      <c r="Y38" s="435"/>
      <c r="Z38" s="435"/>
      <c r="AA38" s="279"/>
      <c r="AB38" s="277"/>
      <c r="AC38" s="277"/>
      <c r="AD38" s="279"/>
      <c r="AE38" s="328"/>
      <c r="AF38" s="328"/>
      <c r="AG38" s="328"/>
      <c r="AH38" s="328"/>
      <c r="AI38" s="328"/>
      <c r="AJ38" s="328"/>
      <c r="AK38" s="328"/>
      <c r="AL38" s="328"/>
    </row>
    <row r="39" spans="1:42" customFormat="1" x14ac:dyDescent="0.35">
      <c r="A39" s="328"/>
      <c r="B39" s="289"/>
      <c r="C39" s="277"/>
      <c r="D39" s="277"/>
      <c r="E39" s="277"/>
      <c r="F39" s="277"/>
      <c r="G39" s="277"/>
      <c r="H39" s="277"/>
      <c r="I39" s="277"/>
      <c r="J39" s="277"/>
      <c r="K39" s="277"/>
      <c r="L39" s="277"/>
      <c r="M39" s="279"/>
      <c r="N39" s="277"/>
      <c r="O39" s="289"/>
      <c r="P39" s="277"/>
      <c r="Q39" s="277"/>
      <c r="R39" s="277"/>
      <c r="S39" s="277"/>
      <c r="T39" s="277"/>
      <c r="U39" s="279"/>
      <c r="V39" s="277"/>
      <c r="W39" s="303">
        <v>2</v>
      </c>
      <c r="X39" s="277"/>
      <c r="Y39" s="277"/>
      <c r="Z39" s="277"/>
      <c r="AA39" s="433">
        <f>VLOOKUP(W39,AN29:AP34,3)</f>
        <v>0.2495663172748443</v>
      </c>
      <c r="AB39" s="277"/>
      <c r="AC39" s="277"/>
      <c r="AD39" s="279"/>
      <c r="AE39" s="328"/>
      <c r="AF39" s="328"/>
      <c r="AG39" s="328"/>
      <c r="AH39" s="328"/>
      <c r="AI39" s="328"/>
      <c r="AJ39" s="328"/>
      <c r="AK39" s="328"/>
      <c r="AL39" s="328"/>
    </row>
    <row r="40" spans="1:42" customFormat="1" x14ac:dyDescent="0.35">
      <c r="A40" s="328"/>
      <c r="B40" s="289"/>
      <c r="C40" s="277"/>
      <c r="D40" s="277"/>
      <c r="E40" s="277"/>
      <c r="F40" s="277"/>
      <c r="G40" s="277"/>
      <c r="H40" s="277"/>
      <c r="I40" s="277"/>
      <c r="J40" s="277"/>
      <c r="K40" s="277"/>
      <c r="L40" s="277"/>
      <c r="M40" s="279"/>
      <c r="N40" s="277"/>
      <c r="O40" s="289"/>
      <c r="P40" s="277"/>
      <c r="Q40" s="277"/>
      <c r="R40" s="277"/>
      <c r="S40" s="277"/>
      <c r="T40" s="277"/>
      <c r="U40" s="279"/>
      <c r="V40" s="277"/>
      <c r="W40" s="386" t="s">
        <v>10</v>
      </c>
      <c r="X40" s="277"/>
      <c r="Y40" s="277"/>
      <c r="Z40" s="277"/>
      <c r="AA40" s="433"/>
      <c r="AB40" s="277"/>
      <c r="AC40" s="277"/>
      <c r="AD40" s="279"/>
      <c r="AE40" s="328"/>
      <c r="AF40" s="328"/>
      <c r="AG40" s="328"/>
      <c r="AH40" s="328"/>
      <c r="AI40" s="328"/>
      <c r="AJ40" s="328"/>
      <c r="AK40" s="328"/>
      <c r="AL40" s="328"/>
    </row>
    <row r="41" spans="1:42" customFormat="1" x14ac:dyDescent="0.35">
      <c r="A41" s="328"/>
      <c r="B41" s="289"/>
      <c r="C41" s="277"/>
      <c r="D41" s="277"/>
      <c r="E41" s="277"/>
      <c r="F41" s="277"/>
      <c r="G41" s="277"/>
      <c r="H41" s="277"/>
      <c r="I41" s="277"/>
      <c r="J41" s="277"/>
      <c r="K41" s="277"/>
      <c r="L41" s="277"/>
      <c r="M41" s="279"/>
      <c r="N41" s="277"/>
      <c r="O41" s="289"/>
      <c r="P41" s="277"/>
      <c r="Q41" s="277"/>
      <c r="R41" s="277"/>
      <c r="S41" s="277"/>
      <c r="T41" s="277"/>
      <c r="U41" s="279"/>
      <c r="V41" s="277"/>
      <c r="W41" s="386"/>
      <c r="X41" s="277"/>
      <c r="Y41" s="277"/>
      <c r="Z41" s="277"/>
      <c r="AA41" s="433"/>
      <c r="AB41" s="277"/>
      <c r="AC41" s="277"/>
      <c r="AD41" s="279"/>
      <c r="AE41" s="328"/>
      <c r="AF41" s="328"/>
      <c r="AG41" s="328"/>
      <c r="AH41" s="328"/>
      <c r="AI41" s="328"/>
      <c r="AJ41" s="328"/>
      <c r="AK41" s="328"/>
      <c r="AL41" s="328"/>
    </row>
    <row r="42" spans="1:42" customFormat="1" ht="15" thickBot="1" x14ac:dyDescent="0.4">
      <c r="A42" s="328"/>
      <c r="B42" s="289"/>
      <c r="C42" s="277"/>
      <c r="D42" s="277"/>
      <c r="E42" s="277"/>
      <c r="F42" s="277"/>
      <c r="G42" s="277"/>
      <c r="H42" s="277"/>
      <c r="I42" s="277"/>
      <c r="J42" s="277"/>
      <c r="K42" s="277"/>
      <c r="L42" s="277"/>
      <c r="M42" s="279"/>
      <c r="N42" s="277"/>
      <c r="O42" s="289"/>
      <c r="P42" s="277"/>
      <c r="Q42" s="277"/>
      <c r="R42" s="277"/>
      <c r="S42" s="277"/>
      <c r="T42" s="277"/>
      <c r="U42" s="279"/>
      <c r="V42" s="277"/>
      <c r="W42" s="291"/>
      <c r="X42" s="285"/>
      <c r="Y42" s="285"/>
      <c r="Z42" s="285"/>
      <c r="AA42" s="434"/>
      <c r="AB42" s="277"/>
      <c r="AC42" s="277"/>
      <c r="AD42" s="279"/>
      <c r="AE42" s="328"/>
      <c r="AF42" s="328"/>
      <c r="AG42" s="328"/>
      <c r="AH42" s="328"/>
      <c r="AI42" s="328"/>
      <c r="AJ42" s="328"/>
      <c r="AK42" s="328"/>
      <c r="AL42" s="328"/>
    </row>
    <row r="43" spans="1:42" customFormat="1" ht="15" thickBot="1" x14ac:dyDescent="0.4">
      <c r="A43" s="328"/>
      <c r="B43" s="289"/>
      <c r="C43" s="277"/>
      <c r="D43" s="277"/>
      <c r="E43" s="277"/>
      <c r="F43" s="277"/>
      <c r="G43" s="277"/>
      <c r="H43" s="277"/>
      <c r="I43" s="277"/>
      <c r="J43" s="277"/>
      <c r="K43" s="277"/>
      <c r="L43" s="277"/>
      <c r="M43" s="279"/>
      <c r="N43" s="277"/>
      <c r="O43" s="289"/>
      <c r="P43" s="277"/>
      <c r="Q43" s="277"/>
      <c r="R43" s="277"/>
      <c r="S43" s="277"/>
      <c r="T43" s="277"/>
      <c r="U43" s="279"/>
      <c r="V43" s="277"/>
      <c r="W43" s="277"/>
      <c r="X43" s="277"/>
      <c r="Y43" s="277"/>
      <c r="Z43" s="277"/>
      <c r="AA43" s="277"/>
      <c r="AB43" s="277"/>
      <c r="AC43" s="277"/>
      <c r="AD43" s="279"/>
      <c r="AE43" s="328"/>
      <c r="AF43" s="328"/>
      <c r="AG43" s="328"/>
      <c r="AH43" s="328"/>
      <c r="AI43" s="328"/>
      <c r="AJ43" s="328"/>
      <c r="AK43" s="328"/>
      <c r="AL43" s="328"/>
    </row>
    <row r="44" spans="1:42" customFormat="1" x14ac:dyDescent="0.35">
      <c r="A44" s="328"/>
      <c r="B44" s="289"/>
      <c r="C44" s="277"/>
      <c r="D44" s="277"/>
      <c r="E44" s="277"/>
      <c r="F44" s="277"/>
      <c r="G44" s="277"/>
      <c r="H44" s="277"/>
      <c r="I44" s="277"/>
      <c r="J44" s="277"/>
      <c r="K44" s="277"/>
      <c r="L44" s="277"/>
      <c r="M44" s="279"/>
      <c r="N44" s="277"/>
      <c r="O44" s="289"/>
      <c r="P44" s="277"/>
      <c r="Q44" s="277"/>
      <c r="R44" s="277"/>
      <c r="S44" s="277"/>
      <c r="T44" s="277"/>
      <c r="U44" s="279"/>
      <c r="V44" s="277"/>
      <c r="W44" s="304" t="s">
        <v>283</v>
      </c>
      <c r="X44" s="299"/>
      <c r="Y44" s="299"/>
      <c r="Z44" s="299"/>
      <c r="AA44" s="305"/>
      <c r="AB44" s="277"/>
      <c r="AC44" s="277"/>
      <c r="AD44" s="279"/>
      <c r="AE44" s="328"/>
      <c r="AF44" s="328"/>
      <c r="AG44" s="328"/>
      <c r="AH44" s="328"/>
      <c r="AI44" s="328"/>
      <c r="AJ44" s="328"/>
      <c r="AK44" s="328"/>
      <c r="AL44" s="328"/>
    </row>
    <row r="45" spans="1:42" customFormat="1" ht="15" thickBot="1" x14ac:dyDescent="0.4">
      <c r="A45" s="328"/>
      <c r="B45" s="289"/>
      <c r="C45" s="277"/>
      <c r="D45" s="277"/>
      <c r="E45" s="277"/>
      <c r="F45" s="277"/>
      <c r="G45" s="277"/>
      <c r="H45" s="277"/>
      <c r="I45" s="277"/>
      <c r="J45" s="277"/>
      <c r="K45" s="277"/>
      <c r="L45" s="277"/>
      <c r="M45" s="279"/>
      <c r="N45" s="277"/>
      <c r="O45" s="289"/>
      <c r="P45" s="277"/>
      <c r="Q45" s="277"/>
      <c r="R45" s="277"/>
      <c r="S45" s="277"/>
      <c r="T45" s="277"/>
      <c r="U45" s="279"/>
      <c r="V45" s="277"/>
      <c r="W45" s="291"/>
      <c r="X45" s="285"/>
      <c r="Y45" s="285"/>
      <c r="Z45" s="285"/>
      <c r="AA45" s="287"/>
      <c r="AB45" s="277"/>
      <c r="AC45" s="277"/>
      <c r="AD45" s="279"/>
      <c r="AE45" s="328"/>
      <c r="AF45" s="328"/>
      <c r="AG45" s="328"/>
      <c r="AH45" s="328"/>
      <c r="AI45" s="328"/>
      <c r="AJ45" s="328"/>
      <c r="AK45" s="328"/>
      <c r="AL45" s="328"/>
    </row>
    <row r="46" spans="1:42" customFormat="1" ht="35" thickBot="1" x14ac:dyDescent="0.4">
      <c r="A46" s="328"/>
      <c r="B46" s="289"/>
      <c r="C46" s="277"/>
      <c r="D46" s="277"/>
      <c r="E46" s="277"/>
      <c r="F46" s="277"/>
      <c r="G46" s="277"/>
      <c r="H46" s="277"/>
      <c r="I46" s="277"/>
      <c r="J46" s="277"/>
      <c r="K46" s="277"/>
      <c r="L46" s="277"/>
      <c r="M46" s="279"/>
      <c r="N46" s="277"/>
      <c r="O46" s="289"/>
      <c r="P46" s="277"/>
      <c r="Q46" s="277"/>
      <c r="R46" s="277"/>
      <c r="S46" s="277"/>
      <c r="T46" s="277"/>
      <c r="U46" s="279"/>
      <c r="V46" s="277"/>
      <c r="W46" s="345" t="s">
        <v>153</v>
      </c>
      <c r="X46" s="346" t="str">
        <f>"="</f>
        <v>=</v>
      </c>
      <c r="Y46" s="428" t="s">
        <v>102</v>
      </c>
      <c r="Z46" s="429"/>
      <c r="AA46" s="430"/>
      <c r="AB46" s="277"/>
      <c r="AC46" s="277"/>
      <c r="AD46" s="279"/>
      <c r="AE46" s="328"/>
      <c r="AF46" s="328"/>
      <c r="AG46" s="328"/>
      <c r="AH46" s="328"/>
      <c r="AI46" s="328"/>
      <c r="AJ46" s="328"/>
      <c r="AK46" s="328"/>
      <c r="AL46" s="328"/>
    </row>
    <row r="47" spans="1:42" customFormat="1" ht="35" thickBot="1" x14ac:dyDescent="0.4">
      <c r="A47" s="328"/>
      <c r="B47" s="300" t="s">
        <v>280</v>
      </c>
      <c r="C47" s="277"/>
      <c r="D47" s="277"/>
      <c r="E47" s="277"/>
      <c r="F47" s="277"/>
      <c r="G47" s="277"/>
      <c r="H47" s="277"/>
      <c r="I47" s="277"/>
      <c r="J47" s="277"/>
      <c r="K47" s="277"/>
      <c r="L47" s="277"/>
      <c r="M47" s="279"/>
      <c r="N47" s="277"/>
      <c r="O47" s="289"/>
      <c r="P47" s="277"/>
      <c r="Q47" s="277"/>
      <c r="R47" s="277"/>
      <c r="S47" s="277"/>
      <c r="T47" s="277"/>
      <c r="U47" s="279"/>
      <c r="V47" s="277"/>
      <c r="W47" s="343" t="s">
        <v>154</v>
      </c>
      <c r="X47" s="344" t="str">
        <f>"="</f>
        <v>=</v>
      </c>
      <c r="Y47" s="428" t="s">
        <v>103</v>
      </c>
      <c r="Z47" s="429"/>
      <c r="AA47" s="430"/>
      <c r="AB47" s="277"/>
      <c r="AC47" s="277"/>
      <c r="AD47" s="279"/>
      <c r="AE47" s="328"/>
      <c r="AF47" s="328"/>
      <c r="AG47" s="328"/>
      <c r="AH47" s="328"/>
      <c r="AI47" s="328"/>
      <c r="AJ47" s="328"/>
      <c r="AK47" s="328"/>
      <c r="AL47" s="328"/>
    </row>
    <row r="48" spans="1:42" customFormat="1" x14ac:dyDescent="0.35">
      <c r="A48" s="328"/>
      <c r="B48" s="289"/>
      <c r="C48" s="277"/>
      <c r="D48" s="277"/>
      <c r="E48" s="277"/>
      <c r="F48" s="277"/>
      <c r="G48" s="277"/>
      <c r="H48" s="277"/>
      <c r="I48" s="277"/>
      <c r="J48" s="277"/>
      <c r="K48" s="277"/>
      <c r="L48" s="277"/>
      <c r="M48" s="279"/>
      <c r="N48" s="277"/>
      <c r="O48" s="289"/>
      <c r="P48" s="277"/>
      <c r="Q48" s="277"/>
      <c r="R48" s="277"/>
      <c r="S48" s="277"/>
      <c r="T48" s="277"/>
      <c r="U48" s="279"/>
      <c r="V48" s="277"/>
      <c r="W48" s="277"/>
      <c r="X48" s="277"/>
      <c r="Y48" s="277"/>
      <c r="Z48" s="277"/>
      <c r="AA48" s="277"/>
      <c r="AB48" s="277"/>
      <c r="AC48" s="277"/>
      <c r="AD48" s="279"/>
      <c r="AE48" s="328"/>
      <c r="AF48" s="328"/>
      <c r="AG48" s="328"/>
      <c r="AH48" s="328"/>
      <c r="AI48" s="328"/>
      <c r="AJ48" s="328"/>
      <c r="AK48" s="328"/>
      <c r="AL48" s="328"/>
    </row>
    <row r="49" spans="1:38" customFormat="1" ht="15" thickBot="1" x14ac:dyDescent="0.4">
      <c r="A49" s="328"/>
      <c r="B49" s="289"/>
      <c r="C49" s="277"/>
      <c r="D49" s="277"/>
      <c r="E49" s="277"/>
      <c r="F49" s="277"/>
      <c r="G49" s="277"/>
      <c r="H49" s="277"/>
      <c r="I49" s="277"/>
      <c r="J49" s="277"/>
      <c r="K49" s="277"/>
      <c r="L49" s="277"/>
      <c r="M49" s="279"/>
      <c r="N49" s="277"/>
      <c r="O49" s="291"/>
      <c r="P49" s="285"/>
      <c r="Q49" s="285"/>
      <c r="R49" s="285"/>
      <c r="S49" s="285"/>
      <c r="T49" s="285"/>
      <c r="U49" s="287"/>
      <c r="V49" s="277"/>
      <c r="W49" s="277"/>
      <c r="X49" s="277"/>
      <c r="Y49" s="277"/>
      <c r="Z49" s="277"/>
      <c r="AA49" s="277"/>
      <c r="AB49" s="277"/>
      <c r="AC49" s="277"/>
      <c r="AD49" s="279"/>
      <c r="AE49" s="328"/>
      <c r="AF49" s="328"/>
      <c r="AG49" s="328"/>
      <c r="AH49" s="328"/>
      <c r="AI49" s="328"/>
      <c r="AJ49" s="328"/>
      <c r="AK49" s="328"/>
      <c r="AL49" s="328"/>
    </row>
    <row r="50" spans="1:38" customFormat="1" ht="15" thickBot="1" x14ac:dyDescent="0.4">
      <c r="A50" s="328"/>
      <c r="B50" s="289"/>
      <c r="C50" s="277"/>
      <c r="D50" s="277"/>
      <c r="E50" s="277"/>
      <c r="F50" s="277"/>
      <c r="G50" s="277"/>
      <c r="H50" s="277"/>
      <c r="I50" s="277"/>
      <c r="J50" s="277"/>
      <c r="K50" s="277"/>
      <c r="L50" s="277"/>
      <c r="M50" s="279"/>
      <c r="N50" s="285"/>
      <c r="O50" s="285"/>
      <c r="P50" s="285"/>
      <c r="Q50" s="285"/>
      <c r="R50" s="285"/>
      <c r="S50" s="285"/>
      <c r="T50" s="285"/>
      <c r="U50" s="285"/>
      <c r="V50" s="285"/>
      <c r="W50" s="285"/>
      <c r="X50" s="285"/>
      <c r="Y50" s="285"/>
      <c r="Z50" s="285"/>
      <c r="AA50" s="285"/>
      <c r="AB50" s="285"/>
      <c r="AC50" s="285"/>
      <c r="AD50" s="287"/>
      <c r="AE50" s="328"/>
      <c r="AF50" s="328"/>
      <c r="AG50" s="328"/>
      <c r="AH50" s="328"/>
      <c r="AI50" s="328"/>
      <c r="AJ50" s="328"/>
      <c r="AK50" s="328"/>
      <c r="AL50" s="328"/>
    </row>
    <row r="51" spans="1:38" x14ac:dyDescent="0.35">
      <c r="A51" s="328"/>
      <c r="B51" s="289"/>
      <c r="C51" s="277"/>
      <c r="D51" s="277"/>
      <c r="E51" s="277"/>
      <c r="F51" s="277"/>
      <c r="G51" s="277"/>
      <c r="H51" s="277"/>
      <c r="I51" s="277"/>
      <c r="J51" s="277"/>
      <c r="K51" s="277"/>
      <c r="L51" s="277"/>
      <c r="M51" s="279"/>
    </row>
    <row r="52" spans="1:38" x14ac:dyDescent="0.35">
      <c r="A52" s="328"/>
      <c r="B52" s="289"/>
      <c r="C52" s="277"/>
      <c r="D52" s="277"/>
      <c r="E52" s="277"/>
      <c r="F52" s="277"/>
      <c r="G52" s="277"/>
      <c r="H52" s="277"/>
      <c r="I52" s="277"/>
      <c r="J52" s="277"/>
      <c r="K52" s="277"/>
      <c r="L52" s="277"/>
      <c r="M52" s="279"/>
    </row>
    <row r="53" spans="1:38" x14ac:dyDescent="0.35">
      <c r="A53" s="328"/>
      <c r="B53" s="289"/>
      <c r="C53" s="277"/>
      <c r="D53" s="277"/>
      <c r="E53" s="277"/>
      <c r="F53" s="277"/>
      <c r="G53" s="277"/>
      <c r="H53" s="277"/>
      <c r="I53" s="277"/>
      <c r="J53" s="277"/>
      <c r="K53" s="277"/>
      <c r="L53" s="277"/>
      <c r="M53" s="279"/>
    </row>
    <row r="54" spans="1:38" x14ac:dyDescent="0.35">
      <c r="A54" s="328"/>
      <c r="B54" s="289"/>
      <c r="C54" s="277"/>
      <c r="D54" s="277"/>
      <c r="E54" s="277"/>
      <c r="F54" s="277"/>
      <c r="G54" s="319" t="s">
        <v>305</v>
      </c>
      <c r="H54" s="277"/>
      <c r="I54" s="277"/>
      <c r="J54" s="277"/>
      <c r="K54" s="277"/>
      <c r="L54" s="277"/>
      <c r="M54" s="279"/>
    </row>
    <row r="55" spans="1:38" x14ac:dyDescent="0.35">
      <c r="A55" s="328"/>
      <c r="B55" s="289"/>
      <c r="C55" s="277"/>
      <c r="D55" s="277"/>
      <c r="E55" s="277"/>
      <c r="F55" s="277"/>
      <c r="G55" s="277"/>
      <c r="H55" s="277"/>
      <c r="I55" s="277"/>
      <c r="J55" s="277"/>
      <c r="K55" s="277"/>
      <c r="L55" s="277"/>
      <c r="M55" s="279"/>
    </row>
    <row r="56" spans="1:38" x14ac:dyDescent="0.35">
      <c r="A56" s="328"/>
      <c r="B56" s="289"/>
      <c r="C56" s="277"/>
      <c r="D56" s="277"/>
      <c r="E56" s="277"/>
      <c r="F56" s="277"/>
      <c r="G56" s="277"/>
      <c r="H56" s="277"/>
      <c r="I56" s="277"/>
      <c r="J56" s="277"/>
      <c r="K56" s="277"/>
      <c r="L56" s="277"/>
      <c r="M56" s="279"/>
    </row>
    <row r="57" spans="1:38" x14ac:dyDescent="0.35">
      <c r="A57" s="328"/>
      <c r="B57" s="289"/>
      <c r="C57" s="277"/>
      <c r="D57" s="277"/>
      <c r="E57" s="277"/>
      <c r="F57" s="277"/>
      <c r="G57" s="277"/>
      <c r="H57" s="277"/>
      <c r="I57" s="277"/>
      <c r="J57" s="277"/>
      <c r="K57" s="277"/>
      <c r="L57" s="277"/>
      <c r="M57" s="279"/>
    </row>
    <row r="58" spans="1:38" x14ac:dyDescent="0.35">
      <c r="A58" s="328"/>
      <c r="B58" s="289"/>
      <c r="C58" s="277"/>
      <c r="D58" s="277"/>
      <c r="E58" s="277"/>
      <c r="F58" s="277"/>
      <c r="G58" s="277"/>
      <c r="H58" s="277"/>
      <c r="I58" s="277"/>
      <c r="J58" s="277"/>
      <c r="K58" s="277"/>
      <c r="L58" s="277"/>
      <c r="M58" s="279"/>
    </row>
    <row r="59" spans="1:38" x14ac:dyDescent="0.35">
      <c r="A59" s="328"/>
      <c r="B59" s="289"/>
      <c r="C59" s="277"/>
      <c r="D59" s="277"/>
      <c r="E59" s="277"/>
      <c r="F59" s="277"/>
      <c r="G59" s="277"/>
      <c r="H59" s="277"/>
      <c r="I59" s="277"/>
      <c r="J59" s="277"/>
      <c r="K59" s="277"/>
      <c r="L59" s="277"/>
      <c r="M59" s="279"/>
    </row>
    <row r="60" spans="1:38" ht="15" thickBot="1" x14ac:dyDescent="0.4">
      <c r="A60" s="328"/>
      <c r="B60" s="289"/>
      <c r="C60" s="277"/>
      <c r="D60" s="277"/>
      <c r="E60" s="277"/>
      <c r="F60" s="277"/>
      <c r="G60" s="277"/>
      <c r="H60" s="277"/>
      <c r="I60" s="277"/>
      <c r="J60" s="277"/>
      <c r="K60" s="277"/>
      <c r="L60" s="277"/>
      <c r="M60" s="279"/>
    </row>
    <row r="61" spans="1:38" ht="15" thickBot="1" x14ac:dyDescent="0.4">
      <c r="A61" s="328"/>
      <c r="B61" s="300" t="s">
        <v>306</v>
      </c>
      <c r="C61" s="277"/>
      <c r="D61" s="277"/>
      <c r="E61" s="407" t="s">
        <v>314</v>
      </c>
      <c r="F61" s="408"/>
      <c r="G61" s="277"/>
      <c r="H61" s="277"/>
      <c r="I61" s="277"/>
      <c r="J61" s="277"/>
      <c r="K61" s="277"/>
      <c r="L61" s="277"/>
      <c r="M61" s="279"/>
    </row>
    <row r="62" spans="1:38" ht="15" thickBot="1" x14ac:dyDescent="0.4">
      <c r="A62" s="328"/>
      <c r="B62" s="289"/>
      <c r="C62" s="277"/>
      <c r="D62" s="277"/>
      <c r="E62" s="339" t="s">
        <v>312</v>
      </c>
      <c r="F62" s="340">
        <f>E71/10000</f>
        <v>0.6</v>
      </c>
      <c r="G62" s="277"/>
      <c r="H62" s="277"/>
      <c r="I62" s="277"/>
      <c r="J62" s="277"/>
      <c r="K62" s="277"/>
      <c r="L62" s="277"/>
      <c r="M62" s="279"/>
    </row>
    <row r="63" spans="1:38" ht="30.5" customHeight="1" thickBot="1" x14ac:dyDescent="0.5">
      <c r="A63" s="328"/>
      <c r="B63" s="326" t="str">
        <f>'Q3'!B82</f>
        <v>Cost of Equity</v>
      </c>
      <c r="C63" s="338">
        <f>'Q3'!D82</f>
        <v>5.8881900000000001E-2</v>
      </c>
      <c r="D63" s="277"/>
      <c r="E63" s="341" t="s">
        <v>313</v>
      </c>
      <c r="F63" s="342">
        <f>1-F62</f>
        <v>0.4</v>
      </c>
      <c r="G63" s="277"/>
      <c r="H63" s="277"/>
      <c r="I63" s="277"/>
      <c r="J63" s="277"/>
      <c r="K63" s="277"/>
      <c r="L63" s="277"/>
      <c r="M63" s="279"/>
    </row>
    <row r="64" spans="1:38" ht="14.5" customHeight="1" x14ac:dyDescent="0.35">
      <c r="A64" s="328"/>
      <c r="B64" s="289"/>
      <c r="C64" s="277"/>
      <c r="D64" s="277"/>
      <c r="E64" s="409" t="s">
        <v>315</v>
      </c>
      <c r="F64" s="410"/>
      <c r="G64" s="277"/>
      <c r="H64" s="277"/>
      <c r="I64" s="277"/>
      <c r="J64" s="277"/>
      <c r="K64" s="277"/>
      <c r="L64" s="277"/>
      <c r="M64" s="279"/>
    </row>
    <row r="65" spans="1:13" x14ac:dyDescent="0.35">
      <c r="A65" s="328"/>
      <c r="B65" s="300" t="s">
        <v>307</v>
      </c>
      <c r="C65" s="277"/>
      <c r="D65" s="277"/>
      <c r="E65" s="411"/>
      <c r="F65" s="412"/>
      <c r="G65" s="277"/>
      <c r="H65" s="277"/>
      <c r="I65" s="277"/>
      <c r="J65" s="277"/>
      <c r="K65" s="277"/>
      <c r="L65" s="277"/>
      <c r="M65" s="279"/>
    </row>
    <row r="66" spans="1:13" ht="15" thickBot="1" x14ac:dyDescent="0.4">
      <c r="A66" s="328"/>
      <c r="B66" s="289"/>
      <c r="C66" s="277"/>
      <c r="D66" s="277"/>
      <c r="E66" s="411"/>
      <c r="F66" s="412"/>
      <c r="G66" s="277"/>
      <c r="H66" s="277"/>
      <c r="I66" s="277"/>
      <c r="J66" s="277"/>
      <c r="K66" s="277"/>
      <c r="L66" s="277"/>
      <c r="M66" s="279"/>
    </row>
    <row r="67" spans="1:13" ht="39" customHeight="1" thickBot="1" x14ac:dyDescent="0.4">
      <c r="A67" s="328"/>
      <c r="B67" s="327" t="s">
        <v>308</v>
      </c>
      <c r="C67" s="324">
        <f>'Q3'!C97</f>
        <v>2306414.1177519364</v>
      </c>
      <c r="D67" s="319"/>
      <c r="E67" s="413"/>
      <c r="F67" s="414"/>
      <c r="G67" s="277"/>
      <c r="H67" s="277"/>
      <c r="I67" s="277"/>
      <c r="J67" s="277"/>
      <c r="K67" s="277"/>
      <c r="L67" s="277"/>
      <c r="M67" s="279"/>
    </row>
    <row r="68" spans="1:13" x14ac:dyDescent="0.35">
      <c r="A68" s="328"/>
      <c r="B68" s="289"/>
      <c r="C68" s="277"/>
      <c r="D68" s="277"/>
      <c r="E68" s="277"/>
      <c r="F68" s="277"/>
      <c r="G68" s="277"/>
      <c r="H68" s="277"/>
      <c r="I68" s="277"/>
      <c r="J68" s="277"/>
      <c r="K68" s="277"/>
      <c r="L68" s="277"/>
      <c r="M68" s="279"/>
    </row>
    <row r="69" spans="1:13" ht="15" thickBot="1" x14ac:dyDescent="0.4">
      <c r="A69" s="328"/>
      <c r="B69" s="291"/>
      <c r="C69" s="285"/>
      <c r="D69" s="285"/>
      <c r="E69" s="285"/>
      <c r="F69" s="285"/>
      <c r="G69" s="285"/>
      <c r="H69" s="285"/>
      <c r="I69" s="285"/>
      <c r="J69" s="285"/>
      <c r="K69" s="285"/>
      <c r="L69" s="285"/>
      <c r="M69" s="287"/>
    </row>
    <row r="70" spans="1:13" x14ac:dyDescent="0.35">
      <c r="A70" s="328"/>
      <c r="B70" s="328"/>
      <c r="C70" s="328"/>
      <c r="D70" s="328"/>
      <c r="E70" s="328"/>
      <c r="F70" s="328"/>
      <c r="G70" s="328"/>
      <c r="H70" s="328"/>
      <c r="I70" s="328"/>
      <c r="J70" s="328"/>
      <c r="K70" s="328"/>
      <c r="L70" s="328"/>
      <c r="M70" s="328"/>
    </row>
    <row r="71" spans="1:13" x14ac:dyDescent="0.35">
      <c r="A71" s="328"/>
      <c r="B71" s="328"/>
      <c r="C71" s="328"/>
      <c r="D71" s="328"/>
      <c r="E71" s="378">
        <v>6000</v>
      </c>
      <c r="F71" s="328"/>
      <c r="G71" s="328"/>
      <c r="H71" s="328"/>
      <c r="I71" s="328"/>
      <c r="J71" s="328"/>
      <c r="K71" s="328"/>
      <c r="L71" s="328"/>
      <c r="M71" s="328"/>
    </row>
    <row r="72" spans="1:13" x14ac:dyDescent="0.35">
      <c r="A72" s="328"/>
      <c r="B72" s="328"/>
      <c r="C72" s="328"/>
      <c r="D72" s="328"/>
      <c r="E72" s="328"/>
      <c r="F72" s="328"/>
      <c r="G72" s="328"/>
      <c r="H72" s="328"/>
      <c r="I72" s="328"/>
      <c r="J72" s="328"/>
      <c r="K72" s="328"/>
      <c r="L72" s="328"/>
      <c r="M72" s="328"/>
    </row>
    <row r="73" spans="1:13" x14ac:dyDescent="0.35">
      <c r="A73" s="328"/>
      <c r="B73" s="328"/>
      <c r="C73" s="328"/>
      <c r="D73" s="328"/>
      <c r="E73" s="328"/>
      <c r="F73" s="328"/>
      <c r="G73" s="328"/>
      <c r="H73" s="328"/>
      <c r="I73" s="328"/>
      <c r="J73" s="328"/>
      <c r="K73" s="328"/>
      <c r="L73" s="328"/>
      <c r="M73" s="328"/>
    </row>
    <row r="74" spans="1:13" x14ac:dyDescent="0.35">
      <c r="A74" s="328"/>
      <c r="B74" s="328"/>
      <c r="C74" s="328"/>
      <c r="D74" s="328"/>
      <c r="E74" s="328"/>
      <c r="F74" s="328"/>
      <c r="G74" s="328"/>
      <c r="H74" s="328"/>
      <c r="I74" s="328"/>
      <c r="J74" s="328"/>
      <c r="K74" s="328"/>
      <c r="L74" s="328"/>
      <c r="M74" s="328"/>
    </row>
    <row r="75" spans="1:13" x14ac:dyDescent="0.35">
      <c r="A75" s="328"/>
      <c r="B75" s="328"/>
      <c r="C75" s="328"/>
      <c r="D75" s="328"/>
      <c r="E75" s="328"/>
      <c r="F75" s="328"/>
      <c r="G75" s="328"/>
      <c r="H75" s="328"/>
      <c r="I75" s="328"/>
      <c r="J75" s="328"/>
      <c r="K75" s="328"/>
      <c r="L75" s="328"/>
      <c r="M75" s="328"/>
    </row>
    <row r="76" spans="1:13" x14ac:dyDescent="0.35">
      <c r="A76" s="328"/>
      <c r="B76" s="328"/>
      <c r="C76" s="328"/>
      <c r="D76" s="328"/>
      <c r="E76" s="328"/>
      <c r="F76" s="328"/>
      <c r="G76" s="328"/>
      <c r="H76" s="328"/>
      <c r="I76" s="328"/>
      <c r="J76" s="328"/>
      <c r="K76" s="328"/>
      <c r="L76" s="328"/>
      <c r="M76" s="328"/>
    </row>
    <row r="77" spans="1:13" x14ac:dyDescent="0.35">
      <c r="A77" s="328"/>
      <c r="B77" s="328"/>
      <c r="C77" s="328"/>
      <c r="D77" s="328"/>
      <c r="E77" s="328"/>
      <c r="F77" s="328"/>
      <c r="G77" s="328"/>
      <c r="H77" s="328"/>
      <c r="I77" s="328"/>
      <c r="J77" s="328"/>
      <c r="K77" s="328"/>
      <c r="L77" s="328"/>
      <c r="M77" s="328"/>
    </row>
    <row r="78" spans="1:13" x14ac:dyDescent="0.35">
      <c r="A78" s="328"/>
      <c r="B78" s="328"/>
      <c r="C78" s="328"/>
      <c r="D78" s="328"/>
      <c r="E78" s="328"/>
      <c r="F78" s="328"/>
      <c r="G78" s="328"/>
      <c r="H78" s="328"/>
      <c r="I78" s="328"/>
      <c r="J78" s="328"/>
      <c r="K78" s="328"/>
      <c r="L78" s="328"/>
      <c r="M78" s="328"/>
    </row>
    <row r="79" spans="1:13" x14ac:dyDescent="0.35">
      <c r="A79" s="328"/>
      <c r="B79" s="328"/>
      <c r="C79" s="328"/>
      <c r="D79" s="328"/>
      <c r="E79" s="328"/>
      <c r="F79" s="328"/>
      <c r="G79" s="328"/>
      <c r="H79" s="328"/>
      <c r="I79" s="328"/>
      <c r="J79" s="328"/>
      <c r="K79" s="328"/>
      <c r="L79" s="328"/>
      <c r="M79" s="328"/>
    </row>
    <row r="80" spans="1:13" x14ac:dyDescent="0.35">
      <c r="A80" s="328"/>
      <c r="B80" s="328"/>
      <c r="C80" s="328"/>
      <c r="D80" s="328"/>
      <c r="E80" s="328"/>
      <c r="F80" s="328"/>
      <c r="G80" s="328"/>
      <c r="H80" s="328"/>
      <c r="I80" s="328"/>
      <c r="J80" s="328"/>
      <c r="K80" s="328"/>
      <c r="L80" s="328"/>
      <c r="M80" s="328"/>
    </row>
    <row r="81" s="328" customFormat="1" x14ac:dyDescent="0.35"/>
    <row r="82" s="328" customFormat="1" x14ac:dyDescent="0.35"/>
    <row r="83" s="328" customFormat="1" x14ac:dyDescent="0.35"/>
    <row r="84" s="328" customFormat="1" x14ac:dyDescent="0.35"/>
    <row r="85" s="328" customFormat="1" x14ac:dyDescent="0.35"/>
    <row r="86" s="328" customFormat="1" x14ac:dyDescent="0.35"/>
    <row r="87" s="328" customFormat="1" x14ac:dyDescent="0.35"/>
    <row r="88" s="328" customFormat="1" x14ac:dyDescent="0.35"/>
    <row r="89" s="328" customFormat="1" x14ac:dyDescent="0.35"/>
    <row r="90" s="328" customFormat="1" x14ac:dyDescent="0.35"/>
    <row r="91" s="328" customFormat="1" x14ac:dyDescent="0.35"/>
    <row r="92" s="328" customFormat="1" x14ac:dyDescent="0.35"/>
    <row r="93" s="328" customFormat="1" x14ac:dyDescent="0.35"/>
    <row r="94" s="328" customFormat="1" x14ac:dyDescent="0.35"/>
    <row r="95" s="328" customFormat="1" x14ac:dyDescent="0.35"/>
    <row r="96" s="328" customFormat="1" x14ac:dyDescent="0.35"/>
    <row r="97" s="328" customFormat="1" x14ac:dyDescent="0.35"/>
    <row r="98" s="328" customFormat="1" x14ac:dyDescent="0.35"/>
    <row r="99" s="328" customFormat="1" x14ac:dyDescent="0.35"/>
    <row r="100" s="328" customFormat="1" x14ac:dyDescent="0.35"/>
    <row r="101" s="328" customFormat="1" x14ac:dyDescent="0.35"/>
    <row r="102" s="328" customFormat="1" x14ac:dyDescent="0.35"/>
  </sheetData>
  <mergeCells count="39">
    <mergeCell ref="Y46:AA46"/>
    <mergeCell ref="Y47:AA47"/>
    <mergeCell ref="C29:D30"/>
    <mergeCell ref="F29:G30"/>
    <mergeCell ref="I29:J30"/>
    <mergeCell ref="H30:H32"/>
    <mergeCell ref="K30:K32"/>
    <mergeCell ref="H35:I35"/>
    <mergeCell ref="AA39:AA42"/>
    <mergeCell ref="X38:Z38"/>
    <mergeCell ref="W40:W41"/>
    <mergeCell ref="E61:F61"/>
    <mergeCell ref="E64:F67"/>
    <mergeCell ref="B27:D28"/>
    <mergeCell ref="C21:D22"/>
    <mergeCell ref="E21:E22"/>
    <mergeCell ref="E30:E32"/>
    <mergeCell ref="G20:G22"/>
    <mergeCell ref="C7:D8"/>
    <mergeCell ref="E7:F8"/>
    <mergeCell ref="G7:G8"/>
    <mergeCell ref="B2:D2"/>
    <mergeCell ref="B4:C4"/>
    <mergeCell ref="B5:C5"/>
    <mergeCell ref="B18:C18"/>
    <mergeCell ref="D18:E18"/>
    <mergeCell ref="O2:Q2"/>
    <mergeCell ref="R5:R7"/>
    <mergeCell ref="V5:V7"/>
    <mergeCell ref="X5:X7"/>
    <mergeCell ref="R10:R12"/>
    <mergeCell ref="V10:V12"/>
    <mergeCell ref="Y4:Y13"/>
    <mergeCell ref="O15:Q15"/>
    <mergeCell ref="T15:V15"/>
    <mergeCell ref="Y15:AA15"/>
    <mergeCell ref="O25:Q25"/>
    <mergeCell ref="T25:V25"/>
    <mergeCell ref="Y25:AA2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8" r:id="rId3" name="Spinner 2">
              <controlPr defaultSize="0" autoPict="0">
                <anchor moveWithCells="1" sizeWithCells="1">
                  <from>
                    <xdr:col>3</xdr:col>
                    <xdr:colOff>12700</xdr:colOff>
                    <xdr:row>8</xdr:row>
                    <xdr:rowOff>19050</xdr:rowOff>
                  </from>
                  <to>
                    <xdr:col>3</xdr:col>
                    <xdr:colOff>920750</xdr:colOff>
                    <xdr:row>10</xdr:row>
                    <xdr:rowOff>152400</xdr:rowOff>
                  </to>
                </anchor>
              </controlPr>
            </control>
          </mc:Choice>
        </mc:AlternateContent>
        <mc:AlternateContent xmlns:mc="http://schemas.openxmlformats.org/markup-compatibility/2006">
          <mc:Choice Requires="x14">
            <control shapeId="4099" r:id="rId4" name="Spinner 3">
              <controlPr defaultSize="0" autoPict="0">
                <anchor moveWithCells="1" sizeWithCells="1">
                  <from>
                    <xdr:col>5</xdr:col>
                    <xdr:colOff>25400</xdr:colOff>
                    <xdr:row>8</xdr:row>
                    <xdr:rowOff>31750</xdr:rowOff>
                  </from>
                  <to>
                    <xdr:col>5</xdr:col>
                    <xdr:colOff>908050</xdr:colOff>
                    <xdr:row>10</xdr:row>
                    <xdr:rowOff>171450</xdr:rowOff>
                  </to>
                </anchor>
              </controlPr>
            </control>
          </mc:Choice>
        </mc:AlternateContent>
        <mc:AlternateContent xmlns:mc="http://schemas.openxmlformats.org/markup-compatibility/2006">
          <mc:Choice Requires="x14">
            <control shapeId="4101" r:id="rId5" name="Spinner 5">
              <controlPr defaultSize="0" autoPict="0">
                <anchor moveWithCells="1" sizeWithCells="1">
                  <from>
                    <xdr:col>5</xdr:col>
                    <xdr:colOff>12700</xdr:colOff>
                    <xdr:row>19</xdr:row>
                    <xdr:rowOff>31750</xdr:rowOff>
                  </from>
                  <to>
                    <xdr:col>5</xdr:col>
                    <xdr:colOff>933450</xdr:colOff>
                    <xdr:row>22</xdr:row>
                    <xdr:rowOff>0</xdr:rowOff>
                  </to>
                </anchor>
              </controlPr>
            </control>
          </mc:Choice>
        </mc:AlternateContent>
        <mc:AlternateContent xmlns:mc="http://schemas.openxmlformats.org/markup-compatibility/2006">
          <mc:Choice Requires="x14">
            <control shapeId="4103" r:id="rId6" name="Drop Down 7">
              <controlPr defaultSize="0" autoLine="0" autoPict="0">
                <anchor moveWithCells="1">
                  <from>
                    <xdr:col>14</xdr:col>
                    <xdr:colOff>38100</xdr:colOff>
                    <xdr:row>4</xdr:row>
                    <xdr:rowOff>12700</xdr:rowOff>
                  </from>
                  <to>
                    <xdr:col>16</xdr:col>
                    <xdr:colOff>558800</xdr:colOff>
                    <xdr:row>6</xdr:row>
                    <xdr:rowOff>228600</xdr:rowOff>
                  </to>
                </anchor>
              </controlPr>
            </control>
          </mc:Choice>
        </mc:AlternateContent>
        <mc:AlternateContent xmlns:mc="http://schemas.openxmlformats.org/markup-compatibility/2006">
          <mc:Choice Requires="x14">
            <control shapeId="4104" r:id="rId7" name="Drop Down 8">
              <controlPr defaultSize="0" autoLine="0" autoPict="0">
                <anchor moveWithCells="1">
                  <from>
                    <xdr:col>18</xdr:col>
                    <xdr:colOff>31750</xdr:colOff>
                    <xdr:row>4</xdr:row>
                    <xdr:rowOff>31750</xdr:rowOff>
                  </from>
                  <to>
                    <xdr:col>20</xdr:col>
                    <xdr:colOff>546100</xdr:colOff>
                    <xdr:row>6</xdr:row>
                    <xdr:rowOff>190500</xdr:rowOff>
                  </to>
                </anchor>
              </controlPr>
            </control>
          </mc:Choice>
        </mc:AlternateContent>
        <mc:AlternateContent xmlns:mc="http://schemas.openxmlformats.org/markup-compatibility/2006">
          <mc:Choice Requires="x14">
            <control shapeId="4105" r:id="rId8" name="Drop Down 9">
              <controlPr defaultSize="0" autoLine="0" autoPict="0">
                <anchor moveWithCells="1">
                  <from>
                    <xdr:col>22</xdr:col>
                    <xdr:colOff>50800</xdr:colOff>
                    <xdr:row>4</xdr:row>
                    <xdr:rowOff>50800</xdr:rowOff>
                  </from>
                  <to>
                    <xdr:col>22</xdr:col>
                    <xdr:colOff>1778000</xdr:colOff>
                    <xdr:row>6</xdr:row>
                    <xdr:rowOff>190500</xdr:rowOff>
                  </to>
                </anchor>
              </controlPr>
            </control>
          </mc:Choice>
        </mc:AlternateContent>
        <mc:AlternateContent xmlns:mc="http://schemas.openxmlformats.org/markup-compatibility/2006">
          <mc:Choice Requires="x14">
            <control shapeId="4106" r:id="rId9" name="Drop Down 10">
              <controlPr defaultSize="0" autoLine="0" autoPict="0">
                <anchor moveWithCells="1">
                  <from>
                    <xdr:col>14</xdr:col>
                    <xdr:colOff>57150</xdr:colOff>
                    <xdr:row>9</xdr:row>
                    <xdr:rowOff>50800</xdr:rowOff>
                  </from>
                  <to>
                    <xdr:col>16</xdr:col>
                    <xdr:colOff>596900</xdr:colOff>
                    <xdr:row>11</xdr:row>
                    <xdr:rowOff>165100</xdr:rowOff>
                  </to>
                </anchor>
              </controlPr>
            </control>
          </mc:Choice>
        </mc:AlternateContent>
        <mc:AlternateContent xmlns:mc="http://schemas.openxmlformats.org/markup-compatibility/2006">
          <mc:Choice Requires="x14">
            <control shapeId="4107" r:id="rId10" name="Drop Down 11">
              <controlPr defaultSize="0" autoLine="0" autoPict="0">
                <anchor moveWithCells="1">
                  <from>
                    <xdr:col>18</xdr:col>
                    <xdr:colOff>31750</xdr:colOff>
                    <xdr:row>9</xdr:row>
                    <xdr:rowOff>38100</xdr:rowOff>
                  </from>
                  <to>
                    <xdr:col>20</xdr:col>
                    <xdr:colOff>546100</xdr:colOff>
                    <xdr:row>11</xdr:row>
                    <xdr:rowOff>152400</xdr:rowOff>
                  </to>
                </anchor>
              </controlPr>
            </control>
          </mc:Choice>
        </mc:AlternateContent>
        <mc:AlternateContent xmlns:mc="http://schemas.openxmlformats.org/markup-compatibility/2006">
          <mc:Choice Requires="x14">
            <control shapeId="4108" r:id="rId11" name="Drop Down 12">
              <controlPr defaultSize="0" autoLine="0" autoPict="0">
                <anchor moveWithCells="1">
                  <from>
                    <xdr:col>23</xdr:col>
                    <xdr:colOff>38100</xdr:colOff>
                    <xdr:row>38</xdr:row>
                    <xdr:rowOff>88900</xdr:rowOff>
                  </from>
                  <to>
                    <xdr:col>24</xdr:col>
                    <xdr:colOff>1168400</xdr:colOff>
                    <xdr:row>41</xdr:row>
                    <xdr:rowOff>107950</xdr:rowOff>
                  </to>
                </anchor>
              </controlPr>
            </control>
          </mc:Choice>
        </mc:AlternateContent>
        <mc:AlternateContent xmlns:mc="http://schemas.openxmlformats.org/markup-compatibility/2006">
          <mc:Choice Requires="x14">
            <control shapeId="4109" r:id="rId12" name="Drop Down 13">
              <controlPr defaultSize="0" autoLine="0" autoPict="0">
                <anchor moveWithCells="1">
                  <from>
                    <xdr:col>2</xdr:col>
                    <xdr:colOff>844550</xdr:colOff>
                    <xdr:row>30</xdr:row>
                    <xdr:rowOff>25400</xdr:rowOff>
                  </from>
                  <to>
                    <xdr:col>4</xdr:col>
                    <xdr:colOff>228600</xdr:colOff>
                    <xdr:row>32</xdr:row>
                    <xdr:rowOff>63500</xdr:rowOff>
                  </to>
                </anchor>
              </controlPr>
            </control>
          </mc:Choice>
        </mc:AlternateContent>
        <mc:AlternateContent xmlns:mc="http://schemas.openxmlformats.org/markup-compatibility/2006">
          <mc:Choice Requires="x14">
            <control shapeId="4110" r:id="rId13" name="Drop Down 14">
              <controlPr defaultSize="0" autoLine="0" autoPict="0">
                <anchor moveWithCells="1">
                  <from>
                    <xdr:col>5</xdr:col>
                    <xdr:colOff>273050</xdr:colOff>
                    <xdr:row>29</xdr:row>
                    <xdr:rowOff>139700</xdr:rowOff>
                  </from>
                  <to>
                    <xdr:col>7</xdr:col>
                    <xdr:colOff>38100</xdr:colOff>
                    <xdr:row>32</xdr:row>
                    <xdr:rowOff>25400</xdr:rowOff>
                  </to>
                </anchor>
              </controlPr>
            </control>
          </mc:Choice>
        </mc:AlternateContent>
        <mc:AlternateContent xmlns:mc="http://schemas.openxmlformats.org/markup-compatibility/2006">
          <mc:Choice Requires="x14">
            <control shapeId="4111" r:id="rId14" name="Drop Down 15">
              <controlPr defaultSize="0" autoLine="0" autoPict="0">
                <anchor moveWithCells="1">
                  <from>
                    <xdr:col>8</xdr:col>
                    <xdr:colOff>107950</xdr:colOff>
                    <xdr:row>29</xdr:row>
                    <xdr:rowOff>165100</xdr:rowOff>
                  </from>
                  <to>
                    <xdr:col>10</xdr:col>
                    <xdr:colOff>44450</xdr:colOff>
                    <xdr:row>32</xdr:row>
                    <xdr:rowOff>38100</xdr:rowOff>
                  </to>
                </anchor>
              </controlPr>
            </control>
          </mc:Choice>
        </mc:AlternateContent>
        <mc:AlternateContent xmlns:mc="http://schemas.openxmlformats.org/markup-compatibility/2006">
          <mc:Choice Requires="x14">
            <control shapeId="4113" r:id="rId15" name="Spinner 17">
              <controlPr defaultSize="0" autoPict="0">
                <anchor moveWithCells="1" sizeWithCells="1">
                  <from>
                    <xdr:col>5</xdr:col>
                    <xdr:colOff>704850</xdr:colOff>
                    <xdr:row>59</xdr:row>
                    <xdr:rowOff>95250</xdr:rowOff>
                  </from>
                  <to>
                    <xdr:col>6</xdr:col>
                    <xdr:colOff>203200</xdr:colOff>
                    <xdr:row>63</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E3E6-760B-47F6-AD89-E445A43756FA}">
  <dimension ref="A1:T95"/>
  <sheetViews>
    <sheetView showGridLines="0" topLeftCell="A34" zoomScale="60" workbookViewId="0">
      <selection activeCell="C45" sqref="C45"/>
    </sheetView>
  </sheetViews>
  <sheetFormatPr defaultRowHeight="14.5" x14ac:dyDescent="0.35"/>
  <cols>
    <col min="2" max="2" width="29.90625" customWidth="1"/>
    <col min="3" max="3" width="14.26953125" customWidth="1"/>
    <col min="4" max="4" width="10.453125" customWidth="1"/>
    <col min="5" max="5" width="10.453125" hidden="1" customWidth="1"/>
    <col min="6" max="6" width="14.1796875" bestFit="1" customWidth="1"/>
    <col min="7" max="8" width="10.453125" bestFit="1" customWidth="1"/>
    <col min="9" max="11" width="11.36328125" bestFit="1" customWidth="1"/>
    <col min="13" max="13" width="12" customWidth="1"/>
    <col min="16" max="16" width="11.7265625" customWidth="1"/>
  </cols>
  <sheetData>
    <row r="1" spans="1:11" x14ac:dyDescent="0.35">
      <c r="B1" s="436" t="s">
        <v>49</v>
      </c>
      <c r="C1" s="437"/>
      <c r="D1" s="437"/>
      <c r="E1" s="437"/>
      <c r="F1" s="437"/>
      <c r="G1" s="437"/>
      <c r="H1" s="437"/>
      <c r="I1" s="437"/>
      <c r="J1" s="437"/>
      <c r="K1" s="438"/>
    </row>
    <row r="2" spans="1:11" x14ac:dyDescent="0.35">
      <c r="B2" s="439"/>
      <c r="C2" s="440"/>
      <c r="D2" s="440"/>
      <c r="E2" s="440"/>
      <c r="F2" s="440"/>
      <c r="G2" s="440"/>
      <c r="H2" s="440"/>
      <c r="I2" s="440"/>
      <c r="J2" s="440"/>
      <c r="K2" s="441"/>
    </row>
    <row r="3" spans="1:11" ht="15" thickBot="1" x14ac:dyDescent="0.4">
      <c r="B3" s="442"/>
      <c r="C3" s="443"/>
      <c r="D3" s="443"/>
      <c r="E3" s="443"/>
      <c r="F3" s="443"/>
      <c r="G3" s="443"/>
      <c r="H3" s="443"/>
      <c r="I3" s="443"/>
      <c r="J3" s="443"/>
      <c r="K3" s="444"/>
    </row>
    <row r="4" spans="1:11" ht="18.5" customHeight="1" thickBot="1" x14ac:dyDescent="0.4"/>
    <row r="5" spans="1:11" ht="15" thickBot="1" x14ac:dyDescent="0.4">
      <c r="B5" s="15" t="s">
        <v>2</v>
      </c>
      <c r="C5" s="53" t="s">
        <v>1</v>
      </c>
      <c r="D5" s="54" t="s">
        <v>0</v>
      </c>
      <c r="E5" s="17">
        <v>2024</v>
      </c>
      <c r="F5" s="17">
        <v>2025</v>
      </c>
      <c r="G5" s="17">
        <v>2026</v>
      </c>
      <c r="H5" s="17">
        <v>2027</v>
      </c>
      <c r="I5" s="17">
        <v>2028</v>
      </c>
      <c r="J5" s="17">
        <v>2029</v>
      </c>
      <c r="K5" s="16">
        <v>2030</v>
      </c>
    </row>
    <row r="6" spans="1:11" x14ac:dyDescent="0.35">
      <c r="B6" s="18" t="s">
        <v>46</v>
      </c>
      <c r="C6" s="19" t="s">
        <v>270</v>
      </c>
      <c r="D6" s="20"/>
      <c r="E6" s="21">
        <f>Population!C7</f>
        <v>251.26916399999999</v>
      </c>
      <c r="F6" s="21">
        <f>Population!C6</f>
        <v>255.21955399999999</v>
      </c>
      <c r="G6" s="21">
        <f>F6*(1+$D$7)</f>
        <v>261.54616316637777</v>
      </c>
      <c r="H6" s="21">
        <f t="shared" ref="H6:K6" si="0">G6*(1+$D$7)</f>
        <v>268.02960194442431</v>
      </c>
      <c r="I6" s="21">
        <f t="shared" si="0"/>
        <v>274.6737579659578</v>
      </c>
      <c r="J6" s="21">
        <f t="shared" si="0"/>
        <v>281.48261523286953</v>
      </c>
      <c r="K6" s="22">
        <f t="shared" si="0"/>
        <v>288.46025650603104</v>
      </c>
    </row>
    <row r="7" spans="1:11" x14ac:dyDescent="0.35">
      <c r="B7" s="18" t="s">
        <v>4</v>
      </c>
      <c r="C7" s="19"/>
      <c r="D7" s="23">
        <f>Population!D24</f>
        <v>2.4788888888888892E-2</v>
      </c>
      <c r="E7" s="24"/>
      <c r="F7" s="25"/>
      <c r="G7" s="25"/>
      <c r="H7" s="25"/>
      <c r="I7" s="25"/>
      <c r="J7" s="25"/>
      <c r="K7" s="20"/>
    </row>
    <row r="8" spans="1:11" ht="29" x14ac:dyDescent="0.35">
      <c r="B8" s="337" t="s">
        <v>5</v>
      </c>
      <c r="C8" s="19"/>
      <c r="D8" s="20"/>
      <c r="E8" s="25">
        <f>E10/E6</f>
        <v>0.50793401871627997</v>
      </c>
      <c r="F8" s="25">
        <f>E8*(1+$D$9)</f>
        <v>0.5130133589034428</v>
      </c>
      <c r="G8" s="25">
        <f t="shared" ref="G8:K8" si="1">F8*(1+$D$9)</f>
        <v>0.51814349249247726</v>
      </c>
      <c r="H8" s="25">
        <f t="shared" si="1"/>
        <v>0.523324927417402</v>
      </c>
      <c r="I8" s="25">
        <f t="shared" si="1"/>
        <v>0.52855817669157601</v>
      </c>
      <c r="J8" s="25">
        <f t="shared" si="1"/>
        <v>0.53384375845849175</v>
      </c>
      <c r="K8" s="20">
        <f t="shared" si="1"/>
        <v>0.53918219604307671</v>
      </c>
    </row>
    <row r="9" spans="1:11" x14ac:dyDescent="0.35">
      <c r="B9" s="18" t="s">
        <v>6</v>
      </c>
      <c r="C9" s="19"/>
      <c r="D9" s="26">
        <v>0.01</v>
      </c>
      <c r="E9" s="25"/>
      <c r="F9" s="27"/>
      <c r="G9" s="27"/>
      <c r="H9" s="27"/>
      <c r="I9" s="27"/>
      <c r="J9" s="27"/>
      <c r="K9" s="20"/>
    </row>
    <row r="10" spans="1:11" ht="16.5" customHeight="1" x14ac:dyDescent="0.35">
      <c r="B10" s="18" t="s">
        <v>7</v>
      </c>
      <c r="C10" s="159" t="s">
        <v>45</v>
      </c>
      <c r="D10" s="20"/>
      <c r="E10" s="25">
        <f>Population!C30</f>
        <v>127.62815625000002</v>
      </c>
      <c r="F10" s="25">
        <f>F8*F6</f>
        <v>130.93104065537858</v>
      </c>
      <c r="G10" s="25">
        <f t="shared" ref="G10:K10" si="2">G8*G6</f>
        <v>135.51844243103429</v>
      </c>
      <c r="H10" s="25">
        <f t="shared" si="2"/>
        <v>140.26657198328101</v>
      </c>
      <c r="I10" s="25">
        <f t="shared" si="2"/>
        <v>145.1810606955099</v>
      </c>
      <c r="J10" s="25">
        <f t="shared" si="2"/>
        <v>150.26773725664057</v>
      </c>
      <c r="K10" s="20">
        <f t="shared" si="2"/>
        <v>155.53263457407101</v>
      </c>
    </row>
    <row r="11" spans="1:11" ht="16" x14ac:dyDescent="0.35">
      <c r="A11" s="160"/>
      <c r="B11" s="18"/>
      <c r="C11" s="19"/>
      <c r="D11" s="20"/>
      <c r="E11" s="25"/>
      <c r="F11" s="25"/>
      <c r="G11" s="25"/>
      <c r="H11" s="25"/>
      <c r="I11" s="25"/>
      <c r="J11" s="25"/>
      <c r="K11" s="20"/>
    </row>
    <row r="12" spans="1:11" ht="16.5" thickBot="1" x14ac:dyDescent="0.4">
      <c r="A12" s="160" t="s">
        <v>271</v>
      </c>
      <c r="B12" s="28" t="s">
        <v>8</v>
      </c>
      <c r="C12" s="29"/>
      <c r="D12" s="30"/>
      <c r="E12" s="31"/>
      <c r="F12" s="31">
        <f t="shared" ref="F12:K12" si="3">F10*F19*F34+F35*F24*F10+F10*F31*F36</f>
        <v>125119.32544963789</v>
      </c>
      <c r="G12" s="31">
        <f t="shared" si="3"/>
        <v>138937.83771447375</v>
      </c>
      <c r="H12" s="31">
        <f t="shared" si="3"/>
        <v>153802.19616447328</v>
      </c>
      <c r="I12" s="31">
        <f t="shared" si="3"/>
        <v>173730.41273037207</v>
      </c>
      <c r="J12" s="31">
        <f t="shared" si="3"/>
        <v>191505.49542308686</v>
      </c>
      <c r="K12" s="30">
        <f t="shared" si="3"/>
        <v>212004.36384164513</v>
      </c>
    </row>
    <row r="13" spans="1:11" ht="16" x14ac:dyDescent="0.35">
      <c r="A13" s="160"/>
    </row>
    <row r="14" spans="1:11" ht="16.5" thickBot="1" x14ac:dyDescent="0.4">
      <c r="A14" s="160"/>
    </row>
    <row r="15" spans="1:11" ht="16.5" thickBot="1" x14ac:dyDescent="0.4">
      <c r="A15" s="160"/>
      <c r="B15" s="32" t="s">
        <v>47</v>
      </c>
      <c r="C15" s="33"/>
      <c r="D15" s="33"/>
      <c r="E15" s="33"/>
      <c r="F15" s="33"/>
      <c r="G15" s="33"/>
      <c r="H15" s="33"/>
      <c r="I15" s="33"/>
      <c r="J15" s="33"/>
      <c r="K15" s="34"/>
    </row>
    <row r="16" spans="1:11" ht="16" x14ac:dyDescent="0.35">
      <c r="A16" s="160"/>
      <c r="B16" s="35" t="s">
        <v>48</v>
      </c>
      <c r="C16" s="25" t="s">
        <v>56</v>
      </c>
      <c r="D16" s="25"/>
      <c r="E16" s="25"/>
      <c r="F16" s="35">
        <v>6290</v>
      </c>
      <c r="G16" s="25"/>
      <c r="H16" s="25"/>
      <c r="I16" s="25"/>
      <c r="J16" s="25"/>
      <c r="K16" s="20"/>
    </row>
    <row r="17" spans="1:11" ht="16" x14ac:dyDescent="0.35">
      <c r="A17" s="160"/>
      <c r="B17" s="36" t="s">
        <v>49</v>
      </c>
      <c r="C17" s="25" t="s">
        <v>57</v>
      </c>
      <c r="D17" s="25"/>
      <c r="E17" s="25"/>
      <c r="F17" s="36">
        <v>4500</v>
      </c>
      <c r="G17" s="25"/>
      <c r="H17" s="25"/>
      <c r="I17" s="25"/>
      <c r="J17" s="25"/>
      <c r="K17" s="20"/>
    </row>
    <row r="18" spans="1:11" ht="16.5" thickBot="1" x14ac:dyDescent="0.4">
      <c r="A18" s="160"/>
      <c r="B18" s="36" t="s">
        <v>60</v>
      </c>
      <c r="C18" s="25" t="s">
        <v>61</v>
      </c>
      <c r="D18" s="25"/>
      <c r="E18" s="25"/>
      <c r="F18" s="36" t="s">
        <v>93</v>
      </c>
      <c r="G18" s="25"/>
      <c r="H18" s="25"/>
      <c r="I18" s="25"/>
      <c r="J18" s="25"/>
      <c r="K18" s="20"/>
    </row>
    <row r="19" spans="1:11" ht="16.5" thickBot="1" x14ac:dyDescent="0.4">
      <c r="A19" s="160"/>
      <c r="B19" s="37" t="s">
        <v>50</v>
      </c>
      <c r="C19" s="31"/>
      <c r="D19" s="31"/>
      <c r="E19" s="31"/>
      <c r="F19" s="38">
        <f>AVERAGE(F16:F18)</f>
        <v>5395</v>
      </c>
      <c r="G19" s="39">
        <f>F19*(1+G39)</f>
        <v>5812.5729999999994</v>
      </c>
      <c r="H19" s="39">
        <f t="shared" ref="H19:J19" si="4">G19*(1+H39)</f>
        <v>6190.3902449999987</v>
      </c>
      <c r="I19" s="39">
        <f t="shared" si="4"/>
        <v>6592.7656109249983</v>
      </c>
      <c r="J19" s="39">
        <f t="shared" si="4"/>
        <v>7021.2953756351226</v>
      </c>
      <c r="K19" s="40">
        <f>J19*(1+K39)</f>
        <v>7463.6369843001348</v>
      </c>
    </row>
    <row r="20" spans="1:11" ht="16.5" thickBot="1" x14ac:dyDescent="0.4">
      <c r="A20" s="160"/>
    </row>
    <row r="21" spans="1:11" ht="16.5" thickBot="1" x14ac:dyDescent="0.4">
      <c r="A21" s="160"/>
      <c r="B21" s="32" t="s">
        <v>51</v>
      </c>
      <c r="C21" s="33"/>
      <c r="D21" s="33"/>
      <c r="E21" s="33"/>
      <c r="F21" s="33"/>
      <c r="G21" s="33"/>
      <c r="H21" s="33"/>
      <c r="I21" s="33"/>
      <c r="J21" s="33"/>
      <c r="K21" s="34"/>
    </row>
    <row r="22" spans="1:11" ht="16" x14ac:dyDescent="0.35">
      <c r="A22" s="160"/>
      <c r="B22" s="35" t="s">
        <v>62</v>
      </c>
      <c r="C22" s="25" t="s">
        <v>63</v>
      </c>
      <c r="D22" s="25"/>
      <c r="E22" s="25"/>
      <c r="F22" s="35">
        <v>1045</v>
      </c>
      <c r="G22" s="25"/>
      <c r="H22" s="25"/>
      <c r="I22" s="25"/>
      <c r="J22" s="25"/>
      <c r="K22" s="20"/>
    </row>
    <row r="23" spans="1:11" ht="16.5" thickBot="1" x14ac:dyDescent="0.4">
      <c r="A23" s="160"/>
      <c r="B23" s="36" t="s">
        <v>64</v>
      </c>
      <c r="C23" s="25" t="s">
        <v>65</v>
      </c>
      <c r="D23" s="25"/>
      <c r="E23" s="25"/>
      <c r="F23" s="36">
        <v>1100</v>
      </c>
      <c r="G23" s="25"/>
      <c r="H23" s="25"/>
      <c r="I23" s="25"/>
      <c r="J23" s="25"/>
      <c r="K23" s="20"/>
    </row>
    <row r="24" spans="1:11" ht="16.5" thickBot="1" x14ac:dyDescent="0.4">
      <c r="A24" s="160"/>
      <c r="B24" s="37" t="s">
        <v>88</v>
      </c>
      <c r="C24" s="31"/>
      <c r="D24" s="31"/>
      <c r="E24" s="31"/>
      <c r="F24" s="38">
        <f>AVERAGE(F22:F23)</f>
        <v>1072.5</v>
      </c>
      <c r="G24" s="39">
        <f>F24*(1+G39)</f>
        <v>1155.5114999999998</v>
      </c>
      <c r="H24" s="39">
        <f t="shared" ref="H24:K24" si="5">G24*(1+H39)</f>
        <v>1230.6197474999997</v>
      </c>
      <c r="I24" s="39">
        <f t="shared" si="5"/>
        <v>1310.6100310874997</v>
      </c>
      <c r="J24" s="39">
        <f t="shared" si="5"/>
        <v>1395.7996831081871</v>
      </c>
      <c r="K24" s="40">
        <f t="shared" si="5"/>
        <v>1483.7350631440029</v>
      </c>
    </row>
    <row r="25" spans="1:11" ht="16.5" thickBot="1" x14ac:dyDescent="0.4">
      <c r="A25" s="160"/>
    </row>
    <row r="26" spans="1:11" ht="16.5" thickBot="1" x14ac:dyDescent="0.4">
      <c r="A26" s="160"/>
      <c r="B26" s="32" t="s">
        <v>52</v>
      </c>
      <c r="C26" s="33"/>
      <c r="D26" s="33"/>
      <c r="E26" s="33"/>
      <c r="F26" s="33"/>
      <c r="G26" s="33"/>
      <c r="H26" s="33"/>
      <c r="I26" s="33"/>
      <c r="J26" s="33"/>
      <c r="K26" s="34"/>
    </row>
    <row r="27" spans="1:11" ht="16" x14ac:dyDescent="0.35">
      <c r="A27" s="160"/>
      <c r="B27" s="35" t="s">
        <v>69</v>
      </c>
      <c r="C27" s="25" t="s">
        <v>68</v>
      </c>
      <c r="D27" s="25"/>
      <c r="E27" s="25"/>
      <c r="F27" s="35">
        <f>106*2/3</f>
        <v>70.666666666666671</v>
      </c>
      <c r="G27" s="25"/>
      <c r="H27" s="25"/>
      <c r="I27" s="25"/>
      <c r="J27" s="25"/>
      <c r="K27" s="20"/>
    </row>
    <row r="28" spans="1:11" ht="16" x14ac:dyDescent="0.35">
      <c r="A28" s="160"/>
      <c r="B28" s="36" t="s">
        <v>67</v>
      </c>
      <c r="C28" s="25" t="s">
        <v>66</v>
      </c>
      <c r="D28" s="25"/>
      <c r="E28" s="25"/>
      <c r="F28" s="36">
        <f>685/0.8</f>
        <v>856.25</v>
      </c>
      <c r="G28" s="25"/>
      <c r="H28" s="25"/>
      <c r="I28" s="25"/>
      <c r="J28" s="25"/>
      <c r="K28" s="20"/>
    </row>
    <row r="29" spans="1:11" ht="16" x14ac:dyDescent="0.35">
      <c r="A29" s="160"/>
      <c r="B29" s="36" t="s">
        <v>70</v>
      </c>
      <c r="C29" s="25" t="s">
        <v>71</v>
      </c>
      <c r="D29" s="25"/>
      <c r="E29" s="25"/>
      <c r="F29" s="36">
        <f>700/0.7</f>
        <v>1000.0000000000001</v>
      </c>
      <c r="G29" s="25"/>
      <c r="H29" s="25"/>
      <c r="I29" s="25"/>
      <c r="J29" s="25"/>
      <c r="K29" s="20"/>
    </row>
    <row r="30" spans="1:11" ht="16.5" thickBot="1" x14ac:dyDescent="0.4">
      <c r="A30" s="160"/>
      <c r="B30" s="36" t="s">
        <v>73</v>
      </c>
      <c r="C30" s="25" t="s">
        <v>72</v>
      </c>
      <c r="D30" s="25"/>
      <c r="E30" s="25"/>
      <c r="F30" s="36">
        <v>750</v>
      </c>
      <c r="G30" s="25"/>
      <c r="H30" s="25"/>
      <c r="I30" s="25"/>
      <c r="J30" s="25"/>
      <c r="K30" s="20"/>
    </row>
    <row r="31" spans="1:11" ht="16.5" thickBot="1" x14ac:dyDescent="0.4">
      <c r="A31" s="160"/>
      <c r="B31" s="37" t="s">
        <v>53</v>
      </c>
      <c r="C31" s="31"/>
      <c r="D31" s="31"/>
      <c r="E31" s="31"/>
      <c r="F31" s="38">
        <f>AVERAGE(F27:F30)</f>
        <v>669.22916666666674</v>
      </c>
      <c r="G31" s="39">
        <f>F31*(1+G39)</f>
        <v>721.02750416666674</v>
      </c>
      <c r="H31" s="39">
        <f t="shared" ref="H31:K31" si="6">G31*(1+H39)</f>
        <v>767.89429193750004</v>
      </c>
      <c r="I31" s="39">
        <f t="shared" si="6"/>
        <v>817.80742091343745</v>
      </c>
      <c r="J31" s="39">
        <f t="shared" si="6"/>
        <v>870.96490327281083</v>
      </c>
      <c r="K31" s="40">
        <f t="shared" si="6"/>
        <v>925.83569217899787</v>
      </c>
    </row>
    <row r="32" spans="1:11" ht="16.5" thickBot="1" x14ac:dyDescent="0.4">
      <c r="A32" s="160"/>
    </row>
    <row r="33" spans="1:13" ht="16.5" thickBot="1" x14ac:dyDescent="0.4">
      <c r="A33" s="160"/>
      <c r="B33" s="41" t="s">
        <v>54</v>
      </c>
      <c r="C33" s="33"/>
      <c r="D33" s="33"/>
      <c r="E33" s="33"/>
      <c r="F33" s="33"/>
      <c r="G33" s="33"/>
      <c r="H33" s="33"/>
      <c r="I33" s="33"/>
      <c r="J33" s="33"/>
      <c r="K33" s="34"/>
    </row>
    <row r="34" spans="1:13" ht="16" x14ac:dyDescent="0.35">
      <c r="A34" s="160"/>
      <c r="B34" s="32" t="s">
        <v>55</v>
      </c>
      <c r="C34" s="25"/>
      <c r="D34" s="347">
        <f>'Quick Answer View '!C10</f>
        <v>3.5000000000000003E-2</v>
      </c>
      <c r="E34" s="25"/>
      <c r="F34" s="347">
        <f>$D$34</f>
        <v>3.5000000000000003E-2</v>
      </c>
      <c r="G34" s="347">
        <f t="shared" ref="G34:H34" si="7">$D$34</f>
        <v>3.5000000000000003E-2</v>
      </c>
      <c r="H34" s="347">
        <f t="shared" si="7"/>
        <v>3.5000000000000003E-2</v>
      </c>
      <c r="I34" s="347">
        <f>$D$34+0.5%</f>
        <v>0.04</v>
      </c>
      <c r="J34" s="347">
        <f>I34</f>
        <v>0.04</v>
      </c>
      <c r="K34" s="42">
        <f>$D$34+0.5%</f>
        <v>0.04</v>
      </c>
      <c r="L34" s="352"/>
      <c r="M34" s="349" t="s">
        <v>285</v>
      </c>
    </row>
    <row r="35" spans="1:13" ht="16" x14ac:dyDescent="0.35">
      <c r="A35" s="160"/>
      <c r="B35" s="43" t="s">
        <v>51</v>
      </c>
      <c r="C35" s="25"/>
      <c r="D35" s="347">
        <f>'Quick Answer View '!E10</f>
        <v>0.3</v>
      </c>
      <c r="E35" s="25"/>
      <c r="F35" s="347">
        <f>$D$35</f>
        <v>0.3</v>
      </c>
      <c r="G35" s="347">
        <f>$D$35-1%</f>
        <v>0.28999999999999998</v>
      </c>
      <c r="H35" s="347">
        <f t="shared" ref="H35:J35" si="8">$D$35</f>
        <v>0.3</v>
      </c>
      <c r="I35" s="347">
        <f t="shared" si="8"/>
        <v>0.3</v>
      </c>
      <c r="J35" s="347">
        <f t="shared" si="8"/>
        <v>0.3</v>
      </c>
      <c r="K35" s="42">
        <f>$D$35+1.5%</f>
        <v>0.315</v>
      </c>
      <c r="L35" s="25"/>
      <c r="M35" s="350" t="s">
        <v>286</v>
      </c>
    </row>
    <row r="36" spans="1:13" ht="16.5" thickBot="1" x14ac:dyDescent="0.4">
      <c r="A36" s="160"/>
      <c r="B36" s="37" t="s">
        <v>52</v>
      </c>
      <c r="C36" s="31"/>
      <c r="D36" s="44">
        <f>1-D34-D35</f>
        <v>0.66500000000000004</v>
      </c>
      <c r="E36" s="31"/>
      <c r="F36" s="44">
        <f>$D$36</f>
        <v>0.66500000000000004</v>
      </c>
      <c r="G36" s="44">
        <f>$D$36+1%</f>
        <v>0.67500000000000004</v>
      </c>
      <c r="H36" s="44">
        <f t="shared" ref="H36" si="9">$D$36</f>
        <v>0.66500000000000004</v>
      </c>
      <c r="I36" s="44">
        <f>$D$36-0.5%</f>
        <v>0.66</v>
      </c>
      <c r="J36" s="44">
        <f>I36</f>
        <v>0.66</v>
      </c>
      <c r="K36" s="348">
        <f>$D$36-2%</f>
        <v>0.64500000000000002</v>
      </c>
      <c r="L36" s="353"/>
      <c r="M36" s="351" t="s">
        <v>287</v>
      </c>
    </row>
    <row r="37" spans="1:13" ht="16" x14ac:dyDescent="0.35">
      <c r="A37" s="160"/>
    </row>
    <row r="38" spans="1:13" ht="16.5" thickBot="1" x14ac:dyDescent="0.4">
      <c r="A38" s="160"/>
    </row>
    <row r="39" spans="1:13" ht="16.5" thickBot="1" x14ac:dyDescent="0.4">
      <c r="A39" s="160"/>
      <c r="B39" s="15" t="s">
        <v>58</v>
      </c>
      <c r="C39" s="39" t="s">
        <v>59</v>
      </c>
      <c r="D39" s="17"/>
      <c r="E39" s="17"/>
      <c r="F39" s="45">
        <v>5.1299999999999998E-2</v>
      </c>
      <c r="G39" s="45">
        <v>7.7399999999999997E-2</v>
      </c>
      <c r="H39" s="45">
        <v>6.5000000000000002E-2</v>
      </c>
      <c r="I39" s="45">
        <v>6.5000000000000002E-2</v>
      </c>
      <c r="J39" s="45">
        <v>6.5000000000000002E-2</v>
      </c>
      <c r="K39" s="46">
        <v>6.3E-2</v>
      </c>
    </row>
    <row r="40" spans="1:13" ht="16" x14ac:dyDescent="0.35">
      <c r="A40" s="160"/>
      <c r="B40" s="11"/>
      <c r="C40" s="11"/>
      <c r="D40" s="11"/>
      <c r="E40" s="11"/>
      <c r="F40" s="12"/>
      <c r="G40" s="12"/>
      <c r="H40" s="12"/>
      <c r="I40" s="12"/>
      <c r="J40" s="12"/>
      <c r="K40" s="12"/>
    </row>
    <row r="41" spans="1:13" ht="16.5" thickBot="1" x14ac:dyDescent="0.4">
      <c r="A41" s="160"/>
      <c r="B41" s="11"/>
      <c r="C41" s="11"/>
      <c r="D41" s="11"/>
      <c r="E41" s="11"/>
      <c r="F41" s="12"/>
      <c r="G41" s="12"/>
      <c r="H41" s="12"/>
      <c r="I41" s="12"/>
      <c r="J41" s="12"/>
      <c r="K41" s="12"/>
    </row>
    <row r="42" spans="1:13" ht="16" x14ac:dyDescent="0.35">
      <c r="A42" s="160" t="s">
        <v>266</v>
      </c>
      <c r="B42" s="32" t="str">
        <f>B12</f>
        <v>Market size (PKR Millions)</v>
      </c>
      <c r="C42" s="47"/>
      <c r="D42" s="34"/>
      <c r="E42" s="33"/>
      <c r="F42" s="33">
        <f t="shared" ref="F42:K42" si="10">F12</f>
        <v>125119.32544963789</v>
      </c>
      <c r="G42" s="33">
        <f t="shared" si="10"/>
        <v>138937.83771447375</v>
      </c>
      <c r="H42" s="33">
        <f t="shared" si="10"/>
        <v>153802.19616447328</v>
      </c>
      <c r="I42" s="33">
        <f t="shared" si="10"/>
        <v>173730.41273037207</v>
      </c>
      <c r="J42" s="33">
        <f t="shared" si="10"/>
        <v>191505.49542308686</v>
      </c>
      <c r="K42" s="34">
        <f t="shared" si="10"/>
        <v>212004.36384164513</v>
      </c>
    </row>
    <row r="43" spans="1:13" ht="16" x14ac:dyDescent="0.35">
      <c r="A43" s="160"/>
      <c r="B43" s="43" t="s">
        <v>89</v>
      </c>
      <c r="C43" s="19"/>
      <c r="D43" s="42">
        <f>D34</f>
        <v>3.5000000000000003E-2</v>
      </c>
      <c r="E43" s="25"/>
      <c r="F43" s="24"/>
      <c r="G43" s="24"/>
      <c r="H43" s="24"/>
      <c r="I43" s="24"/>
      <c r="J43" s="24"/>
      <c r="K43" s="23"/>
    </row>
    <row r="44" spans="1:13" ht="16" x14ac:dyDescent="0.35">
      <c r="A44" s="160"/>
      <c r="B44" s="43" t="s">
        <v>92</v>
      </c>
      <c r="C44" s="19"/>
      <c r="D44" s="48"/>
      <c r="E44" s="25"/>
      <c r="F44" s="49">
        <f>F42*$D$43</f>
        <v>4379.176390737327</v>
      </c>
      <c r="G44" s="49">
        <f t="shared" ref="G44:K44" si="11">G42*$D$43</f>
        <v>4862.8243200065817</v>
      </c>
      <c r="H44" s="49">
        <f t="shared" si="11"/>
        <v>5383.076865756565</v>
      </c>
      <c r="I44" s="49">
        <f t="shared" si="11"/>
        <v>6080.5644455630236</v>
      </c>
      <c r="J44" s="49">
        <f t="shared" si="11"/>
        <v>6702.6923398080407</v>
      </c>
      <c r="K44" s="50">
        <f t="shared" si="11"/>
        <v>7420.1527344575798</v>
      </c>
    </row>
    <row r="45" spans="1:13" ht="62" customHeight="1" x14ac:dyDescent="0.35">
      <c r="A45" s="160"/>
      <c r="B45" s="43" t="s">
        <v>90</v>
      </c>
      <c r="C45" s="267" t="s">
        <v>284</v>
      </c>
      <c r="D45" s="20"/>
      <c r="E45" s="25"/>
      <c r="F45" s="24">
        <v>0.02</v>
      </c>
      <c r="G45" s="24">
        <v>2.5000000000000001E-2</v>
      </c>
      <c r="H45" s="24">
        <v>0.03</v>
      </c>
      <c r="I45" s="24">
        <v>0.04</v>
      </c>
      <c r="J45" s="24">
        <v>4.4999999999999998E-2</v>
      </c>
      <c r="K45" s="23">
        <v>0.05</v>
      </c>
    </row>
    <row r="46" spans="1:13" ht="16.5" thickBot="1" x14ac:dyDescent="0.4">
      <c r="A46" s="160"/>
      <c r="B46" s="37" t="s">
        <v>91</v>
      </c>
      <c r="C46" s="29"/>
      <c r="D46" s="30"/>
      <c r="E46" s="31"/>
      <c r="F46" s="51">
        <f>F44*F45</f>
        <v>87.583527814746546</v>
      </c>
      <c r="G46" s="51">
        <f>G44*G45</f>
        <v>121.57060800016455</v>
      </c>
      <c r="H46" s="51">
        <f>H44*H45</f>
        <v>161.49230597269695</v>
      </c>
      <c r="I46" s="51">
        <f t="shared" ref="I46:K46" si="12">I44*I45</f>
        <v>243.22257782252095</v>
      </c>
      <c r="J46" s="51">
        <f t="shared" si="12"/>
        <v>301.62115529136184</v>
      </c>
      <c r="K46" s="52">
        <f t="shared" si="12"/>
        <v>371.007636722879</v>
      </c>
    </row>
    <row r="47" spans="1:13" ht="16" x14ac:dyDescent="0.35">
      <c r="A47" s="160"/>
      <c r="B47" s="11"/>
      <c r="C47" s="11"/>
      <c r="D47" s="11"/>
      <c r="E47" s="11"/>
      <c r="F47" s="12"/>
      <c r="G47" s="12"/>
      <c r="H47" s="12"/>
      <c r="I47" s="12"/>
      <c r="J47" s="12"/>
      <c r="K47" s="12"/>
    </row>
    <row r="49" spans="1:16" ht="23.5" x14ac:dyDescent="0.55000000000000004">
      <c r="A49" s="160" t="s">
        <v>263</v>
      </c>
      <c r="B49" s="57" t="s">
        <v>272</v>
      </c>
      <c r="C49" s="25"/>
      <c r="D49" s="25"/>
      <c r="E49" s="25"/>
      <c r="F49" s="25"/>
      <c r="G49" s="25"/>
      <c r="H49" s="25"/>
      <c r="I49" s="25"/>
      <c r="J49" s="25"/>
      <c r="K49" s="25"/>
      <c r="L49" s="25"/>
      <c r="M49" s="25"/>
      <c r="N49" s="25"/>
      <c r="O49" s="25"/>
      <c r="P49" s="25"/>
    </row>
    <row r="50" spans="1:16" ht="16" x14ac:dyDescent="0.35">
      <c r="A50" s="160"/>
      <c r="B50" s="25"/>
      <c r="C50" s="25"/>
      <c r="D50" s="25"/>
      <c r="E50" s="25"/>
      <c r="F50" s="25"/>
      <c r="G50" s="25"/>
      <c r="H50" s="25"/>
      <c r="I50" s="25"/>
      <c r="J50" s="25"/>
      <c r="K50" s="25"/>
      <c r="L50" s="25"/>
      <c r="M50" s="25"/>
      <c r="N50" s="25"/>
      <c r="O50" s="25"/>
      <c r="P50" s="25"/>
    </row>
    <row r="51" spans="1:16" ht="18.5" x14ac:dyDescent="0.45">
      <c r="A51" s="160"/>
      <c r="B51" s="56" t="s">
        <v>75</v>
      </c>
      <c r="C51" s="25"/>
      <c r="D51" s="25"/>
      <c r="E51" s="25"/>
      <c r="F51" s="25"/>
      <c r="G51" s="25"/>
      <c r="H51" s="25"/>
      <c r="I51" s="25"/>
      <c r="J51" s="25"/>
      <c r="K51" s="25"/>
      <c r="L51" s="25"/>
      <c r="M51" s="25"/>
      <c r="N51" s="25"/>
      <c r="O51" s="25"/>
      <c r="P51" s="25"/>
    </row>
    <row r="52" spans="1:16" ht="16" x14ac:dyDescent="0.35">
      <c r="A52" s="160"/>
      <c r="B52" s="55" t="s">
        <v>76</v>
      </c>
      <c r="C52" s="25" t="s">
        <v>156</v>
      </c>
      <c r="D52" s="25"/>
      <c r="E52" s="25"/>
      <c r="F52" s="25"/>
      <c r="G52" s="25"/>
      <c r="H52" s="25"/>
      <c r="I52" s="25"/>
      <c r="J52" s="25"/>
      <c r="K52" s="25"/>
      <c r="L52" s="25"/>
      <c r="M52" s="25"/>
      <c r="N52" s="25"/>
      <c r="O52" s="25"/>
      <c r="P52" s="25"/>
    </row>
    <row r="53" spans="1:16" ht="16" x14ac:dyDescent="0.35">
      <c r="A53" s="160"/>
      <c r="B53" s="55" t="s">
        <v>158</v>
      </c>
      <c r="C53" s="25" t="s">
        <v>157</v>
      </c>
      <c r="D53" s="25"/>
      <c r="E53" s="25"/>
      <c r="F53" s="25"/>
      <c r="G53" s="25"/>
      <c r="H53" s="25"/>
      <c r="I53" s="25"/>
      <c r="J53" s="25"/>
      <c r="K53" s="25"/>
      <c r="L53" s="25"/>
      <c r="M53" s="25"/>
      <c r="N53" s="25"/>
      <c r="O53" s="25"/>
      <c r="P53" s="25"/>
    </row>
    <row r="54" spans="1:16" ht="16" x14ac:dyDescent="0.35">
      <c r="A54" s="160"/>
      <c r="B54" s="55" t="s">
        <v>159</v>
      </c>
      <c r="C54" s="25" t="s">
        <v>160</v>
      </c>
      <c r="D54" s="25"/>
      <c r="E54" s="25"/>
      <c r="F54" s="25"/>
      <c r="G54" s="25"/>
      <c r="H54" s="25"/>
      <c r="I54" s="25"/>
      <c r="J54" s="25"/>
      <c r="K54" s="25"/>
      <c r="L54" s="25"/>
      <c r="M54" s="25"/>
      <c r="N54" s="25"/>
      <c r="O54" s="25"/>
      <c r="P54" s="25"/>
    </row>
    <row r="55" spans="1:16" ht="16" x14ac:dyDescent="0.35">
      <c r="A55" s="160"/>
      <c r="B55" s="55"/>
      <c r="C55" s="25"/>
      <c r="D55" s="25"/>
      <c r="E55" s="25"/>
      <c r="F55" s="25"/>
      <c r="G55" s="25"/>
      <c r="H55" s="25"/>
      <c r="I55" s="25"/>
      <c r="J55" s="25"/>
      <c r="K55" s="25"/>
      <c r="L55" s="25"/>
      <c r="M55" s="25"/>
      <c r="N55" s="25"/>
      <c r="O55" s="25"/>
      <c r="P55" s="25"/>
    </row>
    <row r="56" spans="1:16" ht="18.5" x14ac:dyDescent="0.45">
      <c r="A56" s="160"/>
      <c r="B56" s="56" t="s">
        <v>77</v>
      </c>
      <c r="C56" s="25"/>
      <c r="D56" s="25"/>
      <c r="E56" s="25"/>
      <c r="F56" s="25"/>
      <c r="G56" s="25"/>
      <c r="H56" s="25"/>
      <c r="I56" s="25"/>
      <c r="J56" s="25"/>
      <c r="K56" s="25"/>
      <c r="L56" s="25"/>
      <c r="M56" s="25"/>
      <c r="N56" s="25"/>
      <c r="O56" s="25"/>
      <c r="P56" s="25"/>
    </row>
    <row r="57" spans="1:16" ht="16" x14ac:dyDescent="0.35">
      <c r="A57" s="160"/>
      <c r="B57" s="55" t="s">
        <v>78</v>
      </c>
      <c r="C57" s="25" t="s">
        <v>161</v>
      </c>
      <c r="D57" s="25"/>
      <c r="E57" s="25"/>
      <c r="F57" s="25"/>
      <c r="G57" s="25"/>
      <c r="H57" s="25"/>
      <c r="I57" s="25"/>
      <c r="J57" s="25"/>
      <c r="K57" s="25"/>
      <c r="L57" s="25"/>
      <c r="M57" s="25"/>
      <c r="N57" s="25"/>
      <c r="O57" s="25"/>
      <c r="P57" s="25"/>
    </row>
    <row r="58" spans="1:16" ht="16" x14ac:dyDescent="0.35">
      <c r="A58" s="160"/>
      <c r="B58" s="55" t="s">
        <v>79</v>
      </c>
      <c r="C58" s="25" t="s">
        <v>162</v>
      </c>
      <c r="D58" s="25"/>
      <c r="E58" s="25"/>
      <c r="F58" s="25"/>
      <c r="G58" s="25"/>
      <c r="H58" s="25"/>
      <c r="I58" s="25"/>
      <c r="J58" s="25"/>
      <c r="K58" s="25"/>
      <c r="L58" s="25"/>
      <c r="M58" s="25"/>
      <c r="N58" s="25"/>
      <c r="O58" s="25"/>
      <c r="P58" s="25"/>
    </row>
    <row r="59" spans="1:16" ht="16" x14ac:dyDescent="0.35">
      <c r="A59" s="160"/>
      <c r="B59" s="55" t="s">
        <v>80</v>
      </c>
      <c r="C59" s="25" t="s">
        <v>163</v>
      </c>
      <c r="D59" s="25"/>
      <c r="E59" s="25"/>
      <c r="F59" s="25"/>
      <c r="G59" s="25"/>
      <c r="H59" s="25"/>
      <c r="I59" s="25"/>
      <c r="J59" s="25"/>
      <c r="K59" s="25"/>
      <c r="L59" s="25"/>
      <c r="M59" s="25"/>
      <c r="N59" s="25"/>
      <c r="O59" s="25"/>
      <c r="P59" s="25"/>
    </row>
    <row r="60" spans="1:16" ht="16" x14ac:dyDescent="0.35">
      <c r="A60" s="160"/>
      <c r="B60" s="55"/>
      <c r="C60" s="25"/>
      <c r="D60" s="25"/>
      <c r="E60" s="25"/>
      <c r="F60" s="25"/>
      <c r="G60" s="25"/>
      <c r="H60" s="25"/>
      <c r="I60" s="25"/>
      <c r="J60" s="25"/>
      <c r="K60" s="25"/>
      <c r="L60" s="25"/>
      <c r="M60" s="25"/>
      <c r="N60" s="25"/>
      <c r="O60" s="25"/>
      <c r="P60" s="25"/>
    </row>
    <row r="61" spans="1:16" ht="18.5" x14ac:dyDescent="0.45">
      <c r="A61" s="160"/>
      <c r="B61" s="56" t="s">
        <v>81</v>
      </c>
      <c r="C61" s="25"/>
      <c r="D61" s="25"/>
      <c r="E61" s="25"/>
      <c r="F61" s="25"/>
      <c r="G61" s="25"/>
      <c r="H61" s="25"/>
      <c r="I61" s="25"/>
      <c r="J61" s="25"/>
      <c r="K61" s="25"/>
      <c r="L61" s="25"/>
      <c r="M61" s="25"/>
      <c r="N61" s="25"/>
      <c r="O61" s="25"/>
      <c r="P61" s="25"/>
    </row>
    <row r="62" spans="1:16" ht="16" x14ac:dyDescent="0.35">
      <c r="A62" s="160"/>
      <c r="B62" s="55" t="s">
        <v>82</v>
      </c>
      <c r="C62" s="25" t="s">
        <v>164</v>
      </c>
      <c r="D62" s="25"/>
      <c r="E62" s="25"/>
      <c r="F62" s="25"/>
      <c r="G62" s="25"/>
      <c r="H62" s="25"/>
      <c r="I62" s="25"/>
      <c r="J62" s="25"/>
      <c r="K62" s="25"/>
      <c r="L62" s="25"/>
      <c r="M62" s="25"/>
      <c r="N62" s="25"/>
      <c r="O62" s="25"/>
      <c r="P62" s="25"/>
    </row>
    <row r="63" spans="1:16" ht="16" x14ac:dyDescent="0.35">
      <c r="A63" s="160"/>
      <c r="B63" s="55" t="s">
        <v>83</v>
      </c>
      <c r="C63" s="25" t="s">
        <v>165</v>
      </c>
      <c r="D63" s="25"/>
      <c r="E63" s="25"/>
      <c r="F63" s="25"/>
      <c r="G63" s="25"/>
      <c r="H63" s="25"/>
      <c r="I63" s="25"/>
      <c r="J63" s="25"/>
      <c r="K63" s="25"/>
      <c r="L63" s="25"/>
      <c r="M63" s="25"/>
      <c r="N63" s="25"/>
      <c r="O63" s="25"/>
      <c r="P63" s="25"/>
    </row>
    <row r="64" spans="1:16" ht="16" x14ac:dyDescent="0.35">
      <c r="A64" s="160"/>
      <c r="B64" s="55"/>
      <c r="C64" s="25"/>
      <c r="D64" s="25"/>
      <c r="E64" s="25"/>
      <c r="F64" s="25"/>
      <c r="G64" s="25"/>
      <c r="H64" s="25"/>
      <c r="I64" s="25"/>
      <c r="J64" s="25"/>
      <c r="K64" s="25"/>
      <c r="L64" s="25"/>
      <c r="M64" s="25"/>
      <c r="N64" s="25"/>
      <c r="O64" s="25"/>
      <c r="P64" s="25"/>
    </row>
    <row r="65" spans="1:20" ht="18.5" x14ac:dyDescent="0.45">
      <c r="A65" s="160"/>
      <c r="B65" s="56" t="s">
        <v>84</v>
      </c>
      <c r="C65" s="25"/>
      <c r="D65" s="25"/>
      <c r="E65" s="25"/>
      <c r="F65" s="25"/>
      <c r="G65" s="25"/>
      <c r="H65" s="25"/>
      <c r="I65" s="25"/>
      <c r="J65" s="25"/>
      <c r="K65" s="25"/>
      <c r="L65" s="25"/>
      <c r="M65" s="25"/>
      <c r="N65" s="25"/>
      <c r="O65" s="25"/>
      <c r="P65" s="25"/>
    </row>
    <row r="66" spans="1:20" ht="16" x14ac:dyDescent="0.35">
      <c r="A66" s="160"/>
      <c r="B66" s="55" t="s">
        <v>85</v>
      </c>
      <c r="C66" s="25" t="s">
        <v>166</v>
      </c>
      <c r="D66" s="25"/>
      <c r="E66" s="25"/>
      <c r="F66" s="25"/>
      <c r="G66" s="25"/>
      <c r="H66" s="25"/>
      <c r="I66" s="25"/>
      <c r="J66" s="25"/>
      <c r="K66" s="25"/>
      <c r="L66" s="25"/>
      <c r="M66" s="25"/>
      <c r="N66" s="25"/>
      <c r="O66" s="25"/>
      <c r="P66" s="25"/>
    </row>
    <row r="67" spans="1:20" ht="16" x14ac:dyDescent="0.35">
      <c r="A67" s="160"/>
      <c r="B67" s="55" t="s">
        <v>86</v>
      </c>
      <c r="C67" s="25" t="s">
        <v>167</v>
      </c>
      <c r="D67" s="25"/>
      <c r="E67" s="25"/>
      <c r="F67" s="25"/>
      <c r="G67" s="25"/>
      <c r="H67" s="25"/>
      <c r="I67" s="25"/>
      <c r="J67" s="25"/>
      <c r="K67" s="25"/>
      <c r="L67" s="25"/>
      <c r="M67" s="25"/>
      <c r="N67" s="25"/>
      <c r="O67" s="25"/>
      <c r="P67" s="25"/>
    </row>
    <row r="68" spans="1:20" ht="16" x14ac:dyDescent="0.35">
      <c r="A68" s="160"/>
      <c r="B68" s="55" t="s">
        <v>87</v>
      </c>
      <c r="C68" s="25" t="s">
        <v>168</v>
      </c>
      <c r="D68" s="25"/>
      <c r="E68" s="25"/>
      <c r="F68" s="25"/>
      <c r="G68" s="25"/>
      <c r="H68" s="25"/>
      <c r="I68" s="25"/>
      <c r="J68" s="25"/>
      <c r="K68" s="25"/>
      <c r="L68" s="25"/>
      <c r="M68" s="25"/>
      <c r="N68" s="25"/>
      <c r="O68" s="25"/>
      <c r="P68" s="25"/>
    </row>
    <row r="69" spans="1:20" ht="16" x14ac:dyDescent="0.35">
      <c r="A69" s="160"/>
    </row>
    <row r="70" spans="1:20" ht="16" x14ac:dyDescent="0.35">
      <c r="A70" s="160"/>
    </row>
    <row r="71" spans="1:20" ht="16" x14ac:dyDescent="0.35">
      <c r="A71" s="160"/>
    </row>
    <row r="72" spans="1:20" ht="16" x14ac:dyDescent="0.35">
      <c r="A72" s="160"/>
    </row>
    <row r="73" spans="1:20" ht="23.5" x14ac:dyDescent="0.55000000000000004">
      <c r="A73" s="160" t="s">
        <v>264</v>
      </c>
      <c r="B73" s="57" t="s">
        <v>273</v>
      </c>
      <c r="C73" s="25"/>
      <c r="D73" s="25"/>
      <c r="E73" s="25"/>
      <c r="F73" s="25"/>
      <c r="G73" s="25"/>
      <c r="H73" s="25"/>
      <c r="I73" s="25"/>
      <c r="J73" s="25"/>
      <c r="K73" s="25"/>
      <c r="L73" s="25"/>
      <c r="M73" s="25"/>
      <c r="N73" s="25"/>
      <c r="O73" s="25"/>
      <c r="P73" s="25"/>
      <c r="Q73" s="25"/>
      <c r="R73" s="25"/>
      <c r="S73" s="25"/>
      <c r="T73" s="25"/>
    </row>
    <row r="74" spans="1:20" ht="16" x14ac:dyDescent="0.35">
      <c r="A74" s="160"/>
      <c r="B74" s="25" t="s">
        <v>169</v>
      </c>
      <c r="C74" s="25"/>
      <c r="D74" s="25"/>
      <c r="E74" s="25"/>
      <c r="F74" s="25"/>
      <c r="G74" s="25"/>
      <c r="H74" s="25"/>
      <c r="I74" s="25"/>
      <c r="J74" s="25"/>
      <c r="K74" s="25"/>
      <c r="L74" s="25"/>
      <c r="M74" s="25"/>
      <c r="N74" s="25"/>
      <c r="O74" s="25"/>
      <c r="P74" s="25"/>
      <c r="Q74" s="25"/>
      <c r="R74" s="25"/>
      <c r="S74" s="25"/>
      <c r="T74" s="25"/>
    </row>
    <row r="75" spans="1:20" ht="16" x14ac:dyDescent="0.35">
      <c r="A75" s="160"/>
      <c r="B75" s="25"/>
      <c r="C75" s="25"/>
      <c r="D75" s="25"/>
      <c r="E75" s="25"/>
      <c r="F75" s="25"/>
      <c r="G75" s="25"/>
      <c r="H75" s="25"/>
      <c r="I75" s="25"/>
      <c r="J75" s="25"/>
      <c r="K75" s="25"/>
      <c r="L75" s="25"/>
      <c r="M75" s="25"/>
      <c r="N75" s="25"/>
      <c r="O75" s="25"/>
      <c r="P75" s="25"/>
      <c r="Q75" s="25"/>
      <c r="R75" s="25"/>
      <c r="S75" s="25"/>
      <c r="T75" s="25"/>
    </row>
    <row r="76" spans="1:20" ht="16" x14ac:dyDescent="0.35">
      <c r="A76" s="160"/>
      <c r="B76" s="55" t="s">
        <v>170</v>
      </c>
      <c r="C76" s="25"/>
      <c r="D76" s="25"/>
      <c r="E76" s="25"/>
      <c r="F76" s="25"/>
      <c r="G76" s="25"/>
      <c r="H76" s="25"/>
      <c r="I76" s="25"/>
      <c r="J76" s="25"/>
      <c r="K76" s="25"/>
      <c r="L76" s="25"/>
      <c r="M76" s="25"/>
      <c r="N76" s="25"/>
      <c r="O76" s="25"/>
      <c r="P76" s="25"/>
      <c r="Q76" s="25"/>
      <c r="R76" s="25"/>
      <c r="S76" s="25"/>
      <c r="T76" s="25"/>
    </row>
    <row r="77" spans="1:20" ht="16" x14ac:dyDescent="0.35">
      <c r="A77" s="160"/>
      <c r="B77" s="25" t="s">
        <v>171</v>
      </c>
      <c r="C77" s="25"/>
      <c r="D77" s="25"/>
      <c r="E77" s="25"/>
      <c r="F77" s="25"/>
      <c r="G77" s="25"/>
      <c r="H77" s="25"/>
      <c r="I77" s="25"/>
      <c r="J77" s="25"/>
      <c r="K77" s="25"/>
      <c r="L77" s="25"/>
      <c r="M77" s="25"/>
      <c r="N77" s="25"/>
      <c r="O77" s="25"/>
      <c r="P77" s="25"/>
      <c r="Q77" s="25"/>
      <c r="R77" s="25"/>
      <c r="S77" s="25"/>
      <c r="T77" s="25"/>
    </row>
    <row r="78" spans="1:20" x14ac:dyDescent="0.35">
      <c r="B78" s="25"/>
      <c r="C78" s="25"/>
      <c r="D78" s="25"/>
      <c r="E78" s="25"/>
      <c r="F78" s="25"/>
      <c r="G78" s="25"/>
      <c r="H78" s="25"/>
      <c r="I78" s="25"/>
      <c r="J78" s="25"/>
      <c r="K78" s="25"/>
      <c r="L78" s="25"/>
      <c r="M78" s="25"/>
      <c r="N78" s="25"/>
      <c r="O78" s="25"/>
      <c r="P78" s="25"/>
      <c r="Q78" s="25"/>
      <c r="R78" s="25"/>
      <c r="S78" s="25"/>
      <c r="T78" s="25"/>
    </row>
    <row r="79" spans="1:20" x14ac:dyDescent="0.35">
      <c r="B79" s="55" t="s">
        <v>172</v>
      </c>
      <c r="C79" s="25"/>
      <c r="D79" s="25"/>
      <c r="E79" s="25"/>
      <c r="F79" s="25"/>
      <c r="G79" s="25"/>
      <c r="H79" s="25"/>
      <c r="I79" s="25"/>
      <c r="J79" s="25"/>
      <c r="K79" s="25"/>
      <c r="L79" s="25"/>
      <c r="M79" s="25"/>
      <c r="N79" s="25"/>
      <c r="O79" s="25"/>
      <c r="P79" s="25"/>
      <c r="Q79" s="25"/>
      <c r="R79" s="25"/>
      <c r="S79" s="25"/>
      <c r="T79" s="25"/>
    </row>
    <row r="80" spans="1:20" x14ac:dyDescent="0.35">
      <c r="B80" s="25" t="s">
        <v>173</v>
      </c>
      <c r="C80" s="25"/>
      <c r="D80" s="25"/>
      <c r="E80" s="25"/>
      <c r="F80" s="25"/>
      <c r="G80" s="25"/>
      <c r="H80" s="25"/>
      <c r="I80" s="25"/>
      <c r="J80" s="25"/>
      <c r="K80" s="25"/>
      <c r="L80" s="25"/>
      <c r="M80" s="25"/>
      <c r="N80" s="25"/>
      <c r="O80" s="25"/>
      <c r="P80" s="25"/>
      <c r="Q80" s="25"/>
      <c r="R80" s="25"/>
      <c r="S80" s="25"/>
      <c r="T80" s="25"/>
    </row>
    <row r="81" spans="2:20" x14ac:dyDescent="0.35">
      <c r="B81" s="25"/>
      <c r="C81" s="25"/>
      <c r="D81" s="25"/>
      <c r="E81" s="25"/>
      <c r="F81" s="25"/>
      <c r="G81" s="25"/>
      <c r="H81" s="25"/>
      <c r="I81" s="25"/>
      <c r="J81" s="25"/>
      <c r="K81" s="25"/>
      <c r="L81" s="25"/>
      <c r="M81" s="25"/>
      <c r="N81" s="25"/>
      <c r="O81" s="25"/>
      <c r="P81" s="25"/>
      <c r="Q81" s="25"/>
      <c r="R81" s="25"/>
      <c r="S81" s="25"/>
      <c r="T81" s="25"/>
    </row>
    <row r="82" spans="2:20" x14ac:dyDescent="0.35">
      <c r="B82" s="55" t="s">
        <v>174</v>
      </c>
      <c r="C82" s="25"/>
      <c r="D82" s="25"/>
      <c r="E82" s="25"/>
      <c r="F82" s="25"/>
      <c r="G82" s="25"/>
      <c r="H82" s="25"/>
      <c r="I82" s="25"/>
      <c r="J82" s="25"/>
      <c r="K82" s="25"/>
      <c r="L82" s="25"/>
      <c r="M82" s="25"/>
      <c r="N82" s="25"/>
      <c r="O82" s="25"/>
      <c r="P82" s="25"/>
      <c r="Q82" s="25"/>
      <c r="R82" s="25"/>
      <c r="S82" s="25"/>
      <c r="T82" s="25"/>
    </row>
    <row r="83" spans="2:20" x14ac:dyDescent="0.35">
      <c r="B83" s="25" t="s">
        <v>175</v>
      </c>
      <c r="C83" s="25"/>
      <c r="D83" s="25"/>
      <c r="E83" s="25"/>
      <c r="F83" s="25"/>
      <c r="G83" s="25"/>
      <c r="H83" s="25"/>
      <c r="I83" s="25"/>
      <c r="J83" s="25"/>
      <c r="K83" s="25"/>
      <c r="L83" s="25"/>
      <c r="M83" s="25"/>
      <c r="N83" s="25"/>
      <c r="O83" s="25"/>
      <c r="P83" s="25"/>
      <c r="Q83" s="25"/>
      <c r="R83" s="25"/>
      <c r="S83" s="25"/>
      <c r="T83" s="25"/>
    </row>
    <row r="84" spans="2:20" x14ac:dyDescent="0.35">
      <c r="B84" s="25"/>
      <c r="C84" s="25"/>
      <c r="D84" s="25"/>
      <c r="E84" s="25"/>
      <c r="F84" s="25"/>
      <c r="G84" s="25"/>
      <c r="H84" s="25"/>
      <c r="I84" s="25"/>
      <c r="J84" s="25"/>
      <c r="K84" s="25"/>
      <c r="L84" s="25"/>
      <c r="M84" s="25"/>
      <c r="N84" s="25"/>
      <c r="O84" s="25"/>
      <c r="P84" s="25"/>
      <c r="Q84" s="25"/>
      <c r="R84" s="25"/>
      <c r="S84" s="25"/>
      <c r="T84" s="25"/>
    </row>
    <row r="85" spans="2:20" x14ac:dyDescent="0.35">
      <c r="B85" s="55" t="s">
        <v>176</v>
      </c>
      <c r="C85" s="25"/>
      <c r="D85" s="25"/>
      <c r="E85" s="25"/>
      <c r="F85" s="25"/>
      <c r="G85" s="25"/>
      <c r="H85" s="25"/>
      <c r="I85" s="25"/>
      <c r="J85" s="25"/>
      <c r="K85" s="25"/>
      <c r="L85" s="25"/>
      <c r="M85" s="25"/>
      <c r="N85" s="25"/>
      <c r="O85" s="25"/>
      <c r="P85" s="25"/>
      <c r="Q85" s="25"/>
      <c r="R85" s="25"/>
      <c r="S85" s="25"/>
      <c r="T85" s="25"/>
    </row>
    <row r="86" spans="2:20" x14ac:dyDescent="0.35">
      <c r="B86" s="25" t="s">
        <v>177</v>
      </c>
      <c r="C86" s="25"/>
      <c r="D86" s="25"/>
      <c r="E86" s="25"/>
      <c r="F86" s="25"/>
      <c r="G86" s="25"/>
      <c r="H86" s="25"/>
      <c r="I86" s="25"/>
      <c r="J86" s="25"/>
      <c r="K86" s="25"/>
      <c r="L86" s="25"/>
      <c r="M86" s="25"/>
      <c r="N86" s="25"/>
      <c r="O86" s="25"/>
      <c r="P86" s="25"/>
      <c r="Q86" s="25"/>
      <c r="R86" s="25"/>
      <c r="S86" s="25"/>
      <c r="T86" s="25"/>
    </row>
    <row r="87" spans="2:20" x14ac:dyDescent="0.35">
      <c r="B87" s="25"/>
      <c r="C87" s="25"/>
      <c r="D87" s="25"/>
      <c r="E87" s="25"/>
      <c r="F87" s="25"/>
      <c r="G87" s="25"/>
      <c r="H87" s="25"/>
      <c r="I87" s="25"/>
      <c r="J87" s="25"/>
      <c r="K87" s="25"/>
      <c r="L87" s="25"/>
      <c r="M87" s="25"/>
      <c r="N87" s="25"/>
      <c r="O87" s="25"/>
      <c r="P87" s="25"/>
      <c r="Q87" s="25"/>
      <c r="R87" s="25"/>
      <c r="S87" s="25"/>
      <c r="T87" s="25"/>
    </row>
    <row r="88" spans="2:20" x14ac:dyDescent="0.35">
      <c r="B88" s="55" t="s">
        <v>178</v>
      </c>
      <c r="C88" s="25"/>
      <c r="D88" s="25"/>
      <c r="E88" s="25"/>
      <c r="F88" s="25"/>
      <c r="G88" s="25"/>
      <c r="H88" s="25"/>
      <c r="I88" s="25"/>
      <c r="J88" s="25"/>
      <c r="K88" s="25"/>
      <c r="L88" s="25"/>
      <c r="M88" s="25"/>
      <c r="N88" s="25"/>
      <c r="O88" s="25"/>
      <c r="P88" s="25"/>
      <c r="Q88" s="25"/>
      <c r="R88" s="25"/>
      <c r="S88" s="25"/>
      <c r="T88" s="25"/>
    </row>
    <row r="89" spans="2:20" x14ac:dyDescent="0.35">
      <c r="B89" s="25" t="s">
        <v>179</v>
      </c>
      <c r="C89" s="25"/>
      <c r="D89" s="25"/>
      <c r="E89" s="25"/>
      <c r="F89" s="25"/>
      <c r="G89" s="25"/>
      <c r="H89" s="25"/>
      <c r="I89" s="25"/>
      <c r="J89" s="25"/>
      <c r="K89" s="25"/>
      <c r="L89" s="25"/>
      <c r="M89" s="25"/>
      <c r="N89" s="25"/>
      <c r="O89" s="25"/>
      <c r="P89" s="25"/>
      <c r="Q89" s="25"/>
      <c r="R89" s="25"/>
      <c r="S89" s="25"/>
      <c r="T89" s="25"/>
    </row>
    <row r="90" spans="2:20" x14ac:dyDescent="0.35">
      <c r="B90" s="25"/>
      <c r="C90" s="25"/>
      <c r="D90" s="25"/>
      <c r="E90" s="25"/>
      <c r="F90" s="25"/>
      <c r="G90" s="25"/>
      <c r="H90" s="25"/>
      <c r="I90" s="25"/>
      <c r="J90" s="25"/>
      <c r="K90" s="25"/>
      <c r="L90" s="25"/>
      <c r="M90" s="25"/>
      <c r="N90" s="25"/>
      <c r="O90" s="25"/>
      <c r="P90" s="25"/>
      <c r="Q90" s="25"/>
      <c r="R90" s="25"/>
      <c r="S90" s="25"/>
      <c r="T90" s="25"/>
    </row>
    <row r="91" spans="2:20" x14ac:dyDescent="0.35">
      <c r="B91" s="55" t="s">
        <v>180</v>
      </c>
      <c r="C91" s="25"/>
      <c r="D91" s="25"/>
      <c r="E91" s="25"/>
      <c r="F91" s="25"/>
      <c r="G91" s="25"/>
      <c r="H91" s="25"/>
      <c r="I91" s="25"/>
      <c r="J91" s="25"/>
      <c r="K91" s="25"/>
      <c r="L91" s="25"/>
      <c r="M91" s="25"/>
      <c r="N91" s="25"/>
      <c r="O91" s="25"/>
      <c r="P91" s="25"/>
      <c r="Q91" s="25"/>
      <c r="R91" s="25"/>
      <c r="S91" s="25"/>
      <c r="T91" s="25"/>
    </row>
    <row r="92" spans="2:20" x14ac:dyDescent="0.35">
      <c r="B92" s="25" t="s">
        <v>181</v>
      </c>
      <c r="C92" s="25"/>
      <c r="D92" s="25"/>
      <c r="E92" s="25"/>
      <c r="F92" s="25"/>
      <c r="G92" s="25"/>
      <c r="H92" s="25"/>
      <c r="I92" s="25"/>
      <c r="J92" s="25"/>
      <c r="K92" s="25"/>
      <c r="L92" s="25"/>
      <c r="M92" s="25"/>
      <c r="N92" s="25"/>
      <c r="O92" s="25"/>
      <c r="P92" s="25"/>
      <c r="Q92" s="25"/>
      <c r="R92" s="25"/>
      <c r="S92" s="25"/>
      <c r="T92" s="25"/>
    </row>
    <row r="93" spans="2:20" x14ac:dyDescent="0.35">
      <c r="B93" s="25"/>
      <c r="C93" s="25"/>
      <c r="D93" s="25"/>
      <c r="E93" s="25"/>
      <c r="F93" s="25"/>
      <c r="G93" s="25"/>
      <c r="H93" s="25"/>
      <c r="I93" s="25"/>
      <c r="J93" s="25"/>
      <c r="K93" s="25"/>
      <c r="L93" s="25"/>
      <c r="M93" s="25"/>
      <c r="N93" s="25"/>
      <c r="O93" s="25"/>
      <c r="P93" s="25"/>
      <c r="Q93" s="25"/>
      <c r="R93" s="25"/>
      <c r="S93" s="25"/>
      <c r="T93" s="25"/>
    </row>
    <row r="94" spans="2:20" x14ac:dyDescent="0.35">
      <c r="B94" s="55" t="s">
        <v>182</v>
      </c>
      <c r="C94" s="25"/>
      <c r="D94" s="25"/>
      <c r="E94" s="25"/>
      <c r="F94" s="25"/>
      <c r="G94" s="25"/>
      <c r="H94" s="25"/>
      <c r="I94" s="25"/>
      <c r="J94" s="25"/>
      <c r="K94" s="25"/>
      <c r="L94" s="25"/>
      <c r="M94" s="25"/>
      <c r="N94" s="25"/>
      <c r="O94" s="25"/>
      <c r="P94" s="25"/>
      <c r="Q94" s="25"/>
      <c r="R94" s="25"/>
      <c r="S94" s="25"/>
      <c r="T94" s="25"/>
    </row>
    <row r="95" spans="2:20" x14ac:dyDescent="0.35">
      <c r="B95" s="25" t="s">
        <v>183</v>
      </c>
      <c r="C95" s="25"/>
      <c r="D95" s="25"/>
      <c r="E95" s="25"/>
      <c r="F95" s="25"/>
      <c r="G95" s="25"/>
      <c r="H95" s="25"/>
      <c r="I95" s="25"/>
      <c r="J95" s="25"/>
      <c r="K95" s="25"/>
      <c r="L95" s="25"/>
      <c r="M95" s="25"/>
      <c r="N95" s="25"/>
      <c r="O95" s="25"/>
      <c r="P95" s="25"/>
      <c r="Q95" s="25"/>
      <c r="R95" s="25"/>
      <c r="S95" s="25"/>
      <c r="T95" s="25"/>
    </row>
  </sheetData>
  <mergeCells count="1">
    <mergeCell ref="B1:K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C1E0-6274-4683-86B4-2308BDD0CC6A}">
  <dimension ref="A1:EC71"/>
  <sheetViews>
    <sheetView showGridLines="0" topLeftCell="A54" zoomScale="60" zoomScaleNormal="65" workbookViewId="0">
      <selection activeCell="R47" sqref="R47"/>
    </sheetView>
  </sheetViews>
  <sheetFormatPr defaultRowHeight="14.5" x14ac:dyDescent="0.35"/>
  <cols>
    <col min="2" max="2" width="33.453125" customWidth="1"/>
    <col min="3" max="3" width="23.81640625" customWidth="1"/>
    <col min="4" max="4" width="14.54296875" customWidth="1"/>
    <col min="5" max="5" width="11.6328125" bestFit="1" customWidth="1"/>
    <col min="6" max="6" width="12.36328125" bestFit="1" customWidth="1"/>
    <col min="7" max="7" width="11.90625" bestFit="1" customWidth="1"/>
    <col min="8" max="8" width="12.1796875" bestFit="1" customWidth="1"/>
    <col min="9" max="9" width="12.453125" bestFit="1" customWidth="1"/>
    <col min="10" max="10" width="12.1796875" bestFit="1" customWidth="1"/>
    <col min="11" max="11" width="13.08984375" customWidth="1"/>
    <col min="12" max="12" width="12.453125" bestFit="1" customWidth="1"/>
    <col min="13" max="13" width="11.7265625" bestFit="1" customWidth="1"/>
    <col min="14" max="14" width="12.7265625" bestFit="1" customWidth="1"/>
    <col min="15" max="15" width="11.453125" bestFit="1" customWidth="1"/>
    <col min="16" max="16" width="11.36328125" customWidth="1"/>
    <col min="17" max="17" width="12" bestFit="1" customWidth="1"/>
    <col min="18" max="18" width="12.7265625" bestFit="1" customWidth="1"/>
    <col min="19" max="19" width="12" bestFit="1" customWidth="1"/>
    <col min="20" max="24" width="12.7265625" bestFit="1" customWidth="1"/>
    <col min="25" max="25" width="11.26953125" bestFit="1" customWidth="1"/>
    <col min="26" max="26" width="10.54296875" bestFit="1" customWidth="1"/>
    <col min="27" max="27" width="11.26953125" bestFit="1" customWidth="1"/>
    <col min="28" max="28" width="10.81640625" bestFit="1" customWidth="1"/>
    <col min="29" max="29" width="11.26953125" bestFit="1" customWidth="1"/>
    <col min="30" max="30" width="12.453125" customWidth="1"/>
    <col min="31" max="31" width="13.81640625" customWidth="1"/>
    <col min="32" max="32" width="11.1796875" customWidth="1"/>
    <col min="33" max="33" width="14.6328125" customWidth="1"/>
    <col min="34" max="34" width="14.08984375" customWidth="1"/>
    <col min="35" max="36" width="10.54296875" bestFit="1" customWidth="1"/>
    <col min="37" max="37" width="10.08984375" bestFit="1" customWidth="1"/>
    <col min="38" max="38" width="13.1796875" bestFit="1" customWidth="1"/>
    <col min="39" max="39" width="10.54296875" bestFit="1" customWidth="1"/>
    <col min="40" max="44" width="12.6328125" bestFit="1" customWidth="1"/>
    <col min="45" max="46" width="10.54296875" bestFit="1" customWidth="1"/>
    <col min="47" max="47" width="10.7265625" customWidth="1"/>
    <col min="48" max="49" width="12" bestFit="1" customWidth="1"/>
    <col min="50" max="50" width="12.81640625" customWidth="1"/>
    <col min="51" max="51" width="12.6328125" bestFit="1" customWidth="1"/>
    <col min="52" max="52" width="13.1796875" bestFit="1" customWidth="1"/>
    <col min="53" max="53" width="12.6328125" bestFit="1" customWidth="1"/>
    <col min="54" max="55" width="12.6328125" customWidth="1"/>
    <col min="56" max="56" width="12.90625" customWidth="1"/>
    <col min="57" max="57" width="11.90625" customWidth="1"/>
    <col min="58" max="58" width="13.08984375" customWidth="1"/>
    <col min="59" max="59" width="15" customWidth="1"/>
    <col min="60" max="60" width="12.6328125" customWidth="1"/>
    <col min="61" max="61" width="12.453125" customWidth="1"/>
    <col min="62" max="62" width="14.6328125" customWidth="1"/>
    <col min="63" max="63" width="13.6328125" customWidth="1"/>
    <col min="64" max="64" width="12.7265625" customWidth="1"/>
    <col min="81" max="82" width="11" bestFit="1" customWidth="1"/>
    <col min="83" max="83" width="10.6328125" bestFit="1" customWidth="1"/>
    <col min="84" max="85" width="11" bestFit="1" customWidth="1"/>
    <col min="88" max="89" width="11" bestFit="1" customWidth="1"/>
    <col min="92" max="92" width="11.81640625" bestFit="1" customWidth="1"/>
    <col min="93" max="93" width="11" bestFit="1" customWidth="1"/>
    <col min="94" max="95" width="12.1796875" bestFit="1" customWidth="1"/>
    <col min="96" max="96" width="11" bestFit="1" customWidth="1"/>
    <col min="97" max="97" width="12.1796875" bestFit="1" customWidth="1"/>
    <col min="98" max="98" width="9.81640625" bestFit="1" customWidth="1"/>
    <col min="100" max="100" width="11.6328125" bestFit="1" customWidth="1"/>
    <col min="101" max="101" width="11.36328125" bestFit="1" customWidth="1"/>
    <col min="102" max="102" width="11.6328125" bestFit="1" customWidth="1"/>
    <col min="103" max="104" width="12.1796875" bestFit="1" customWidth="1"/>
    <col min="105" max="105" width="11.81640625" bestFit="1" customWidth="1"/>
    <col min="106" max="106" width="9.1796875" bestFit="1" customWidth="1"/>
    <col min="126" max="127" width="12.1796875" bestFit="1" customWidth="1"/>
    <col min="128" max="129" width="10.26953125" bestFit="1" customWidth="1"/>
    <col min="130" max="131" width="11.26953125" bestFit="1" customWidth="1"/>
    <col min="132" max="132" width="10.26953125" bestFit="1" customWidth="1"/>
    <col min="133" max="133" width="12.36328125" bestFit="1" customWidth="1"/>
  </cols>
  <sheetData>
    <row r="1" spans="1:124" ht="15" thickBot="1" x14ac:dyDescent="0.4"/>
    <row r="2" spans="1:124" x14ac:dyDescent="0.35">
      <c r="D2" s="445" t="s">
        <v>184</v>
      </c>
      <c r="E2" s="446"/>
      <c r="F2" s="446"/>
      <c r="G2" s="446"/>
      <c r="H2" s="446"/>
      <c r="I2" s="446"/>
      <c r="J2" s="446"/>
      <c r="K2" s="446"/>
      <c r="L2" s="446"/>
      <c r="M2" s="446"/>
      <c r="N2" s="446"/>
      <c r="O2" s="446"/>
      <c r="P2" s="446"/>
      <c r="Q2" s="446"/>
      <c r="R2" s="446"/>
      <c r="S2" s="446"/>
      <c r="T2" s="446"/>
      <c r="U2" s="447"/>
      <c r="BR2" s="355"/>
      <c r="BS2" s="355"/>
      <c r="BT2" s="355"/>
      <c r="BU2" s="355"/>
      <c r="BV2" s="355"/>
      <c r="BW2" s="355"/>
      <c r="BX2" s="355"/>
      <c r="BY2" s="355"/>
      <c r="BZ2" s="355"/>
      <c r="CA2" s="355"/>
      <c r="CB2" s="355"/>
      <c r="CC2" s="355"/>
      <c r="CD2" s="355"/>
      <c r="CE2" s="355"/>
      <c r="CF2" s="355"/>
      <c r="CG2" s="355"/>
      <c r="CH2" s="355"/>
      <c r="CI2" s="355"/>
      <c r="CJ2" s="355"/>
      <c r="CK2" s="355"/>
      <c r="CL2" s="355"/>
      <c r="CM2" s="355"/>
      <c r="CN2" s="355"/>
      <c r="CO2" s="355"/>
      <c r="CP2" s="355"/>
      <c r="CQ2" s="355"/>
      <c r="CR2" s="355"/>
      <c r="CS2" s="355"/>
      <c r="CT2" s="355"/>
      <c r="CU2" s="355"/>
      <c r="CV2" s="355"/>
      <c r="CW2" s="355"/>
      <c r="CX2" s="355"/>
      <c r="CY2" s="355"/>
      <c r="CZ2" s="355"/>
      <c r="DA2" s="355"/>
      <c r="DB2" s="355"/>
      <c r="DC2" s="355"/>
      <c r="DD2" s="355"/>
      <c r="DE2" s="355"/>
      <c r="DF2" s="355"/>
      <c r="DG2" s="355"/>
      <c r="DH2" s="355"/>
      <c r="DI2" s="355"/>
      <c r="DJ2" s="355"/>
      <c r="DK2" s="355"/>
      <c r="DL2" s="355"/>
      <c r="DM2" s="355"/>
      <c r="DN2" s="355"/>
      <c r="DO2" s="355"/>
      <c r="DP2" s="355"/>
      <c r="DQ2" s="355"/>
      <c r="DR2" s="355"/>
      <c r="DS2" s="355"/>
      <c r="DT2" s="355"/>
    </row>
    <row r="3" spans="1:124" x14ac:dyDescent="0.35">
      <c r="D3" s="448"/>
      <c r="E3" s="449"/>
      <c r="F3" s="449"/>
      <c r="G3" s="449"/>
      <c r="H3" s="449"/>
      <c r="I3" s="449"/>
      <c r="J3" s="449"/>
      <c r="K3" s="449"/>
      <c r="L3" s="449"/>
      <c r="M3" s="449"/>
      <c r="N3" s="449"/>
      <c r="O3" s="449"/>
      <c r="P3" s="449"/>
      <c r="Q3" s="449"/>
      <c r="R3" s="449"/>
      <c r="S3" s="449"/>
      <c r="T3" s="449"/>
      <c r="U3" s="450"/>
      <c r="BR3" s="355"/>
      <c r="BS3" s="355"/>
      <c r="BT3" s="355"/>
      <c r="BU3" s="355"/>
      <c r="BV3" s="355"/>
      <c r="BW3" s="355"/>
      <c r="BX3" s="355"/>
      <c r="BY3" s="355"/>
      <c r="BZ3" s="355"/>
      <c r="CA3" s="355"/>
      <c r="CB3" s="355"/>
      <c r="CC3" s="355"/>
      <c r="CD3" s="355"/>
      <c r="CE3" s="355"/>
      <c r="CF3" s="355"/>
      <c r="CG3" s="355"/>
      <c r="CH3" s="355"/>
      <c r="CI3" s="355"/>
      <c r="CJ3" s="355"/>
      <c r="CK3" s="355"/>
      <c r="CL3" s="355"/>
      <c r="CM3" s="355"/>
      <c r="CN3" s="355"/>
      <c r="CO3" s="355"/>
      <c r="CP3" s="355"/>
      <c r="CQ3" s="355"/>
      <c r="CR3" s="355"/>
      <c r="CS3" s="355"/>
      <c r="CT3" s="355"/>
      <c r="CU3" s="355"/>
      <c r="CV3" s="355"/>
      <c r="CW3" s="355"/>
      <c r="CX3" s="355"/>
      <c r="CY3" s="355"/>
      <c r="CZ3" s="355"/>
      <c r="DA3" s="355"/>
      <c r="DB3" s="355"/>
      <c r="DC3" s="355"/>
      <c r="DD3" s="355"/>
      <c r="DE3" s="355"/>
      <c r="DF3" s="355"/>
      <c r="DG3" s="355"/>
      <c r="DH3" s="355"/>
      <c r="DI3" s="355"/>
      <c r="DJ3" s="355"/>
      <c r="DK3" s="355"/>
      <c r="DL3" s="355"/>
      <c r="DM3" s="355"/>
      <c r="DN3" s="355"/>
      <c r="DO3" s="355"/>
      <c r="DP3" s="355"/>
      <c r="DQ3" s="355"/>
      <c r="DR3" s="355"/>
      <c r="DS3" s="355"/>
      <c r="DT3" s="355"/>
    </row>
    <row r="4" spans="1:124" x14ac:dyDescent="0.35">
      <c r="D4" s="448"/>
      <c r="E4" s="449"/>
      <c r="F4" s="449"/>
      <c r="G4" s="449"/>
      <c r="H4" s="449"/>
      <c r="I4" s="449"/>
      <c r="J4" s="449"/>
      <c r="K4" s="449"/>
      <c r="L4" s="449"/>
      <c r="M4" s="449"/>
      <c r="N4" s="449"/>
      <c r="O4" s="449"/>
      <c r="P4" s="449"/>
      <c r="Q4" s="449"/>
      <c r="R4" s="449"/>
      <c r="S4" s="449"/>
      <c r="T4" s="449"/>
      <c r="U4" s="450"/>
      <c r="AM4" s="355"/>
      <c r="AN4" s="355"/>
      <c r="AO4" s="355"/>
      <c r="AP4" s="355"/>
      <c r="AQ4" s="355"/>
      <c r="AR4" s="355"/>
      <c r="AS4" s="355"/>
      <c r="AT4" s="355"/>
      <c r="AU4" s="355"/>
      <c r="AV4" s="355"/>
      <c r="AW4" s="355"/>
      <c r="AX4" s="355"/>
      <c r="AY4" s="355"/>
      <c r="AZ4" s="355"/>
      <c r="BA4" s="355"/>
      <c r="BB4" s="355"/>
      <c r="BC4" s="355"/>
      <c r="BD4" s="355"/>
      <c r="BE4" s="355"/>
      <c r="BR4" s="355"/>
      <c r="BS4" s="355"/>
      <c r="BT4" s="355"/>
      <c r="BU4" s="355"/>
      <c r="BV4" s="355"/>
      <c r="BW4" s="355"/>
      <c r="BX4" s="355"/>
      <c r="BY4" s="355"/>
      <c r="BZ4" s="355"/>
      <c r="CA4" s="355"/>
      <c r="CB4" s="355"/>
      <c r="CC4" s="355"/>
      <c r="CD4" s="355"/>
      <c r="CE4" s="355"/>
      <c r="CF4" s="355"/>
      <c r="CG4" s="355"/>
      <c r="CH4" s="355"/>
      <c r="CI4" s="355"/>
      <c r="CJ4" s="355"/>
      <c r="CK4" s="355"/>
      <c r="CL4" s="355"/>
      <c r="CM4" s="355"/>
      <c r="CN4" s="355"/>
      <c r="CO4" s="355"/>
      <c r="CP4" s="355"/>
      <c r="CQ4" s="355"/>
      <c r="CR4" s="355"/>
      <c r="CS4" s="355"/>
      <c r="CT4" s="355"/>
      <c r="CU4" s="355"/>
      <c r="CV4" s="355"/>
      <c r="CW4" s="355"/>
      <c r="CX4" s="355"/>
      <c r="CY4" s="355"/>
      <c r="CZ4" s="355"/>
      <c r="DA4" s="355"/>
      <c r="DB4" s="355"/>
      <c r="DC4" s="355"/>
      <c r="DD4" s="355"/>
      <c r="DE4" s="355"/>
      <c r="DF4" s="355"/>
      <c r="DG4" s="355"/>
      <c r="DH4" s="355"/>
      <c r="DI4" s="355"/>
      <c r="DJ4" s="355"/>
      <c r="DK4" s="355"/>
      <c r="DL4" s="355"/>
      <c r="DM4" s="355"/>
      <c r="DN4" s="355"/>
      <c r="DO4" s="355"/>
      <c r="DP4" s="355"/>
      <c r="DQ4" s="355"/>
      <c r="DR4" s="355"/>
      <c r="DS4" s="355"/>
      <c r="DT4" s="355"/>
    </row>
    <row r="5" spans="1:124" x14ac:dyDescent="0.35">
      <c r="D5" s="448"/>
      <c r="E5" s="449"/>
      <c r="F5" s="449"/>
      <c r="G5" s="449"/>
      <c r="H5" s="449"/>
      <c r="I5" s="449"/>
      <c r="J5" s="449"/>
      <c r="K5" s="449"/>
      <c r="L5" s="449"/>
      <c r="M5" s="449"/>
      <c r="N5" s="449"/>
      <c r="O5" s="449"/>
      <c r="P5" s="449"/>
      <c r="Q5" s="449"/>
      <c r="R5" s="449"/>
      <c r="S5" s="449"/>
      <c r="T5" s="449"/>
      <c r="U5" s="450"/>
      <c r="AM5" s="355"/>
      <c r="AN5" s="355"/>
      <c r="AO5" s="355"/>
      <c r="AP5" s="355"/>
      <c r="AQ5" s="355"/>
      <c r="AR5" s="355"/>
      <c r="AS5" s="355"/>
      <c r="AT5" s="355"/>
      <c r="AU5" s="355"/>
      <c r="AV5" s="355"/>
      <c r="AW5" s="355"/>
      <c r="AX5" s="355"/>
      <c r="AY5" s="355"/>
      <c r="AZ5" s="355"/>
      <c r="BA5" s="355"/>
      <c r="BB5" s="355"/>
      <c r="BC5" s="355"/>
      <c r="BD5" s="355"/>
      <c r="BE5" s="355"/>
      <c r="BR5" s="355"/>
      <c r="BS5" s="355"/>
      <c r="BT5" s="355"/>
      <c r="BU5" s="355"/>
      <c r="BV5" s="355"/>
      <c r="BW5" s="355"/>
      <c r="BX5" s="355"/>
      <c r="BY5" s="355"/>
      <c r="BZ5" s="355"/>
      <c r="CA5" s="355"/>
      <c r="CB5" s="355"/>
      <c r="CC5" s="355"/>
      <c r="CD5" s="355"/>
      <c r="CE5" s="355"/>
      <c r="CF5" s="355"/>
      <c r="CG5" s="355"/>
      <c r="CH5" s="355"/>
      <c r="CI5" s="355"/>
      <c r="CJ5" s="355"/>
      <c r="CK5" s="355"/>
      <c r="CL5" s="355"/>
      <c r="CM5" s="355"/>
      <c r="CN5" s="355"/>
      <c r="CO5" s="355"/>
      <c r="CP5" s="355"/>
      <c r="CQ5" s="355"/>
      <c r="CR5" s="355"/>
      <c r="CS5" s="355"/>
      <c r="CT5" s="355"/>
      <c r="CU5" s="355"/>
      <c r="CV5" s="355"/>
      <c r="CW5" s="355"/>
      <c r="CX5" s="355"/>
      <c r="CY5" s="355"/>
      <c r="CZ5" s="355"/>
      <c r="DA5" s="355"/>
      <c r="DB5" s="355"/>
      <c r="DC5" s="355"/>
      <c r="DD5" s="355"/>
      <c r="DE5" s="355"/>
      <c r="DF5" s="355"/>
      <c r="DG5" s="355"/>
      <c r="DH5" s="355"/>
      <c r="DI5" s="355"/>
      <c r="DJ5" s="355"/>
      <c r="DK5" s="355"/>
      <c r="DL5" s="355"/>
      <c r="DM5" s="355"/>
      <c r="DN5" s="355"/>
      <c r="DO5" s="355"/>
      <c r="DP5" s="355"/>
      <c r="DQ5" s="355"/>
      <c r="DR5" s="355"/>
      <c r="DS5" s="355"/>
      <c r="DT5" s="355"/>
    </row>
    <row r="6" spans="1:124" ht="15" thickBot="1" x14ac:dyDescent="0.4">
      <c r="D6" s="451"/>
      <c r="E6" s="452"/>
      <c r="F6" s="452"/>
      <c r="G6" s="452"/>
      <c r="H6" s="452"/>
      <c r="I6" s="452"/>
      <c r="J6" s="452"/>
      <c r="K6" s="452"/>
      <c r="L6" s="452"/>
      <c r="M6" s="452"/>
      <c r="N6" s="452"/>
      <c r="O6" s="452"/>
      <c r="P6" s="452"/>
      <c r="Q6" s="452"/>
      <c r="R6" s="452"/>
      <c r="S6" s="452"/>
      <c r="T6" s="452"/>
      <c r="U6" s="453"/>
      <c r="AM6" s="355"/>
      <c r="AN6" s="355"/>
      <c r="AO6" s="355"/>
      <c r="AP6" s="355"/>
      <c r="AQ6" s="355"/>
      <c r="AR6" s="355"/>
      <c r="AS6" s="355"/>
      <c r="AT6" s="355"/>
      <c r="AU6" s="355"/>
      <c r="AV6" s="355"/>
      <c r="AW6" s="355"/>
      <c r="AX6" s="355"/>
      <c r="AY6" s="355"/>
      <c r="AZ6" s="355"/>
      <c r="BA6" s="355"/>
      <c r="BB6" s="355"/>
      <c r="BC6" s="355"/>
      <c r="BD6" s="355"/>
      <c r="BE6" s="355"/>
      <c r="BR6" s="355"/>
      <c r="BS6" s="355"/>
      <c r="BT6" s="355"/>
      <c r="BU6" s="355"/>
      <c r="BV6" s="355"/>
      <c r="BW6" s="355"/>
      <c r="BX6" s="355"/>
      <c r="BY6" s="355"/>
      <c r="BZ6" s="355"/>
      <c r="CA6" s="355"/>
      <c r="CB6" s="355"/>
      <c r="CC6" s="355"/>
      <c r="CD6" s="355"/>
      <c r="CE6" s="355"/>
      <c r="CF6" s="355"/>
      <c r="CG6" s="355"/>
      <c r="CH6" s="355"/>
      <c r="CI6" s="355"/>
      <c r="CJ6" s="355"/>
      <c r="CK6" s="355"/>
      <c r="CL6" s="355"/>
      <c r="CM6" s="355"/>
      <c r="CN6" s="355"/>
      <c r="CO6" s="355"/>
      <c r="CP6" s="355"/>
      <c r="CQ6" s="355"/>
      <c r="CR6" s="355"/>
      <c r="CS6" s="355"/>
      <c r="CT6" s="355"/>
      <c r="CU6" s="355"/>
      <c r="CV6" s="355"/>
      <c r="CW6" s="355"/>
      <c r="CX6" s="355"/>
      <c r="CY6" s="355"/>
      <c r="CZ6" s="355"/>
      <c r="DA6" s="355"/>
      <c r="DB6" s="355"/>
      <c r="DC6" s="355"/>
      <c r="DD6" s="355"/>
      <c r="DE6" s="355"/>
      <c r="DF6" s="355"/>
      <c r="DG6" s="355"/>
      <c r="DH6" s="355"/>
      <c r="DI6" s="355"/>
      <c r="DJ6" s="355"/>
      <c r="DK6" s="355"/>
      <c r="DL6" s="355"/>
      <c r="DM6" s="355"/>
      <c r="DN6" s="355"/>
      <c r="DO6" s="355"/>
      <c r="DP6" s="355"/>
      <c r="DQ6" s="355"/>
      <c r="DR6" s="355"/>
      <c r="DS6" s="355"/>
      <c r="DT6" s="355"/>
    </row>
    <row r="7" spans="1:124" ht="15" thickBot="1" x14ac:dyDescent="0.4">
      <c r="AM7" s="355"/>
      <c r="AN7" s="355"/>
      <c r="AO7" s="355"/>
      <c r="AP7" s="355"/>
      <c r="AQ7" s="355"/>
      <c r="AR7" s="355"/>
      <c r="AS7" s="355"/>
      <c r="AT7" s="355"/>
      <c r="AU7" s="355"/>
      <c r="AV7" s="355"/>
      <c r="AW7" s="355"/>
      <c r="AX7" s="355"/>
      <c r="AY7" s="355"/>
      <c r="AZ7" s="355"/>
      <c r="BA7" s="355"/>
      <c r="BB7" s="355"/>
      <c r="BC7" s="355"/>
      <c r="BD7" s="355"/>
      <c r="BE7" s="355"/>
      <c r="BR7" s="355"/>
      <c r="BS7" s="355"/>
      <c r="BT7" s="355"/>
      <c r="BU7" s="355"/>
      <c r="BV7" s="355"/>
      <c r="BW7" s="355"/>
      <c r="BX7" s="355"/>
      <c r="BY7" s="355"/>
      <c r="BZ7" s="355"/>
      <c r="CA7" s="355"/>
      <c r="CB7" s="355"/>
      <c r="CC7" s="355"/>
      <c r="CD7" s="355"/>
      <c r="CE7" s="355"/>
      <c r="CF7" s="355"/>
      <c r="CG7" s="355"/>
      <c r="CH7" s="355"/>
      <c r="CI7" s="355"/>
      <c r="CJ7" s="355"/>
      <c r="CK7" s="355"/>
      <c r="CL7" s="355"/>
      <c r="CM7" s="355"/>
      <c r="CN7" s="355"/>
      <c r="CO7" s="355"/>
      <c r="CP7" s="355"/>
      <c r="CQ7" s="355"/>
      <c r="CR7" s="355"/>
      <c r="CS7" s="355"/>
      <c r="CT7" s="355"/>
      <c r="CU7" s="355"/>
      <c r="CV7" s="355"/>
      <c r="CW7" s="355"/>
      <c r="CX7" s="355"/>
      <c r="CY7" s="355"/>
      <c r="CZ7" s="355"/>
      <c r="DA7" s="355"/>
      <c r="DB7" s="355"/>
      <c r="DC7" s="355"/>
      <c r="DD7" s="355"/>
      <c r="DE7" s="355"/>
      <c r="DF7" s="355"/>
      <c r="DG7" s="355"/>
      <c r="DH7" s="355"/>
      <c r="DI7" s="355"/>
      <c r="DJ7" s="355"/>
      <c r="DK7" s="355"/>
      <c r="DL7" s="355"/>
      <c r="DM7" s="355"/>
      <c r="DN7" s="355"/>
      <c r="DO7" s="355"/>
      <c r="DP7" s="355"/>
      <c r="DQ7" s="355"/>
      <c r="DR7" s="355"/>
      <c r="DS7" s="355"/>
      <c r="DT7" s="355"/>
    </row>
    <row r="8" spans="1:124" ht="19" thickBot="1" x14ac:dyDescent="0.5">
      <c r="AE8" s="515" t="s">
        <v>310</v>
      </c>
      <c r="AF8" s="516"/>
      <c r="AG8" s="516"/>
      <c r="AH8" s="517"/>
      <c r="AM8" s="355"/>
      <c r="AN8" s="355"/>
      <c r="AO8" s="355"/>
      <c r="AP8" s="355"/>
      <c r="AQ8" s="355"/>
      <c r="AR8" s="355"/>
      <c r="AS8" s="355"/>
      <c r="AT8" s="355"/>
      <c r="AU8" s="355"/>
      <c r="AV8" s="355"/>
      <c r="AW8" s="355"/>
      <c r="AX8" s="355"/>
      <c r="AY8" s="355"/>
      <c r="AZ8" s="355"/>
      <c r="BA8" s="355"/>
      <c r="BB8" s="355"/>
      <c r="BC8" s="355"/>
      <c r="BD8" s="355"/>
      <c r="BE8" s="355"/>
      <c r="BR8" s="355"/>
      <c r="BS8" s="355"/>
      <c r="BT8" s="355"/>
      <c r="BU8" s="355"/>
      <c r="BV8" s="355"/>
      <c r="BW8" s="355"/>
      <c r="BX8" s="355"/>
      <c r="BY8" s="355"/>
      <c r="BZ8" s="355"/>
      <c r="CA8" s="355"/>
      <c r="CB8" s="355"/>
      <c r="CC8" s="355"/>
      <c r="CD8" s="355"/>
      <c r="CE8" s="355"/>
      <c r="CF8" s="355"/>
      <c r="CG8" s="355"/>
      <c r="CH8" s="355"/>
      <c r="CI8" s="355"/>
      <c r="CJ8" s="355"/>
      <c r="CK8" s="355"/>
      <c r="CL8" s="355"/>
      <c r="CM8" s="355"/>
      <c r="CN8" s="355"/>
      <c r="CO8" s="355"/>
      <c r="CP8" s="355"/>
      <c r="CQ8" s="355"/>
      <c r="CR8" s="355"/>
      <c r="CS8" s="355"/>
      <c r="CT8" s="355"/>
      <c r="CU8" s="355"/>
      <c r="CV8" s="355"/>
      <c r="CW8" s="355"/>
      <c r="CX8" s="355"/>
      <c r="CY8" s="355"/>
      <c r="CZ8" s="355"/>
      <c r="DA8" s="355"/>
      <c r="DB8" s="355"/>
      <c r="DC8" s="355"/>
      <c r="DD8" s="355"/>
      <c r="DE8" s="355"/>
      <c r="DF8" s="355"/>
      <c r="DG8" s="355"/>
      <c r="DH8" s="355"/>
      <c r="DI8" s="355"/>
      <c r="DJ8" s="355"/>
      <c r="DK8" s="355"/>
      <c r="DL8" s="355"/>
      <c r="DM8" s="355"/>
      <c r="DN8" s="355"/>
      <c r="DO8" s="355"/>
      <c r="DP8" s="355"/>
      <c r="DQ8" s="355"/>
      <c r="DR8" s="355"/>
      <c r="DS8" s="355"/>
      <c r="DT8" s="355"/>
    </row>
    <row r="9" spans="1:124" ht="15" thickBot="1" x14ac:dyDescent="0.4">
      <c r="AE9" s="510" t="s">
        <v>309</v>
      </c>
      <c r="AF9" s="476"/>
      <c r="AG9" s="476"/>
      <c r="AH9" s="511"/>
      <c r="AM9" s="355"/>
      <c r="AN9" s="355"/>
      <c r="AO9" s="355"/>
      <c r="AP9" s="355"/>
      <c r="AQ9" s="356">
        <v>-838992</v>
      </c>
      <c r="AR9" s="356">
        <v>-875537</v>
      </c>
      <c r="AS9" s="355"/>
      <c r="AT9" s="355"/>
      <c r="AU9" s="355"/>
      <c r="AV9" s="355"/>
      <c r="AW9" s="355"/>
      <c r="AX9" s="355"/>
      <c r="AY9" s="355"/>
      <c r="AZ9" s="355"/>
      <c r="BA9" s="355"/>
      <c r="BB9" s="355"/>
      <c r="BC9" s="355"/>
      <c r="BD9" s="355"/>
      <c r="BE9" s="355"/>
      <c r="BR9" s="355"/>
      <c r="BS9" s="355"/>
      <c r="BT9" s="355"/>
      <c r="BU9" s="355"/>
      <c r="BV9" s="355"/>
      <c r="BW9" s="355"/>
      <c r="BX9" s="355"/>
      <c r="BY9" s="355"/>
      <c r="BZ9" s="355"/>
      <c r="CA9" s="355"/>
      <c r="CB9" s="355"/>
      <c r="CC9" s="355"/>
      <c r="CD9" s="355"/>
      <c r="CE9" s="355"/>
      <c r="CF9" s="355"/>
      <c r="CG9" s="355"/>
      <c r="CH9" s="355"/>
      <c r="CI9" s="355"/>
      <c r="CJ9" s="355"/>
      <c r="CK9" s="355"/>
      <c r="CL9" s="355"/>
      <c r="CM9" s="355"/>
      <c r="CN9" s="355"/>
      <c r="CO9" s="355"/>
      <c r="CP9" s="355"/>
      <c r="CQ9" s="355"/>
      <c r="CR9" s="355"/>
      <c r="CS9" s="355"/>
      <c r="CT9" s="355"/>
      <c r="CU9" s="355"/>
      <c r="CV9" s="355"/>
      <c r="CW9" s="355"/>
      <c r="CX9" s="355"/>
      <c r="CY9" s="355"/>
      <c r="CZ9" s="355"/>
      <c r="DA9" s="355"/>
      <c r="DB9" s="355"/>
      <c r="DC9" s="355"/>
      <c r="DD9" s="355"/>
      <c r="DE9" s="355"/>
      <c r="DF9" s="355"/>
      <c r="DG9" s="355"/>
      <c r="DH9" s="355"/>
      <c r="DI9" s="355"/>
      <c r="DJ9" s="355"/>
      <c r="DK9" s="355"/>
      <c r="DL9" s="355"/>
      <c r="DM9" s="355"/>
      <c r="DN9" s="355"/>
      <c r="DO9" s="355"/>
      <c r="DP9" s="355"/>
      <c r="DQ9" s="355"/>
      <c r="DR9" s="355"/>
      <c r="DS9" s="355"/>
      <c r="DT9" s="355"/>
    </row>
    <row r="10" spans="1:124" ht="16.5" thickBot="1" x14ac:dyDescent="0.4">
      <c r="A10" s="160" t="s">
        <v>262</v>
      </c>
      <c r="E10" s="454" t="s">
        <v>101</v>
      </c>
      <c r="F10" s="455"/>
      <c r="G10" s="455"/>
      <c r="H10" s="455"/>
      <c r="I10" s="456"/>
      <c r="J10" s="454" t="s">
        <v>102</v>
      </c>
      <c r="K10" s="455"/>
      <c r="L10" s="455"/>
      <c r="M10" s="455"/>
      <c r="N10" s="456"/>
      <c r="O10" s="454" t="s">
        <v>103</v>
      </c>
      <c r="P10" s="455"/>
      <c r="Q10" s="455"/>
      <c r="R10" s="455"/>
      <c r="S10" s="456"/>
      <c r="T10" s="454" t="s">
        <v>104</v>
      </c>
      <c r="U10" s="455"/>
      <c r="V10" s="455"/>
      <c r="W10" s="455"/>
      <c r="X10" s="456"/>
      <c r="Y10" s="454" t="s">
        <v>105</v>
      </c>
      <c r="Z10" s="455"/>
      <c r="AA10" s="455"/>
      <c r="AB10" s="455"/>
      <c r="AC10" s="456"/>
      <c r="AE10" s="510"/>
      <c r="AF10" s="476"/>
      <c r="AG10" s="476"/>
      <c r="AH10" s="511"/>
      <c r="AM10" s="355"/>
      <c r="AN10" s="355"/>
      <c r="AO10" s="355"/>
      <c r="AP10" s="355"/>
      <c r="AQ10" s="356">
        <v>-124236</v>
      </c>
      <c r="AR10" s="356">
        <v>-103426</v>
      </c>
      <c r="AS10" s="355"/>
      <c r="AT10" s="355"/>
      <c r="AU10" s="355"/>
      <c r="AV10" s="355"/>
      <c r="AW10" s="355"/>
      <c r="AX10" s="355"/>
      <c r="AY10" s="355"/>
      <c r="AZ10" s="355"/>
      <c r="BA10" s="355"/>
      <c r="BB10" s="355"/>
      <c r="BC10" s="355"/>
      <c r="BD10" s="355"/>
      <c r="BE10" s="355"/>
      <c r="BR10" s="355"/>
      <c r="BS10" s="355"/>
      <c r="BT10" s="355"/>
      <c r="BU10" s="355"/>
      <c r="BV10" s="355"/>
      <c r="BW10" s="355"/>
      <c r="BX10" s="355"/>
      <c r="BY10" s="355"/>
      <c r="BZ10" s="355"/>
      <c r="CA10" s="355"/>
      <c r="CB10" s="355"/>
      <c r="CC10" s="355"/>
      <c r="CD10" s="355"/>
      <c r="CE10" s="355"/>
      <c r="CF10" s="355"/>
      <c r="CG10" s="355"/>
      <c r="CH10" s="355"/>
      <c r="CI10" s="355"/>
      <c r="CJ10" s="355"/>
      <c r="CK10" s="355"/>
      <c r="CL10" s="355"/>
      <c r="CM10" s="355"/>
      <c r="CN10" s="355"/>
      <c r="CO10" s="355"/>
      <c r="CP10" s="355"/>
      <c r="CQ10" s="355"/>
      <c r="CR10" s="355"/>
      <c r="CS10" s="355"/>
      <c r="CT10" s="355"/>
      <c r="CU10" s="355"/>
      <c r="CV10" s="355"/>
      <c r="CW10" s="355"/>
      <c r="CX10" s="355"/>
      <c r="CY10" s="355"/>
      <c r="CZ10" s="355"/>
      <c r="DA10" s="355"/>
      <c r="DB10" s="355"/>
      <c r="DC10" s="355"/>
      <c r="DD10" s="355"/>
      <c r="DE10" s="355"/>
      <c r="DF10" s="355"/>
      <c r="DG10" s="355"/>
      <c r="DH10" s="355"/>
      <c r="DI10" s="355"/>
      <c r="DJ10" s="355"/>
      <c r="DK10" s="355"/>
      <c r="DL10" s="355"/>
      <c r="DM10" s="355"/>
      <c r="DN10" s="355"/>
      <c r="DO10" s="355"/>
      <c r="DP10" s="355"/>
      <c r="DQ10" s="355"/>
      <c r="DR10" s="355"/>
      <c r="DS10" s="355"/>
      <c r="DT10" s="355"/>
    </row>
    <row r="11" spans="1:124" ht="15" thickBot="1" x14ac:dyDescent="0.4">
      <c r="B11" s="58" t="s">
        <v>2</v>
      </c>
      <c r="C11" s="125" t="s">
        <v>94</v>
      </c>
      <c r="D11" s="83" t="s">
        <v>0</v>
      </c>
      <c r="E11" s="62">
        <v>2020</v>
      </c>
      <c r="F11" s="63">
        <v>2021</v>
      </c>
      <c r="G11" s="63">
        <v>2022</v>
      </c>
      <c r="H11" s="63">
        <v>2023</v>
      </c>
      <c r="I11" s="64">
        <v>2024</v>
      </c>
      <c r="J11" s="62">
        <v>2020</v>
      </c>
      <c r="K11" s="63">
        <v>2021</v>
      </c>
      <c r="L11" s="63">
        <v>2022</v>
      </c>
      <c r="M11" s="63">
        <v>2023</v>
      </c>
      <c r="N11" s="64">
        <v>2024</v>
      </c>
      <c r="O11" s="62">
        <v>2020</v>
      </c>
      <c r="P11" s="63">
        <v>2021</v>
      </c>
      <c r="Q11" s="63">
        <v>2022</v>
      </c>
      <c r="R11" s="63">
        <v>2023</v>
      </c>
      <c r="S11" s="64">
        <v>2024</v>
      </c>
      <c r="T11" s="62">
        <v>2020</v>
      </c>
      <c r="U11" s="63">
        <v>2021</v>
      </c>
      <c r="V11" s="63">
        <v>2022</v>
      </c>
      <c r="W11" s="63">
        <v>2023</v>
      </c>
      <c r="X11" s="64">
        <v>2024</v>
      </c>
      <c r="Y11" s="62">
        <v>2020</v>
      </c>
      <c r="Z11" s="63">
        <v>2021</v>
      </c>
      <c r="AA11" s="63">
        <v>2022</v>
      </c>
      <c r="AB11" s="63">
        <v>2023</v>
      </c>
      <c r="AC11" s="64">
        <v>2024</v>
      </c>
      <c r="AD11" s="11"/>
      <c r="AE11" s="510"/>
      <c r="AF11" s="476"/>
      <c r="AG11" s="476"/>
      <c r="AH11" s="511"/>
      <c r="AI11" s="11"/>
      <c r="AM11" s="355"/>
      <c r="AN11" s="355"/>
      <c r="AO11" s="355"/>
      <c r="AP11" s="355"/>
      <c r="AQ11" s="355"/>
      <c r="AR11" s="355"/>
      <c r="AS11" s="355"/>
      <c r="AT11" s="355"/>
      <c r="AU11" s="355"/>
      <c r="AV11" s="355"/>
      <c r="AW11" s="355"/>
      <c r="AX11" s="355"/>
      <c r="AY11" s="355"/>
      <c r="AZ11" s="355"/>
      <c r="BA11" s="355"/>
      <c r="BB11" s="355"/>
      <c r="BC11" s="355"/>
      <c r="BD11" s="355"/>
      <c r="BE11" s="355"/>
      <c r="BR11" s="355"/>
      <c r="BS11" s="355"/>
      <c r="BT11" s="355"/>
      <c r="BU11" s="355"/>
      <c r="BV11" s="355"/>
      <c r="BW11" s="355"/>
      <c r="BX11" s="355"/>
      <c r="BY11" s="355"/>
      <c r="BZ11" s="355"/>
      <c r="CA11" s="357"/>
      <c r="CB11" s="357" t="s">
        <v>127</v>
      </c>
      <c r="CC11" s="357">
        <v>1594776</v>
      </c>
      <c r="CD11" s="357">
        <v>593661</v>
      </c>
      <c r="CE11" s="357">
        <v>819834</v>
      </c>
      <c r="CF11" s="357">
        <v>2880132</v>
      </c>
      <c r="CG11" s="357">
        <v>3537031</v>
      </c>
      <c r="CH11" s="357"/>
      <c r="CI11" s="357"/>
      <c r="CJ11" s="357"/>
      <c r="CK11" s="357"/>
      <c r="CL11" s="357"/>
      <c r="CM11" s="357"/>
      <c r="CN11" s="357"/>
      <c r="CO11" s="357"/>
      <c r="CP11" s="357"/>
      <c r="CQ11" s="357"/>
      <c r="CR11" s="357"/>
      <c r="CS11" s="357"/>
      <c r="CT11" s="357"/>
      <c r="CU11" s="357"/>
      <c r="CV11" s="357"/>
      <c r="CW11" s="357"/>
      <c r="CX11" s="357"/>
      <c r="CY11" s="357"/>
      <c r="CZ11" s="357"/>
      <c r="DA11" s="357"/>
      <c r="DB11" s="357"/>
      <c r="DC11" s="357"/>
      <c r="DD11" s="357"/>
      <c r="DE11" s="357"/>
      <c r="DF11" s="357"/>
      <c r="DG11" s="355"/>
      <c r="DH11" s="355"/>
      <c r="DI11" s="355"/>
      <c r="DJ11" s="355"/>
      <c r="DK11" s="355"/>
      <c r="DL11" s="355"/>
      <c r="DM11" s="355"/>
      <c r="DN11" s="355"/>
      <c r="DO11" s="355"/>
      <c r="DP11" s="355"/>
      <c r="DQ11" s="355"/>
      <c r="DR11" s="355"/>
      <c r="DS11" s="355"/>
      <c r="DT11" s="355"/>
    </row>
    <row r="12" spans="1:124" x14ac:dyDescent="0.35">
      <c r="B12" s="59" t="s">
        <v>95</v>
      </c>
      <c r="C12" s="126"/>
      <c r="D12" s="74"/>
      <c r="E12" s="66">
        <v>19887288</v>
      </c>
      <c r="F12" s="67">
        <v>24297069</v>
      </c>
      <c r="G12" s="67">
        <v>36675941</v>
      </c>
      <c r="H12" s="67">
        <v>40451882</v>
      </c>
      <c r="I12" s="68">
        <v>40284963</v>
      </c>
      <c r="J12" s="66">
        <v>15646865</v>
      </c>
      <c r="K12" s="67">
        <v>16708530</v>
      </c>
      <c r="L12" s="67">
        <v>25064470</v>
      </c>
      <c r="M12" s="67">
        <v>41416776</v>
      </c>
      <c r="N12" s="69">
        <v>47564968</v>
      </c>
      <c r="O12" s="66">
        <v>6144725</v>
      </c>
      <c r="P12" s="67">
        <v>7814235</v>
      </c>
      <c r="Q12" s="67">
        <v>8885580</v>
      </c>
      <c r="R12" s="67">
        <v>9159074</v>
      </c>
      <c r="S12" s="68">
        <v>12211807</v>
      </c>
      <c r="T12" s="66">
        <v>3908767</v>
      </c>
      <c r="U12" s="67">
        <v>5113725</v>
      </c>
      <c r="V12" s="67">
        <v>5616979</v>
      </c>
      <c r="W12" s="67">
        <v>6843729</v>
      </c>
      <c r="X12" s="68">
        <v>6775780</v>
      </c>
      <c r="Y12" s="67">
        <v>8022933</v>
      </c>
      <c r="Z12" s="67">
        <v>8699206</v>
      </c>
      <c r="AA12" s="67">
        <v>10807055</v>
      </c>
      <c r="AB12" s="67">
        <v>11710384</v>
      </c>
      <c r="AC12" s="68">
        <v>13704349</v>
      </c>
      <c r="AE12" s="510"/>
      <c r="AF12" s="476"/>
      <c r="AG12" s="476"/>
      <c r="AH12" s="511"/>
      <c r="AM12" s="355"/>
      <c r="AN12" s="355"/>
      <c r="AO12" s="355"/>
      <c r="AP12" s="355"/>
      <c r="AQ12" s="355"/>
      <c r="AR12" s="355"/>
      <c r="AS12" s="355"/>
      <c r="AT12" s="355"/>
      <c r="AU12" s="355"/>
      <c r="AV12" s="355"/>
      <c r="AW12" s="355"/>
      <c r="AX12" s="355"/>
      <c r="AY12" s="355"/>
      <c r="AZ12" s="355"/>
      <c r="BA12" s="355"/>
      <c r="BB12" s="355"/>
      <c r="BC12" s="355"/>
      <c r="BD12" s="355"/>
      <c r="BE12" s="355"/>
      <c r="BR12" s="355"/>
      <c r="BS12" s="355"/>
      <c r="BT12" s="355"/>
      <c r="BU12" s="355"/>
      <c r="BV12" s="355"/>
      <c r="BW12" s="355"/>
      <c r="BX12" s="355"/>
      <c r="BY12" s="355"/>
      <c r="BZ12" s="355"/>
      <c r="CA12" s="357"/>
      <c r="CB12" s="357" t="s">
        <v>128</v>
      </c>
      <c r="CC12" s="356">
        <v>1206718</v>
      </c>
      <c r="CD12" s="356">
        <v>2269356</v>
      </c>
      <c r="CE12" s="356">
        <v>3950548</v>
      </c>
      <c r="CF12" s="356">
        <v>7740898</v>
      </c>
      <c r="CG12" s="356">
        <v>4520013</v>
      </c>
      <c r="CH12" s="357"/>
      <c r="CI12" s="357"/>
      <c r="CJ12" s="357"/>
      <c r="CK12" s="357"/>
      <c r="CL12" s="357"/>
      <c r="CM12" s="357"/>
      <c r="CN12" s="357"/>
      <c r="CO12" s="357"/>
      <c r="CP12" s="357"/>
      <c r="CQ12" s="357"/>
      <c r="CR12" s="357"/>
      <c r="CS12" s="357"/>
      <c r="CT12" s="356">
        <v>4520014</v>
      </c>
      <c r="CU12" s="357"/>
      <c r="CV12" s="357"/>
      <c r="CW12" s="357"/>
      <c r="CX12" s="356">
        <v>4520015</v>
      </c>
      <c r="CY12" s="357"/>
      <c r="CZ12" s="357"/>
      <c r="DA12" s="357"/>
      <c r="DB12" s="357"/>
      <c r="DC12" s="357"/>
      <c r="DD12" s="357"/>
      <c r="DE12" s="357"/>
      <c r="DF12" s="357"/>
      <c r="DG12" s="355"/>
      <c r="DH12" s="355"/>
      <c r="DI12" s="355"/>
      <c r="DJ12" s="355"/>
      <c r="DK12" s="355"/>
      <c r="DL12" s="355"/>
      <c r="DM12" s="355"/>
      <c r="DN12" s="355"/>
      <c r="DO12" s="355"/>
      <c r="DP12" s="355"/>
      <c r="DQ12" s="355"/>
      <c r="DR12" s="355"/>
      <c r="DS12" s="355"/>
      <c r="DT12" s="355"/>
    </row>
    <row r="13" spans="1:124" ht="26.5" customHeight="1" x14ac:dyDescent="0.35">
      <c r="B13" s="361" t="s">
        <v>109</v>
      </c>
      <c r="C13" s="127" t="s">
        <v>122</v>
      </c>
      <c r="D13" s="74"/>
      <c r="E13" s="70">
        <v>108339</v>
      </c>
      <c r="F13" s="65">
        <v>137720</v>
      </c>
      <c r="G13" s="71">
        <v>139099</v>
      </c>
      <c r="H13" s="71">
        <v>124866</v>
      </c>
      <c r="I13" s="72">
        <v>111507</v>
      </c>
      <c r="J13" s="73">
        <v>372518</v>
      </c>
      <c r="K13" s="71">
        <v>396609</v>
      </c>
      <c r="L13" s="71">
        <v>443974</v>
      </c>
      <c r="M13" s="71">
        <v>512002</v>
      </c>
      <c r="N13" s="72">
        <v>544572</v>
      </c>
      <c r="O13" s="70">
        <f>(38122*O12)/(O12+T12+Y12)</f>
        <v>12958.823796740782</v>
      </c>
      <c r="P13" s="65">
        <f>(45522*P12)/(P12+U12+Z12)</f>
        <v>16447.814090389835</v>
      </c>
      <c r="Q13" s="65">
        <f>(46217*Q12)/(Q12+V12+AA12)</f>
        <v>16225.646541270838</v>
      </c>
      <c r="R13" s="65">
        <f>(42150*R12)/(R12+W12+AB12)</f>
        <v>13930.370732893334</v>
      </c>
      <c r="S13" s="74">
        <f>(47250*S12)/(S12+X12+AC12)</f>
        <v>17649.853491393107</v>
      </c>
      <c r="T13" s="70">
        <f>(38122*T12)/(O12+T12+Y12)</f>
        <v>8243.3343746896862</v>
      </c>
      <c r="U13" s="65">
        <f>(45522*U12)/(P12+U12+Z12)</f>
        <v>10763.638169235859</v>
      </c>
      <c r="V13" s="65">
        <f>(46217*V12)/(Q12+V12+AA12)</f>
        <v>10256.968693517018</v>
      </c>
      <c r="W13" s="65">
        <f>(42150*W12)/(R12+W12+AB12)</f>
        <v>10408.87781509936</v>
      </c>
      <c r="X13" s="74">
        <f>(47250*X12)/(S12+X12+AC12)</f>
        <v>9793.106318328777</v>
      </c>
      <c r="Y13" s="65">
        <f>(38122*Y12)/(O12+T12+Y12)</f>
        <v>16919.841828569533</v>
      </c>
      <c r="Z13" s="65">
        <f>(45522*Z12)/(P12+U12+Z12)</f>
        <v>18310.547740374306</v>
      </c>
      <c r="AA13" s="65">
        <f>(46217*AA12)/(Q12+V12+AA12)</f>
        <v>19734.384765212144</v>
      </c>
      <c r="AB13" s="65">
        <f>(42150*AB12)/(R12+W12+AB12)</f>
        <v>17810.751452007305</v>
      </c>
      <c r="AC13" s="74">
        <f>(47250*AC12)/(S12+X12+AC12)</f>
        <v>19807.040190278116</v>
      </c>
      <c r="AE13" s="510"/>
      <c r="AF13" s="476"/>
      <c r="AG13" s="476"/>
      <c r="AH13" s="511"/>
      <c r="AM13" s="355"/>
      <c r="AN13" s="355"/>
      <c r="AO13" s="355"/>
      <c r="AP13" s="355"/>
      <c r="AQ13" s="355"/>
      <c r="AR13" s="355"/>
      <c r="AS13" s="355"/>
      <c r="AT13" s="355"/>
      <c r="AU13" s="355"/>
      <c r="AV13" s="355"/>
      <c r="AW13" s="355"/>
      <c r="AX13" s="355"/>
      <c r="AY13" s="355"/>
      <c r="AZ13" s="355"/>
      <c r="BA13" s="355"/>
      <c r="BB13" s="355"/>
      <c r="BC13" s="355"/>
      <c r="BD13" s="355"/>
      <c r="BE13" s="355"/>
      <c r="BR13" s="355"/>
      <c r="BS13" s="355"/>
      <c r="BT13" s="355"/>
      <c r="BU13" s="355"/>
      <c r="BV13" s="355"/>
      <c r="BW13" s="355"/>
      <c r="BX13" s="355"/>
      <c r="BY13" s="355"/>
      <c r="BZ13" s="355"/>
      <c r="CA13" s="357"/>
      <c r="CB13" s="357"/>
      <c r="CC13" s="357"/>
      <c r="CD13" s="357"/>
      <c r="CE13" s="357"/>
      <c r="CF13" s="357"/>
      <c r="CG13" s="357"/>
      <c r="CH13" s="357"/>
      <c r="CI13" s="357"/>
      <c r="CJ13" s="356">
        <v>-1558731</v>
      </c>
      <c r="CK13" s="356">
        <v>-1258155</v>
      </c>
      <c r="CL13" s="357"/>
      <c r="CM13" s="358" t="s">
        <v>110</v>
      </c>
      <c r="CN13" s="358" t="s">
        <v>111</v>
      </c>
      <c r="CO13" s="358" t="s">
        <v>112</v>
      </c>
      <c r="CP13" s="358" t="s">
        <v>113</v>
      </c>
      <c r="CQ13" s="358" t="s">
        <v>114</v>
      </c>
      <c r="CR13" s="358" t="s">
        <v>115</v>
      </c>
      <c r="CS13" s="358" t="s">
        <v>116</v>
      </c>
      <c r="CT13" s="357"/>
      <c r="CU13" s="357"/>
      <c r="CV13" s="357"/>
      <c r="CW13" s="356">
        <v>-957579</v>
      </c>
      <c r="CX13" s="357"/>
      <c r="CY13" s="357"/>
      <c r="CZ13" s="357"/>
      <c r="DA13" s="356">
        <v>-957579</v>
      </c>
      <c r="DB13" s="356">
        <v>-657003</v>
      </c>
      <c r="DC13" s="357"/>
      <c r="DD13" s="357"/>
      <c r="DE13" s="357"/>
      <c r="DF13" s="357"/>
      <c r="DG13" s="355"/>
      <c r="DH13" s="355"/>
      <c r="DI13" s="355"/>
      <c r="DJ13" s="355"/>
      <c r="DK13" s="355"/>
      <c r="DL13" s="355"/>
      <c r="DM13" s="355"/>
      <c r="DN13" s="355"/>
      <c r="DO13" s="355"/>
      <c r="DP13" s="355"/>
      <c r="DQ13" s="355"/>
      <c r="DR13" s="355"/>
      <c r="DS13" s="355"/>
      <c r="DT13" s="355"/>
    </row>
    <row r="14" spans="1:124" x14ac:dyDescent="0.35">
      <c r="B14" s="361" t="s">
        <v>96</v>
      </c>
      <c r="C14" s="126"/>
      <c r="D14" s="74"/>
      <c r="E14" s="73">
        <v>122250</v>
      </c>
      <c r="F14" s="71">
        <v>122250</v>
      </c>
      <c r="G14" s="71">
        <v>122250</v>
      </c>
      <c r="H14" s="71">
        <v>122250</v>
      </c>
      <c r="I14" s="72">
        <v>122250</v>
      </c>
      <c r="J14" s="73">
        <v>425000</v>
      </c>
      <c r="K14" s="71">
        <v>425000</v>
      </c>
      <c r="L14" s="65">
        <v>442000</v>
      </c>
      <c r="M14" s="71">
        <v>560000</v>
      </c>
      <c r="N14" s="72">
        <v>560000</v>
      </c>
      <c r="O14" s="73">
        <f>(40000*O12)/(O12+T12+Y12)</f>
        <v>13597.212944484321</v>
      </c>
      <c r="P14" s="71">
        <f>(54000*P12)/(P12+U12+Z12)</f>
        <v>19511.048743048443</v>
      </c>
      <c r="Q14" s="71">
        <f>(54000*Q12)/(Q12+V12+AA12)</f>
        <v>18958.065500327266</v>
      </c>
      <c r="R14" s="65">
        <f>(54000*R12)/(R12+W12+AB12)</f>
        <v>17846.73830548612</v>
      </c>
      <c r="S14" s="74">
        <f>(54000*S12)/(S12+X12+AC12)</f>
        <v>20171.261133020693</v>
      </c>
      <c r="T14" s="70">
        <f>(40000*T12)/(O12+T12+Y12)</f>
        <v>8649.4248724512727</v>
      </c>
      <c r="U14" s="65">
        <f>(54000*U12)/(P12+U12+Z12)</f>
        <v>12768.254056033047</v>
      </c>
      <c r="V14" s="65">
        <f>(54000*V12)/(Q12+V12+AA12)</f>
        <v>11984.254915938267</v>
      </c>
      <c r="W14" s="65">
        <f>(54000*W12)/(R12+W12+AB12)</f>
        <v>13335.217129664661</v>
      </c>
      <c r="X14" s="74">
        <f>(54000*X12)/(S12+X12+AC12)</f>
        <v>11192.121506661459</v>
      </c>
      <c r="Y14" s="65">
        <f>(40000*Y12)/(O12+T12+Y12)</f>
        <v>17753.362183064404</v>
      </c>
      <c r="Z14" s="65">
        <f t="shared" ref="Z14" si="0">(54000*Z12)/(P12+U12+Z12)</f>
        <v>21720.697200918512</v>
      </c>
      <c r="AA14" s="65">
        <f>(54000*AA12)/(Q12+V12+AA12)</f>
        <v>23057.679583734465</v>
      </c>
      <c r="AB14" s="65">
        <f>(54000*AB12)/(R12+W12+AB12)</f>
        <v>22818.044564849217</v>
      </c>
      <c r="AC14" s="74">
        <f>(54000*AC12)/(S12+X12+AC12)</f>
        <v>22636.617360317847</v>
      </c>
      <c r="AE14" s="510"/>
      <c r="AF14" s="476"/>
      <c r="AG14" s="476"/>
      <c r="AH14" s="511"/>
      <c r="AM14" s="355"/>
      <c r="AN14" s="355"/>
      <c r="AO14" s="355"/>
      <c r="AP14" s="355"/>
      <c r="AQ14" s="355"/>
      <c r="AR14" s="355"/>
      <c r="AS14" s="355"/>
      <c r="AT14" s="355"/>
      <c r="AU14" s="355"/>
      <c r="AV14" s="355"/>
      <c r="AW14" s="355"/>
      <c r="AX14" s="355"/>
      <c r="AY14" s="355"/>
      <c r="AZ14" s="355"/>
      <c r="BA14" s="355"/>
      <c r="BB14" s="355"/>
      <c r="BC14" s="355"/>
      <c r="BD14" s="355"/>
      <c r="BE14" s="355"/>
      <c r="BR14" s="355"/>
      <c r="BS14" s="355"/>
      <c r="BT14" s="355"/>
      <c r="BU14" s="355"/>
      <c r="BV14" s="355"/>
      <c r="BW14" s="355"/>
      <c r="BX14" s="355"/>
      <c r="BY14" s="355"/>
      <c r="BZ14" s="355"/>
      <c r="CA14" s="357"/>
      <c r="CB14" s="357"/>
      <c r="CC14" s="357"/>
      <c r="CD14" s="357"/>
      <c r="CE14" s="357"/>
      <c r="CF14" s="357"/>
      <c r="CG14" s="357"/>
      <c r="CH14" s="357"/>
      <c r="CI14" s="357"/>
      <c r="CJ14" s="356">
        <v>-384643</v>
      </c>
      <c r="CK14" s="356">
        <v>-222205</v>
      </c>
      <c r="CL14" s="357"/>
      <c r="CM14" s="359" t="s">
        <v>101</v>
      </c>
      <c r="CN14" s="360">
        <v>24297069</v>
      </c>
      <c r="CO14" s="360">
        <v>3298761</v>
      </c>
      <c r="CP14" s="360">
        <v>20998308</v>
      </c>
      <c r="CQ14" s="360">
        <v>36675941</v>
      </c>
      <c r="CR14" s="360">
        <v>4578504</v>
      </c>
      <c r="CS14" s="360">
        <v>32097437</v>
      </c>
      <c r="CT14" s="357"/>
      <c r="CU14" s="357"/>
      <c r="CV14" s="357"/>
      <c r="CW14" s="356">
        <v>-59767</v>
      </c>
      <c r="CX14" s="357"/>
      <c r="CY14" s="357"/>
      <c r="CZ14" s="357"/>
      <c r="DA14" s="356">
        <v>-59767</v>
      </c>
      <c r="DB14" s="356">
        <v>102671</v>
      </c>
      <c r="DC14" s="357"/>
      <c r="DD14" s="357"/>
      <c r="DE14" s="357"/>
      <c r="DF14" s="357"/>
      <c r="DG14" s="355"/>
      <c r="DH14" s="355"/>
      <c r="DI14" s="355"/>
      <c r="DJ14" s="355"/>
      <c r="DK14" s="355"/>
      <c r="DL14" s="355"/>
      <c r="DM14" s="355"/>
      <c r="DN14" s="355"/>
      <c r="DO14" s="355"/>
      <c r="DP14" s="355"/>
      <c r="DQ14" s="355"/>
      <c r="DR14" s="355"/>
      <c r="DS14" s="355"/>
      <c r="DT14" s="355"/>
    </row>
    <row r="15" spans="1:124" x14ac:dyDescent="0.35">
      <c r="B15" s="361" t="s">
        <v>97</v>
      </c>
      <c r="C15" s="126"/>
      <c r="D15" s="74"/>
      <c r="E15" s="75">
        <f>E13/E14</f>
        <v>0.88620858895705523</v>
      </c>
      <c r="F15" s="76">
        <f>F13/F14</f>
        <v>1.1265439672801636</v>
      </c>
      <c r="G15" s="76">
        <f t="shared" ref="G15:AC15" si="1">G13/G14</f>
        <v>1.1378241308793455</v>
      </c>
      <c r="H15" s="76">
        <f t="shared" si="1"/>
        <v>1.0213987730061349</v>
      </c>
      <c r="I15" s="77">
        <f t="shared" si="1"/>
        <v>0.91212269938650303</v>
      </c>
      <c r="J15" s="75">
        <f t="shared" si="1"/>
        <v>0.87651294117647061</v>
      </c>
      <c r="K15" s="76">
        <f t="shared" si="1"/>
        <v>0.93319764705882358</v>
      </c>
      <c r="L15" s="76">
        <f t="shared" si="1"/>
        <v>1.0044660633484164</v>
      </c>
      <c r="M15" s="76">
        <f t="shared" si="1"/>
        <v>0.91428928571428569</v>
      </c>
      <c r="N15" s="77">
        <f t="shared" si="1"/>
        <v>0.97245000000000004</v>
      </c>
      <c r="O15" s="75">
        <f t="shared" si="1"/>
        <v>0.95304999999999995</v>
      </c>
      <c r="P15" s="76">
        <f t="shared" si="1"/>
        <v>0.84299999999999986</v>
      </c>
      <c r="Q15" s="76">
        <f t="shared" si="1"/>
        <v>0.85587037037037039</v>
      </c>
      <c r="R15" s="76">
        <f t="shared" si="1"/>
        <v>0.78055555555555567</v>
      </c>
      <c r="S15" s="77">
        <f t="shared" si="1"/>
        <v>0.875</v>
      </c>
      <c r="T15" s="75">
        <f t="shared" si="1"/>
        <v>0.95305000000000006</v>
      </c>
      <c r="U15" s="76">
        <f t="shared" si="1"/>
        <v>0.84299999999999997</v>
      </c>
      <c r="V15" s="76">
        <f t="shared" si="1"/>
        <v>0.8558703703703705</v>
      </c>
      <c r="W15" s="76">
        <f t="shared" si="1"/>
        <v>0.78055555555555556</v>
      </c>
      <c r="X15" s="77">
        <f t="shared" si="1"/>
        <v>0.87500000000000011</v>
      </c>
      <c r="Y15" s="76">
        <f t="shared" si="1"/>
        <v>0.95305000000000017</v>
      </c>
      <c r="Z15" s="76">
        <f t="shared" si="1"/>
        <v>0.84299999999999997</v>
      </c>
      <c r="AA15" s="76">
        <f t="shared" si="1"/>
        <v>0.85587037037037039</v>
      </c>
      <c r="AB15" s="76">
        <f t="shared" si="1"/>
        <v>0.78055555555555556</v>
      </c>
      <c r="AC15" s="77">
        <f t="shared" si="1"/>
        <v>0.875</v>
      </c>
      <c r="AE15" s="510"/>
      <c r="AF15" s="476"/>
      <c r="AG15" s="476"/>
      <c r="AH15" s="511"/>
      <c r="AM15" s="355"/>
      <c r="AN15" s="355"/>
      <c r="AO15" s="355"/>
      <c r="AP15" s="355"/>
      <c r="AQ15" s="355"/>
      <c r="AR15" s="355"/>
      <c r="AS15" s="355"/>
      <c r="AT15" s="355"/>
      <c r="AU15" s="355"/>
      <c r="AV15" s="355"/>
      <c r="AW15" s="355"/>
      <c r="AX15" s="355"/>
      <c r="AY15" s="355"/>
      <c r="AZ15" s="355"/>
      <c r="BA15" s="355"/>
      <c r="BB15" s="355"/>
      <c r="BC15" s="355"/>
      <c r="BD15" s="355"/>
      <c r="BE15" s="355"/>
      <c r="BR15" s="355"/>
      <c r="BS15" s="355"/>
      <c r="BT15" s="355"/>
      <c r="BU15" s="355"/>
      <c r="BV15" s="355"/>
      <c r="BW15" s="355"/>
      <c r="BX15" s="355"/>
      <c r="BY15" s="355"/>
      <c r="BZ15" s="355"/>
      <c r="CA15" s="357"/>
      <c r="CB15" s="357"/>
      <c r="CC15" s="357"/>
      <c r="CD15" s="357"/>
      <c r="CE15" s="357"/>
      <c r="CF15" s="357"/>
      <c r="CG15" s="357"/>
      <c r="CH15" s="357"/>
      <c r="CI15" s="357"/>
      <c r="CJ15" s="357"/>
      <c r="CK15" s="357"/>
      <c r="CL15" s="357"/>
      <c r="CM15" s="359" t="s">
        <v>102</v>
      </c>
      <c r="CN15" s="360">
        <v>16708530</v>
      </c>
      <c r="CO15" s="360">
        <v>5145066</v>
      </c>
      <c r="CP15" s="360">
        <v>11563464</v>
      </c>
      <c r="CQ15" s="360">
        <v>25064470</v>
      </c>
      <c r="CR15" s="360">
        <v>6536946</v>
      </c>
      <c r="CS15" s="360">
        <v>18527524</v>
      </c>
      <c r="CT15" s="357"/>
      <c r="CU15" s="357"/>
      <c r="CV15" s="357"/>
      <c r="CW15" s="357"/>
      <c r="CX15" s="357"/>
      <c r="CY15" s="357"/>
      <c r="CZ15" s="357"/>
      <c r="DA15" s="357"/>
      <c r="DB15" s="357"/>
      <c r="DC15" s="357"/>
      <c r="DD15" s="357"/>
      <c r="DE15" s="357"/>
      <c r="DF15" s="357"/>
      <c r="DG15" s="355"/>
      <c r="DH15" s="355"/>
      <c r="DI15" s="355"/>
      <c r="DJ15" s="355"/>
      <c r="DK15" s="355"/>
      <c r="DL15" s="355"/>
      <c r="DM15" s="355"/>
      <c r="DN15" s="355"/>
      <c r="DO15" s="355"/>
      <c r="DP15" s="355"/>
      <c r="DQ15" s="355"/>
      <c r="DR15" s="355"/>
      <c r="DS15" s="355"/>
      <c r="DT15" s="355"/>
    </row>
    <row r="16" spans="1:124" ht="20.5" customHeight="1" thickBot="1" x14ac:dyDescent="0.4">
      <c r="B16" s="362" t="s">
        <v>98</v>
      </c>
      <c r="C16" s="128"/>
      <c r="D16" s="80"/>
      <c r="E16" s="363">
        <f>E12/E13</f>
        <v>183.56536427325341</v>
      </c>
      <c r="F16" s="364">
        <f t="shared" ref="F16:AC16" si="2">F12/F13</f>
        <v>176.42367847807145</v>
      </c>
      <c r="G16" s="364">
        <f t="shared" si="2"/>
        <v>263.66789840329551</v>
      </c>
      <c r="H16" s="364">
        <f t="shared" si="2"/>
        <v>323.96234363237392</v>
      </c>
      <c r="I16" s="365">
        <f t="shared" si="2"/>
        <v>361.27743549732304</v>
      </c>
      <c r="J16" s="363">
        <f t="shared" si="2"/>
        <v>42.002977037351215</v>
      </c>
      <c r="K16" s="364">
        <f t="shared" si="2"/>
        <v>42.128469096767851</v>
      </c>
      <c r="L16" s="364">
        <f t="shared" si="2"/>
        <v>56.454814921594505</v>
      </c>
      <c r="M16" s="364">
        <f t="shared" si="2"/>
        <v>80.891824641309995</v>
      </c>
      <c r="N16" s="365">
        <f t="shared" si="2"/>
        <v>87.343763542745492</v>
      </c>
      <c r="O16" s="363">
        <f t="shared" si="2"/>
        <v>474.17304968259799</v>
      </c>
      <c r="P16" s="364">
        <f t="shared" si="2"/>
        <v>475.09261455999302</v>
      </c>
      <c r="Q16" s="364">
        <f t="shared" si="2"/>
        <v>547.62563558863621</v>
      </c>
      <c r="R16" s="364">
        <f t="shared" si="2"/>
        <v>657.48960854092525</v>
      </c>
      <c r="S16" s="365">
        <f t="shared" si="2"/>
        <v>691.8928253968254</v>
      </c>
      <c r="T16" s="363">
        <f t="shared" si="2"/>
        <v>474.17304968259793</v>
      </c>
      <c r="U16" s="364">
        <f t="shared" si="2"/>
        <v>475.09261455999291</v>
      </c>
      <c r="V16" s="364">
        <f t="shared" si="2"/>
        <v>547.62563558863621</v>
      </c>
      <c r="W16" s="364">
        <f t="shared" si="2"/>
        <v>657.48960854092525</v>
      </c>
      <c r="X16" s="365">
        <f t="shared" si="2"/>
        <v>691.8928253968254</v>
      </c>
      <c r="Y16" s="364">
        <f t="shared" si="2"/>
        <v>474.17304968259793</v>
      </c>
      <c r="Z16" s="364">
        <f t="shared" si="2"/>
        <v>475.09261455999297</v>
      </c>
      <c r="AA16" s="364">
        <f t="shared" si="2"/>
        <v>547.62563558863621</v>
      </c>
      <c r="AB16" s="364">
        <f t="shared" si="2"/>
        <v>657.48960854092525</v>
      </c>
      <c r="AC16" s="365">
        <f t="shared" si="2"/>
        <v>691.8928253968254</v>
      </c>
      <c r="AE16" s="510"/>
      <c r="AF16" s="476"/>
      <c r="AG16" s="476"/>
      <c r="AH16" s="511"/>
      <c r="AM16" s="355"/>
      <c r="AN16" s="355"/>
      <c r="AO16" s="355"/>
      <c r="AP16" s="355"/>
      <c r="AQ16" s="355"/>
      <c r="AR16" s="355"/>
      <c r="AS16" s="355"/>
      <c r="AT16" s="355"/>
      <c r="AU16" s="355"/>
      <c r="AV16" s="355"/>
      <c r="AW16" s="355"/>
      <c r="AX16" s="355"/>
      <c r="AY16" s="355"/>
      <c r="AZ16" s="355"/>
      <c r="BA16" s="355"/>
      <c r="BB16" s="355"/>
      <c r="BC16" s="355"/>
      <c r="BD16" s="355"/>
      <c r="BE16" s="355"/>
      <c r="BR16" s="355"/>
      <c r="BS16" s="355"/>
      <c r="BT16" s="355"/>
      <c r="BU16" s="355"/>
      <c r="BV16" s="355"/>
      <c r="BW16" s="355"/>
      <c r="BX16" s="355"/>
      <c r="BY16" s="355"/>
      <c r="BZ16" s="355"/>
      <c r="CA16" s="357"/>
      <c r="CB16" s="357"/>
      <c r="CC16" s="357"/>
      <c r="CD16" s="357"/>
      <c r="CE16" s="357"/>
      <c r="CF16" s="357"/>
      <c r="CG16" s="357"/>
      <c r="CH16" s="357"/>
      <c r="CI16" s="357"/>
      <c r="CJ16" s="357"/>
      <c r="CK16" s="357"/>
      <c r="CL16" s="357"/>
      <c r="CM16" s="359" t="s">
        <v>117</v>
      </c>
      <c r="CN16" s="360">
        <v>7814235</v>
      </c>
      <c r="CO16" s="360">
        <v>2548011</v>
      </c>
      <c r="CP16" s="360">
        <v>5266224</v>
      </c>
      <c r="CQ16" s="360">
        <v>8885580</v>
      </c>
      <c r="CR16" s="360">
        <v>2994513</v>
      </c>
      <c r="CS16" s="360">
        <v>5891067</v>
      </c>
      <c r="CT16" s="357"/>
      <c r="CU16" s="357"/>
      <c r="CV16" s="357"/>
      <c r="CW16" s="357"/>
      <c r="CX16" s="357"/>
      <c r="CY16" s="357"/>
      <c r="CZ16" s="357"/>
      <c r="DA16" s="357"/>
      <c r="DB16" s="357"/>
      <c r="DC16" s="357"/>
      <c r="DD16" s="357"/>
      <c r="DE16" s="357"/>
      <c r="DF16" s="357"/>
      <c r="DG16" s="355"/>
      <c r="DH16" s="355"/>
      <c r="DI16" s="355"/>
      <c r="DJ16" s="355"/>
      <c r="DK16" s="355"/>
      <c r="DL16" s="355"/>
      <c r="DM16" s="355"/>
      <c r="DN16" s="355"/>
      <c r="DO16" s="355"/>
      <c r="DP16" s="355"/>
      <c r="DQ16" s="355"/>
      <c r="DR16" s="355"/>
      <c r="DS16" s="355"/>
      <c r="DT16" s="355"/>
    </row>
    <row r="17" spans="1:133" ht="29" x14ac:dyDescent="0.35">
      <c r="AE17" s="512"/>
      <c r="AF17" s="513"/>
      <c r="AG17" s="513"/>
      <c r="AH17" s="514"/>
      <c r="AM17" s="355"/>
      <c r="AN17" s="355"/>
      <c r="AO17" s="355"/>
      <c r="AP17" s="355"/>
      <c r="AQ17" s="355"/>
      <c r="AR17" s="355"/>
      <c r="AS17" s="355"/>
      <c r="AT17" s="355"/>
      <c r="AU17" s="355"/>
      <c r="AV17" s="355"/>
      <c r="AW17" s="355"/>
      <c r="AX17" s="355"/>
      <c r="AY17" s="355"/>
      <c r="AZ17" s="355"/>
      <c r="BA17" s="355"/>
      <c r="BB17" s="355"/>
      <c r="BC17" s="355"/>
      <c r="BD17" s="355"/>
      <c r="BE17" s="355"/>
      <c r="BR17" s="355"/>
      <c r="BS17" s="355"/>
      <c r="BT17" s="355"/>
      <c r="BU17" s="355"/>
      <c r="BV17" s="355"/>
      <c r="BW17" s="355"/>
      <c r="BX17" s="355"/>
      <c r="BY17" s="355"/>
      <c r="BZ17" s="355"/>
      <c r="CA17" s="357"/>
      <c r="CB17" s="357"/>
      <c r="CC17" s="357"/>
      <c r="CD17" s="357"/>
      <c r="CE17" s="357"/>
      <c r="CF17" s="357"/>
      <c r="CG17" s="357"/>
      <c r="CH17" s="357"/>
      <c r="CI17" s="357"/>
      <c r="CJ17" s="357"/>
      <c r="CK17" s="357"/>
      <c r="CL17" s="357"/>
      <c r="CM17" s="359" t="s">
        <v>118</v>
      </c>
      <c r="CN17" s="360">
        <v>5113725</v>
      </c>
      <c r="CO17" s="360">
        <v>1215376</v>
      </c>
      <c r="CP17" s="360">
        <v>3898349</v>
      </c>
      <c r="CQ17" s="360">
        <v>5616979</v>
      </c>
      <c r="CR17" s="360">
        <v>1633834</v>
      </c>
      <c r="CS17" s="360">
        <v>3983145</v>
      </c>
      <c r="CT17" s="357"/>
      <c r="CU17" s="357"/>
      <c r="CV17" s="357"/>
      <c r="CW17" s="357"/>
      <c r="CX17" s="357"/>
      <c r="CY17" s="357"/>
      <c r="CZ17" s="357"/>
      <c r="DA17" s="357"/>
      <c r="DB17" s="357"/>
      <c r="DC17" s="357"/>
      <c r="DD17" s="357"/>
      <c r="DE17" s="357"/>
      <c r="DF17" s="357"/>
      <c r="DG17" s="355"/>
      <c r="DH17" s="355"/>
      <c r="DI17" s="355"/>
      <c r="DJ17" s="355"/>
      <c r="DK17" s="355"/>
      <c r="DL17" s="355"/>
      <c r="DM17" s="355"/>
      <c r="DN17" s="355"/>
      <c r="DO17" s="355"/>
      <c r="DP17" s="355"/>
      <c r="DQ17" s="355"/>
      <c r="DR17" s="355"/>
      <c r="DS17" s="355"/>
      <c r="DT17" s="355"/>
    </row>
    <row r="18" spans="1:133" ht="15" thickBot="1" x14ac:dyDescent="0.4">
      <c r="BR18" s="355"/>
      <c r="BS18" s="355"/>
      <c r="BT18" s="355"/>
      <c r="BU18" s="355"/>
      <c r="BV18" s="355"/>
      <c r="BW18" s="355"/>
      <c r="BX18" s="355"/>
      <c r="BY18" s="355"/>
      <c r="BZ18" s="355"/>
      <c r="CA18" s="357"/>
      <c r="CB18" s="357"/>
      <c r="CC18" s="357"/>
      <c r="CD18" s="357"/>
      <c r="CE18" s="357"/>
      <c r="CF18" s="357"/>
      <c r="CG18" s="357"/>
      <c r="CH18" s="357"/>
      <c r="CI18" s="357"/>
      <c r="CJ18" s="357"/>
      <c r="CK18" s="357"/>
      <c r="CL18" s="357"/>
      <c r="CM18" s="359" t="s">
        <v>119</v>
      </c>
      <c r="CN18" s="360">
        <v>8699206</v>
      </c>
      <c r="CO18" s="360">
        <v>2141029</v>
      </c>
      <c r="CP18" s="360">
        <v>6558177</v>
      </c>
      <c r="CQ18" s="360">
        <v>10807055</v>
      </c>
      <c r="CR18" s="360">
        <v>2875248</v>
      </c>
      <c r="CS18" s="360">
        <v>7931807</v>
      </c>
      <c r="CT18" s="357"/>
      <c r="CU18" s="357"/>
      <c r="CV18" s="357"/>
      <c r="CW18" s="357"/>
      <c r="CX18" s="357"/>
      <c r="CY18" s="357"/>
      <c r="CZ18" s="357"/>
      <c r="DA18" s="357"/>
      <c r="DB18" s="357"/>
      <c r="DC18" s="357"/>
      <c r="DD18" s="357"/>
      <c r="DE18" s="357"/>
      <c r="DF18" s="357"/>
      <c r="DG18" s="355"/>
      <c r="DH18" s="355"/>
      <c r="DI18" s="355"/>
      <c r="DJ18" s="355"/>
      <c r="DK18" s="355"/>
      <c r="DL18" s="355"/>
      <c r="DM18" s="355"/>
      <c r="DN18" s="355"/>
      <c r="DO18" s="355"/>
      <c r="DP18" s="355"/>
      <c r="DQ18" s="355"/>
      <c r="DR18" s="355"/>
      <c r="DS18" s="355"/>
      <c r="DT18" s="355"/>
    </row>
    <row r="19" spans="1:133" ht="29" customHeight="1" thickBot="1" x14ac:dyDescent="0.4">
      <c r="E19" s="457" t="s">
        <v>101</v>
      </c>
      <c r="F19" s="458"/>
      <c r="G19" s="458"/>
      <c r="H19" s="458"/>
      <c r="I19" s="458"/>
      <c r="J19" s="458"/>
      <c r="K19" s="458"/>
      <c r="L19" s="458"/>
      <c r="M19" s="458"/>
      <c r="N19" s="459"/>
      <c r="O19" s="457" t="s">
        <v>102</v>
      </c>
      <c r="P19" s="458"/>
      <c r="Q19" s="458"/>
      <c r="R19" s="458"/>
      <c r="S19" s="458"/>
      <c r="T19" s="458"/>
      <c r="U19" s="458"/>
      <c r="V19" s="458"/>
      <c r="W19" s="458"/>
      <c r="X19" s="459"/>
      <c r="Y19" s="457" t="s">
        <v>103</v>
      </c>
      <c r="Z19" s="458"/>
      <c r="AA19" s="458"/>
      <c r="AB19" s="458"/>
      <c r="AC19" s="458"/>
      <c r="AD19" s="458"/>
      <c r="AE19" s="458"/>
      <c r="AF19" s="458"/>
      <c r="AG19" s="458"/>
      <c r="AH19" s="459"/>
      <c r="AI19" s="457" t="s">
        <v>118</v>
      </c>
      <c r="AJ19" s="458"/>
      <c r="AK19" s="458"/>
      <c r="AL19" s="458"/>
      <c r="AM19" s="458"/>
      <c r="AN19" s="458"/>
      <c r="AO19" s="458"/>
      <c r="AP19" s="458"/>
      <c r="AQ19" s="458"/>
      <c r="AR19" s="459"/>
      <c r="AS19" s="457" t="s">
        <v>105</v>
      </c>
      <c r="AT19" s="458"/>
      <c r="AU19" s="458"/>
      <c r="AV19" s="458"/>
      <c r="AW19" s="458"/>
      <c r="AX19" s="458"/>
      <c r="AY19" s="458"/>
      <c r="AZ19" s="458"/>
      <c r="BA19" s="458"/>
      <c r="BB19" s="459"/>
      <c r="BC19" s="457" t="s">
        <v>131</v>
      </c>
      <c r="BD19" s="518"/>
      <c r="BE19" s="518"/>
      <c r="BF19" s="518"/>
      <c r="BG19" s="518"/>
      <c r="BH19" s="518"/>
      <c r="BI19" s="518"/>
      <c r="BJ19" s="518"/>
      <c r="BK19" s="518"/>
      <c r="BL19" s="519"/>
      <c r="BR19" s="355"/>
      <c r="BS19" s="355"/>
      <c r="BT19" s="355"/>
      <c r="BU19" s="355"/>
      <c r="BV19" s="355"/>
      <c r="BW19" s="355"/>
      <c r="BX19" s="355"/>
      <c r="BY19" s="355"/>
      <c r="BZ19" s="355"/>
      <c r="CA19" s="357"/>
      <c r="CB19" s="357"/>
      <c r="CC19" s="357"/>
      <c r="CD19" s="357"/>
      <c r="CE19" s="357"/>
      <c r="CF19" s="357"/>
      <c r="CG19" s="357"/>
      <c r="CH19" s="357"/>
      <c r="CI19" s="357"/>
      <c r="CJ19" s="357"/>
      <c r="CK19" s="357"/>
      <c r="CL19" s="357"/>
      <c r="CM19" s="359" t="s">
        <v>192</v>
      </c>
      <c r="CN19" s="360">
        <v>2148248</v>
      </c>
      <c r="CO19" s="360">
        <v>1071</v>
      </c>
      <c r="CP19" s="360">
        <v>2147177</v>
      </c>
      <c r="CQ19" s="360">
        <v>13894657</v>
      </c>
      <c r="CR19" s="360">
        <v>3130407</v>
      </c>
      <c r="CS19" s="360">
        <v>10764250</v>
      </c>
      <c r="CT19" s="357"/>
      <c r="CU19" s="357"/>
      <c r="CV19" s="357"/>
      <c r="CW19" s="357"/>
      <c r="CX19" s="357"/>
      <c r="CY19" s="357"/>
      <c r="CZ19" s="357"/>
      <c r="DA19" s="357"/>
      <c r="DB19" s="357"/>
      <c r="DC19" s="357"/>
      <c r="DD19" s="357"/>
      <c r="DE19" s="357"/>
      <c r="DF19" s="357"/>
      <c r="DG19" s="355"/>
      <c r="DH19" s="355"/>
      <c r="DI19" s="355"/>
      <c r="DJ19" s="355"/>
      <c r="DK19" s="355"/>
      <c r="DL19" s="355"/>
      <c r="DM19" s="355"/>
      <c r="DN19" s="355"/>
      <c r="DO19" s="355"/>
      <c r="DP19" s="355"/>
      <c r="DQ19" s="355"/>
      <c r="DR19" s="355"/>
      <c r="DS19" s="355"/>
      <c r="DT19" s="355"/>
    </row>
    <row r="20" spans="1:133" ht="21" customHeight="1" thickBot="1" x14ac:dyDescent="0.4">
      <c r="A20" s="160" t="s">
        <v>263</v>
      </c>
      <c r="B20" s="81" t="s">
        <v>2</v>
      </c>
      <c r="C20" s="62" t="s">
        <v>94</v>
      </c>
      <c r="D20" s="64" t="s">
        <v>0</v>
      </c>
      <c r="E20" s="458" t="s">
        <v>134</v>
      </c>
      <c r="F20" s="458"/>
      <c r="G20" s="458"/>
      <c r="H20" s="458"/>
      <c r="I20" s="459"/>
      <c r="J20" s="457" t="s">
        <v>135</v>
      </c>
      <c r="K20" s="458"/>
      <c r="L20" s="458"/>
      <c r="M20" s="458"/>
      <c r="N20" s="459"/>
      <c r="O20" s="457" t="s">
        <v>134</v>
      </c>
      <c r="P20" s="458"/>
      <c r="Q20" s="458"/>
      <c r="R20" s="458"/>
      <c r="S20" s="459"/>
      <c r="T20" s="457" t="s">
        <v>135</v>
      </c>
      <c r="U20" s="458"/>
      <c r="V20" s="458"/>
      <c r="W20" s="458"/>
      <c r="X20" s="459"/>
      <c r="Y20" s="457" t="s">
        <v>134</v>
      </c>
      <c r="Z20" s="458"/>
      <c r="AA20" s="458"/>
      <c r="AB20" s="458"/>
      <c r="AC20" s="459"/>
      <c r="AD20" s="457" t="s">
        <v>135</v>
      </c>
      <c r="AE20" s="458"/>
      <c r="AF20" s="458"/>
      <c r="AG20" s="458"/>
      <c r="AH20" s="459"/>
      <c r="AI20" s="457" t="s">
        <v>134</v>
      </c>
      <c r="AJ20" s="458"/>
      <c r="AK20" s="458"/>
      <c r="AL20" s="458"/>
      <c r="AM20" s="459"/>
      <c r="AN20" s="457" t="s">
        <v>135</v>
      </c>
      <c r="AO20" s="458"/>
      <c r="AP20" s="458"/>
      <c r="AQ20" s="458"/>
      <c r="AR20" s="459"/>
      <c r="AS20" s="457" t="s">
        <v>134</v>
      </c>
      <c r="AT20" s="458"/>
      <c r="AU20" s="458"/>
      <c r="AV20" s="458"/>
      <c r="AW20" s="459"/>
      <c r="AX20" s="457" t="s">
        <v>135</v>
      </c>
      <c r="AY20" s="458"/>
      <c r="AZ20" s="458"/>
      <c r="BA20" s="458"/>
      <c r="BB20" s="459"/>
      <c r="BC20" s="457" t="s">
        <v>134</v>
      </c>
      <c r="BD20" s="458"/>
      <c r="BE20" s="458"/>
      <c r="BF20" s="458"/>
      <c r="BG20" s="459"/>
      <c r="BH20" s="457" t="s">
        <v>135</v>
      </c>
      <c r="BI20" s="458"/>
      <c r="BJ20" s="458"/>
      <c r="BK20" s="458"/>
      <c r="BL20" s="459"/>
      <c r="BR20" s="355"/>
      <c r="BS20" s="355"/>
      <c r="BT20" s="355"/>
      <c r="BU20" s="355"/>
      <c r="BV20" s="355"/>
      <c r="BW20" s="355"/>
      <c r="BX20" s="355"/>
      <c r="BY20" s="355"/>
      <c r="BZ20" s="355"/>
      <c r="CA20" s="357"/>
      <c r="CB20" s="357"/>
      <c r="CC20" s="357"/>
      <c r="CD20" s="357"/>
      <c r="CE20" s="357"/>
      <c r="CF20" s="357"/>
      <c r="CG20" s="357"/>
      <c r="CH20" s="357"/>
      <c r="CI20" s="357"/>
      <c r="CJ20" s="357"/>
      <c r="CK20" s="357"/>
      <c r="CL20" s="357"/>
      <c r="CM20" s="359" t="s">
        <v>120</v>
      </c>
      <c r="CN20" s="360">
        <v>1231716</v>
      </c>
      <c r="CO20" s="360">
        <v>230725</v>
      </c>
      <c r="CP20" s="360">
        <v>1000991</v>
      </c>
      <c r="CQ20" s="360">
        <v>1686346</v>
      </c>
      <c r="CR20" s="360">
        <v>203509</v>
      </c>
      <c r="CS20" s="360">
        <v>1482837</v>
      </c>
      <c r="CT20" s="357"/>
      <c r="CU20" s="357"/>
      <c r="CV20" s="357"/>
      <c r="CW20" s="357"/>
      <c r="CX20" s="357"/>
      <c r="CY20" s="357"/>
      <c r="CZ20" s="357"/>
      <c r="DA20" s="357"/>
      <c r="DB20" s="357"/>
      <c r="DC20" s="357"/>
      <c r="DD20" s="357"/>
      <c r="DE20" s="357"/>
      <c r="DF20" s="357"/>
      <c r="DG20" s="355"/>
      <c r="DH20" s="355"/>
      <c r="DI20" s="355"/>
      <c r="DJ20" s="355"/>
      <c r="DK20" s="355"/>
      <c r="DL20" s="355"/>
      <c r="DM20" s="355"/>
      <c r="DN20" s="355"/>
      <c r="DO20" s="355"/>
      <c r="DP20" s="355"/>
      <c r="DQ20" s="355"/>
      <c r="DR20" s="355"/>
      <c r="DS20" s="355"/>
      <c r="DT20" s="355"/>
    </row>
    <row r="21" spans="1:133" ht="16.5" thickBot="1" x14ac:dyDescent="0.4">
      <c r="A21" s="160"/>
      <c r="B21" s="82"/>
      <c r="C21" s="114"/>
      <c r="D21" s="83"/>
      <c r="E21" s="84">
        <f>E11</f>
        <v>2020</v>
      </c>
      <c r="F21" s="85">
        <f t="shared" ref="F21:I21" si="3">F11</f>
        <v>2021</v>
      </c>
      <c r="G21" s="85">
        <f t="shared" si="3"/>
        <v>2022</v>
      </c>
      <c r="H21" s="85">
        <f t="shared" si="3"/>
        <v>2023</v>
      </c>
      <c r="I21" s="85">
        <f t="shared" si="3"/>
        <v>2024</v>
      </c>
      <c r="J21" s="85">
        <v>2025</v>
      </c>
      <c r="K21" s="85">
        <v>2026</v>
      </c>
      <c r="L21" s="85">
        <v>2027</v>
      </c>
      <c r="M21" s="85">
        <v>2028</v>
      </c>
      <c r="N21" s="85">
        <v>2029</v>
      </c>
      <c r="O21" s="85">
        <f t="shared" ref="O21:S22" si="4">J11</f>
        <v>2020</v>
      </c>
      <c r="P21" s="85">
        <f t="shared" si="4"/>
        <v>2021</v>
      </c>
      <c r="Q21" s="85">
        <f t="shared" si="4"/>
        <v>2022</v>
      </c>
      <c r="R21" s="85">
        <f t="shared" si="4"/>
        <v>2023</v>
      </c>
      <c r="S21" s="85">
        <f t="shared" si="4"/>
        <v>2024</v>
      </c>
      <c r="T21" s="85">
        <v>2025</v>
      </c>
      <c r="U21" s="85">
        <v>2026</v>
      </c>
      <c r="V21" s="85">
        <v>2027</v>
      </c>
      <c r="W21" s="85">
        <v>2028</v>
      </c>
      <c r="X21" s="85">
        <v>2029</v>
      </c>
      <c r="Y21" s="85">
        <f t="shared" ref="Y21:AC22" si="5">O11</f>
        <v>2020</v>
      </c>
      <c r="Z21" s="85">
        <f t="shared" si="5"/>
        <v>2021</v>
      </c>
      <c r="AA21" s="85">
        <f t="shared" si="5"/>
        <v>2022</v>
      </c>
      <c r="AB21" s="85">
        <f t="shared" si="5"/>
        <v>2023</v>
      </c>
      <c r="AC21" s="85">
        <f t="shared" si="5"/>
        <v>2024</v>
      </c>
      <c r="AD21" s="85">
        <v>2025</v>
      </c>
      <c r="AE21" s="85">
        <v>2026</v>
      </c>
      <c r="AF21" s="85">
        <v>2027</v>
      </c>
      <c r="AG21" s="85">
        <v>2028</v>
      </c>
      <c r="AH21" s="85">
        <v>2029</v>
      </c>
      <c r="AI21" s="85">
        <f t="shared" ref="AI21:AM22" si="6">T11</f>
        <v>2020</v>
      </c>
      <c r="AJ21" s="85">
        <f t="shared" si="6"/>
        <v>2021</v>
      </c>
      <c r="AK21" s="85">
        <f t="shared" si="6"/>
        <v>2022</v>
      </c>
      <c r="AL21" s="85">
        <f t="shared" si="6"/>
        <v>2023</v>
      </c>
      <c r="AM21" s="85">
        <f t="shared" si="6"/>
        <v>2024</v>
      </c>
      <c r="AN21" s="85">
        <v>2025</v>
      </c>
      <c r="AO21" s="85">
        <v>2026</v>
      </c>
      <c r="AP21" s="85">
        <v>2027</v>
      </c>
      <c r="AQ21" s="85">
        <v>2028</v>
      </c>
      <c r="AR21" s="85">
        <v>2029</v>
      </c>
      <c r="AS21" s="85">
        <f t="shared" ref="AS21:AW22" si="7">Y11</f>
        <v>2020</v>
      </c>
      <c r="AT21" s="85">
        <f t="shared" si="7"/>
        <v>2021</v>
      </c>
      <c r="AU21" s="85">
        <f t="shared" si="7"/>
        <v>2022</v>
      </c>
      <c r="AV21" s="85">
        <f t="shared" si="7"/>
        <v>2023</v>
      </c>
      <c r="AW21" s="85">
        <f t="shared" si="7"/>
        <v>2024</v>
      </c>
      <c r="AX21" s="85">
        <v>2025</v>
      </c>
      <c r="AY21" s="85">
        <v>2026</v>
      </c>
      <c r="AZ21" s="85">
        <v>2027</v>
      </c>
      <c r="BA21" s="85">
        <v>2028</v>
      </c>
      <c r="BB21" s="85">
        <v>2029</v>
      </c>
      <c r="BC21" s="85">
        <v>2020</v>
      </c>
      <c r="BD21" s="85">
        <v>2021</v>
      </c>
      <c r="BE21" s="85">
        <v>2022</v>
      </c>
      <c r="BF21" s="85">
        <v>2023</v>
      </c>
      <c r="BG21" s="85">
        <v>2024</v>
      </c>
      <c r="BH21" s="85">
        <v>2025</v>
      </c>
      <c r="BI21" s="85">
        <v>2026</v>
      </c>
      <c r="BJ21" s="85">
        <v>2027</v>
      </c>
      <c r="BK21" s="85">
        <v>2028</v>
      </c>
      <c r="BL21" s="86">
        <v>2029</v>
      </c>
      <c r="BN21" s="454" t="s">
        <v>94</v>
      </c>
      <c r="BO21" s="455"/>
      <c r="BP21" s="456"/>
      <c r="BR21" s="355"/>
      <c r="BS21" s="355"/>
      <c r="BT21" s="355"/>
      <c r="BU21" s="355"/>
      <c r="BV21" s="355"/>
      <c r="BW21" s="355"/>
      <c r="BX21" s="355"/>
      <c r="BY21" s="355"/>
      <c r="BZ21" s="355"/>
      <c r="CA21" s="357"/>
      <c r="CB21" s="357"/>
      <c r="CC21" s="357"/>
      <c r="CD21" s="357"/>
      <c r="CE21" s="357"/>
      <c r="CF21" s="357"/>
      <c r="CG21" s="357"/>
      <c r="CH21" s="357"/>
      <c r="CI21" s="357"/>
      <c r="CJ21" s="357"/>
      <c r="CK21" s="357"/>
      <c r="CL21" s="357"/>
      <c r="CM21" s="357"/>
      <c r="CN21" s="357"/>
      <c r="CO21" s="357"/>
      <c r="CP21" s="357"/>
      <c r="CQ21" s="357"/>
      <c r="CR21" s="357"/>
      <c r="CS21" s="357"/>
      <c r="CT21" s="357"/>
      <c r="CU21" s="359" t="s">
        <v>121</v>
      </c>
      <c r="CV21" s="360">
        <v>66012729</v>
      </c>
      <c r="CW21" s="360">
        <v>14580039</v>
      </c>
      <c r="CX21" s="360">
        <v>51432690</v>
      </c>
      <c r="CY21" s="360">
        <v>102631028</v>
      </c>
      <c r="CZ21" s="360">
        <v>21952961</v>
      </c>
      <c r="DA21" s="360">
        <v>80678067</v>
      </c>
      <c r="DB21" s="357"/>
      <c r="DC21" s="357"/>
      <c r="DD21" s="357"/>
      <c r="DE21" s="357"/>
      <c r="DF21" s="357"/>
      <c r="DG21" s="355"/>
      <c r="DH21" s="355"/>
      <c r="DI21" s="355"/>
      <c r="DJ21" s="355"/>
      <c r="DK21" s="355"/>
      <c r="DL21" s="355"/>
      <c r="DM21" s="355"/>
      <c r="DN21" s="355"/>
      <c r="DO21" s="355"/>
      <c r="DP21" s="355"/>
      <c r="DQ21" s="355"/>
      <c r="DR21" s="355"/>
      <c r="DS21" s="355"/>
      <c r="DT21" s="355"/>
    </row>
    <row r="22" spans="1:133" ht="23.5" customHeight="1" x14ac:dyDescent="0.35">
      <c r="A22" s="160"/>
      <c r="B22" s="87" t="s">
        <v>106</v>
      </c>
      <c r="C22" s="115" t="s">
        <v>274</v>
      </c>
      <c r="D22" s="89">
        <v>1</v>
      </c>
      <c r="E22" s="66">
        <f>E12</f>
        <v>19887288</v>
      </c>
      <c r="F22" s="67">
        <f t="shared" ref="F22:I22" si="8">F12</f>
        <v>24297069</v>
      </c>
      <c r="G22" s="67">
        <f t="shared" si="8"/>
        <v>36675941</v>
      </c>
      <c r="H22" s="67">
        <f t="shared" si="8"/>
        <v>40451882</v>
      </c>
      <c r="I22" s="68">
        <f t="shared" si="8"/>
        <v>40284963</v>
      </c>
      <c r="J22" s="66">
        <f>$D$22*J32*J33</f>
        <v>50490282.732954323</v>
      </c>
      <c r="K22" s="67">
        <f>$D$22*K32*K33</f>
        <v>56342312.681340642</v>
      </c>
      <c r="L22" s="67">
        <f>$D$22*L32*L33</f>
        <v>62128776.398127809</v>
      </c>
      <c r="M22" s="67">
        <f>$D$22*M32*M33</f>
        <v>67849673.883315906</v>
      </c>
      <c r="N22" s="68">
        <f>$D$22*N32*N33</f>
        <v>73505005.136903211</v>
      </c>
      <c r="O22" s="66">
        <f t="shared" si="4"/>
        <v>15646865</v>
      </c>
      <c r="P22" s="67">
        <f t="shared" si="4"/>
        <v>16708530</v>
      </c>
      <c r="Q22" s="67">
        <f t="shared" si="4"/>
        <v>25064470</v>
      </c>
      <c r="R22" s="67">
        <f t="shared" si="4"/>
        <v>41416776</v>
      </c>
      <c r="S22" s="68">
        <f t="shared" si="4"/>
        <v>47564968</v>
      </c>
      <c r="T22" s="66">
        <f>$D$22*T32*T33</f>
        <v>59532327.903362371</v>
      </c>
      <c r="U22" s="67">
        <f>$D$22*U32*U33</f>
        <v>72409970.426814735</v>
      </c>
      <c r="V22" s="67">
        <f>$D$22*V32*V33</f>
        <v>86477214.432593226</v>
      </c>
      <c r="W22" s="67">
        <f>$D$22*W32*W33</f>
        <v>101734059.92068943</v>
      </c>
      <c r="X22" s="68">
        <f>$D$22*X32*X33</f>
        <v>118180506.8911102</v>
      </c>
      <c r="Y22" s="66">
        <f t="shared" si="5"/>
        <v>6144725</v>
      </c>
      <c r="Z22" s="67">
        <f t="shared" si="5"/>
        <v>7814235</v>
      </c>
      <c r="AA22" s="67">
        <f t="shared" si="5"/>
        <v>8885580</v>
      </c>
      <c r="AB22" s="67">
        <f t="shared" si="5"/>
        <v>9159074</v>
      </c>
      <c r="AC22" s="68">
        <f t="shared" si="5"/>
        <v>12211807</v>
      </c>
      <c r="AD22" s="66">
        <f>$D$22*AD32*AD33</f>
        <v>13207023.525508067</v>
      </c>
      <c r="AE22" s="67">
        <f>$D$22*AE32*AE33</f>
        <v>14848773.989576248</v>
      </c>
      <c r="AF22" s="67">
        <f>$D$22*AF32*AF33</f>
        <v>16575348.666737327</v>
      </c>
      <c r="AG22" s="67">
        <f>$D$22*AG32*AG33</f>
        <v>18386747.55699148</v>
      </c>
      <c r="AH22" s="68">
        <f>$D$22*AH32*AH33</f>
        <v>20282970.660338942</v>
      </c>
      <c r="AI22" s="66">
        <f t="shared" si="6"/>
        <v>3908767</v>
      </c>
      <c r="AJ22" s="67">
        <f t="shared" si="6"/>
        <v>5113725</v>
      </c>
      <c r="AK22" s="67">
        <f t="shared" si="6"/>
        <v>5616979</v>
      </c>
      <c r="AL22" s="67">
        <f t="shared" si="6"/>
        <v>6843729</v>
      </c>
      <c r="AM22" s="68">
        <f t="shared" si="6"/>
        <v>6775780</v>
      </c>
      <c r="AN22" s="66">
        <f>$D$22*AN32*AN33</f>
        <v>8086822.7491415627</v>
      </c>
      <c r="AO22" s="67">
        <f>$D$22*AO32*AO33</f>
        <v>8973015.913900001</v>
      </c>
      <c r="AP22" s="67">
        <f>$D$22*AP32*AP33</f>
        <v>9893125.6301787887</v>
      </c>
      <c r="AQ22" s="67">
        <f>$D$22*AQ32*AQ33</f>
        <v>10847151.897977838</v>
      </c>
      <c r="AR22" s="68">
        <f>$D$22*AR32*AR33</f>
        <v>11835094.717297032</v>
      </c>
      <c r="AS22" s="66">
        <f t="shared" si="7"/>
        <v>8022933</v>
      </c>
      <c r="AT22" s="67">
        <f t="shared" si="7"/>
        <v>8699206</v>
      </c>
      <c r="AU22" s="67">
        <f t="shared" si="7"/>
        <v>10807055</v>
      </c>
      <c r="AV22" s="67">
        <f t="shared" si="7"/>
        <v>11710384</v>
      </c>
      <c r="AW22" s="68">
        <f t="shared" si="7"/>
        <v>13704349</v>
      </c>
      <c r="AX22" s="66">
        <f>$D$22*AX32*AX33</f>
        <v>15166739.675901676</v>
      </c>
      <c r="AY22" s="67">
        <f>$D$22*AY32*AY33</f>
        <v>16839135.527734742</v>
      </c>
      <c r="AZ22" s="67">
        <f>$D$22*AZ32*AZ33</f>
        <v>18576708.197791938</v>
      </c>
      <c r="BA22" s="67">
        <f>$D$22*BA32*BA33</f>
        <v>20379457.686073042</v>
      </c>
      <c r="BB22" s="68">
        <f>$D$22*BB32*BB33</f>
        <v>22247383.992578484</v>
      </c>
      <c r="BC22" s="66">
        <f>SUM(E22,O22,Y22,AI22,AS22)</f>
        <v>53610578</v>
      </c>
      <c r="BD22" s="67">
        <f>SUM(F22,P22,Z22,AJ22,AT22)</f>
        <v>62632765</v>
      </c>
      <c r="BE22" s="67">
        <f>SUM(G22,Q22,AA22,AK22,AU22)</f>
        <v>87050025</v>
      </c>
      <c r="BF22" s="67">
        <f>SUM(H22,R22,AB22,AL22,AV22)</f>
        <v>109581845</v>
      </c>
      <c r="BG22" s="68">
        <f>SUM(I22,S22,AC22,AM22,AW22)</f>
        <v>120541867</v>
      </c>
      <c r="BH22" s="66">
        <f t="shared" ref="BH22:BL22" si="9">SUM(J22,T22,AD22,AN22,AX22)</f>
        <v>146483196.58686799</v>
      </c>
      <c r="BI22" s="67">
        <f t="shared" si="9"/>
        <v>169413208.53936636</v>
      </c>
      <c r="BJ22" s="67">
        <f t="shared" si="9"/>
        <v>193651173.32542905</v>
      </c>
      <c r="BK22" s="67">
        <f t="shared" si="9"/>
        <v>219197090.94504768</v>
      </c>
      <c r="BL22" s="68">
        <f t="shared" si="9"/>
        <v>246050961.39822784</v>
      </c>
      <c r="BN22" s="492" t="s">
        <v>316</v>
      </c>
      <c r="BO22" s="493"/>
      <c r="BP22" s="494"/>
      <c r="BR22" s="355"/>
      <c r="BS22" s="355"/>
      <c r="BT22" s="355"/>
      <c r="BU22" s="355"/>
      <c r="BV22" s="355"/>
      <c r="BW22" s="355"/>
      <c r="BX22" s="355"/>
      <c r="BY22" s="355"/>
      <c r="BZ22" s="355"/>
      <c r="CA22" s="357"/>
      <c r="CB22" s="357"/>
      <c r="CC22" s="357"/>
      <c r="CD22" s="357"/>
      <c r="CE22" s="357"/>
      <c r="CF22" s="357"/>
      <c r="CG22" s="357"/>
      <c r="CH22" s="357"/>
      <c r="CI22" s="357"/>
      <c r="CJ22" s="357"/>
      <c r="CK22" s="357"/>
      <c r="CL22" s="357"/>
      <c r="CM22" s="357"/>
      <c r="CN22" s="357"/>
      <c r="CO22" s="357"/>
      <c r="CP22" s="357"/>
      <c r="CQ22" s="357"/>
      <c r="CR22" s="357"/>
      <c r="CS22" s="357"/>
      <c r="CT22" s="357"/>
      <c r="CU22" s="359"/>
      <c r="CV22" s="360"/>
      <c r="CW22" s="360"/>
      <c r="CX22" s="360"/>
      <c r="CY22" s="360"/>
      <c r="CZ22" s="360"/>
      <c r="DA22" s="360"/>
      <c r="DB22" s="357"/>
      <c r="DC22" s="357"/>
      <c r="DD22" s="357"/>
      <c r="DE22" s="357"/>
      <c r="DF22" s="357"/>
      <c r="DG22" s="355"/>
      <c r="DH22" s="355"/>
      <c r="DI22" s="355"/>
      <c r="DJ22" s="355"/>
      <c r="DK22" s="355"/>
      <c r="DL22" s="355"/>
      <c r="DM22" s="355"/>
      <c r="DN22" s="355"/>
      <c r="DO22" s="355"/>
      <c r="DP22" s="355"/>
      <c r="DQ22" s="355"/>
      <c r="DR22" s="355"/>
      <c r="DS22" s="355"/>
      <c r="DT22" s="355"/>
    </row>
    <row r="23" spans="1:133" ht="16" x14ac:dyDescent="0.35">
      <c r="A23" s="160"/>
      <c r="B23" s="87" t="s">
        <v>99</v>
      </c>
      <c r="C23" s="115" t="s">
        <v>275</v>
      </c>
      <c r="D23" s="354" t="str">
        <f>_xlfn.CONCAT(E34*100,",",O34*100,",",Y34*100,",",AI34*100,",",AS34*100)</f>
        <v>91,72,57,73,73</v>
      </c>
      <c r="E23" s="73">
        <v>18728146</v>
      </c>
      <c r="F23" s="71">
        <v>20998306</v>
      </c>
      <c r="G23" s="71">
        <f>DV42</f>
        <v>32097437</v>
      </c>
      <c r="H23" s="71">
        <v>36665694</v>
      </c>
      <c r="I23" s="72">
        <v>38075994</v>
      </c>
      <c r="J23" s="73">
        <f>J22*$E$34</f>
        <v>45946157.286988437</v>
      </c>
      <c r="K23" s="71">
        <f t="shared" ref="K23:N23" si="10">K22*$E$34</f>
        <v>51271504.540019989</v>
      </c>
      <c r="L23" s="71">
        <f t="shared" si="10"/>
        <v>56537186.522296309</v>
      </c>
      <c r="M23" s="71">
        <f t="shared" si="10"/>
        <v>61743203.233817473</v>
      </c>
      <c r="N23" s="72">
        <f t="shared" si="10"/>
        <v>66889554.674581923</v>
      </c>
      <c r="O23" s="73">
        <v>11201365</v>
      </c>
      <c r="P23" s="71">
        <v>11563464</v>
      </c>
      <c r="Q23" s="71">
        <f>DW42</f>
        <v>18527524</v>
      </c>
      <c r="R23" s="71">
        <v>31216195</v>
      </c>
      <c r="S23" s="72">
        <v>33510927</v>
      </c>
      <c r="T23" s="73">
        <f>T22*$O$35</f>
        <v>43111453.439301543</v>
      </c>
      <c r="U23" s="71">
        <f t="shared" ref="U23:X23" si="11">U22*$O$35</f>
        <v>52437040.151767895</v>
      </c>
      <c r="V23" s="71">
        <f t="shared" si="11"/>
        <v>62624099.121792831</v>
      </c>
      <c r="W23" s="71">
        <f t="shared" si="11"/>
        <v>73672630.349370241</v>
      </c>
      <c r="X23" s="72">
        <f t="shared" si="11"/>
        <v>85582633.834505096</v>
      </c>
      <c r="Y23" s="73">
        <v>415069</v>
      </c>
      <c r="Z23" s="71">
        <v>5266224</v>
      </c>
      <c r="AA23" s="71">
        <f>DX42</f>
        <v>5891067</v>
      </c>
      <c r="AB23" s="71">
        <v>6293325</v>
      </c>
      <c r="AC23" s="72">
        <v>7462176</v>
      </c>
      <c r="AD23" s="73">
        <f>AD22*$Y$34</f>
        <v>7528003.4095395971</v>
      </c>
      <c r="AE23" s="71">
        <f t="shared" ref="AE23:AH23" si="12">AE22*$Y$34</f>
        <v>8463801.1740584616</v>
      </c>
      <c r="AF23" s="71">
        <f t="shared" si="12"/>
        <v>9447948.7400402762</v>
      </c>
      <c r="AG23" s="71">
        <f t="shared" si="12"/>
        <v>10480446.107485143</v>
      </c>
      <c r="AH23" s="72">
        <f t="shared" si="12"/>
        <v>11561293.276393196</v>
      </c>
      <c r="AI23" s="73">
        <v>3006535</v>
      </c>
      <c r="AJ23" s="71">
        <v>3898349</v>
      </c>
      <c r="AK23" s="71">
        <f>DY42</f>
        <v>3983145</v>
      </c>
      <c r="AL23" s="71">
        <v>4932538</v>
      </c>
      <c r="AM23" s="72">
        <v>4931466</v>
      </c>
      <c r="AN23" s="73">
        <f>AN22*$AI$35</f>
        <v>5938572.891000893</v>
      </c>
      <c r="AO23" s="71">
        <f t="shared" ref="AO23:AR23" si="13">AO22*$AI$35</f>
        <v>6589350.4420463145</v>
      </c>
      <c r="AP23" s="71">
        <f t="shared" si="13"/>
        <v>7265034.6739555355</v>
      </c>
      <c r="AQ23" s="71">
        <f t="shared" si="13"/>
        <v>7965625.5867284918</v>
      </c>
      <c r="AR23" s="72">
        <f t="shared" si="13"/>
        <v>8691123.1803650968</v>
      </c>
      <c r="AS23" s="73">
        <v>6053245</v>
      </c>
      <c r="AT23" s="71">
        <v>6558177</v>
      </c>
      <c r="AU23" s="71">
        <v>7931807</v>
      </c>
      <c r="AV23" s="71">
        <v>8340969</v>
      </c>
      <c r="AW23" s="72">
        <v>9655091</v>
      </c>
      <c r="AX23" s="73">
        <f>AX22*$AS$35</f>
        <v>11040272.164876265</v>
      </c>
      <c r="AY23" s="71">
        <f t="shared" ref="AY23:BB23" si="14">AY22*$AS$35</f>
        <v>12257653.472012695</v>
      </c>
      <c r="AZ23" s="71">
        <f t="shared" si="14"/>
        <v>13522478.714194598</v>
      </c>
      <c r="BA23" s="71">
        <f t="shared" si="14"/>
        <v>14834747.89142181</v>
      </c>
      <c r="BB23" s="72">
        <f t="shared" si="14"/>
        <v>16194461.003694646</v>
      </c>
      <c r="BC23" s="73">
        <f t="shared" ref="BC23:BF27" si="15">SUM(E23,O23,Y23,AI23,AS23)</f>
        <v>39404360</v>
      </c>
      <c r="BD23" s="71">
        <f t="shared" si="15"/>
        <v>48284520</v>
      </c>
      <c r="BE23" s="71">
        <f t="shared" si="15"/>
        <v>68430980</v>
      </c>
      <c r="BF23" s="71">
        <f t="shared" si="15"/>
        <v>87448721</v>
      </c>
      <c r="BG23" s="72">
        <f t="shared" ref="BG23:BG33" si="16">SUM(I23,S23,AC23,AM23,AW23)</f>
        <v>93635654</v>
      </c>
      <c r="BH23" s="73">
        <f t="shared" ref="BH23:BH33" si="17">SUM(J23,T23,AD23,AN23,AX23)</f>
        <v>113564459.19170675</v>
      </c>
      <c r="BI23" s="71">
        <f t="shared" ref="BI23:BI33" si="18">SUM(K23,U23,AE23,AO23,AY23)</f>
        <v>131019349.77990536</v>
      </c>
      <c r="BJ23" s="71">
        <f t="shared" ref="BJ23:BJ33" si="19">SUM(L23,V23,AF23,AP23,AZ23)</f>
        <v>149396747.77227953</v>
      </c>
      <c r="BK23" s="71">
        <f t="shared" ref="BK23:BK33" si="20">SUM(M23,W23,AG23,AQ23,BA23)</f>
        <v>168696653.16882312</v>
      </c>
      <c r="BL23" s="72">
        <f t="shared" ref="BL23:BL33" si="21">SUM(N23,X23,AH23,AR23,BB23)</f>
        <v>188919065.96953997</v>
      </c>
      <c r="BN23" s="495"/>
      <c r="BO23" s="496"/>
      <c r="BP23" s="497"/>
      <c r="BR23" s="355"/>
      <c r="BS23" s="355"/>
      <c r="BT23" s="355"/>
      <c r="BU23" s="355"/>
      <c r="BV23" s="355"/>
      <c r="BW23" s="355"/>
      <c r="BX23" s="355"/>
      <c r="BY23" s="355"/>
      <c r="BZ23" s="355"/>
      <c r="CA23" s="355"/>
      <c r="CB23" s="355"/>
      <c r="CC23" s="355"/>
      <c r="CD23" s="355"/>
      <c r="CE23" s="355"/>
      <c r="CF23" s="355"/>
      <c r="CG23" s="355"/>
      <c r="CH23" s="355"/>
      <c r="CI23" s="355"/>
      <c r="CJ23" s="355"/>
      <c r="CK23" s="355"/>
      <c r="CL23" s="355"/>
      <c r="CM23" s="355"/>
      <c r="CN23" s="355"/>
      <c r="CO23" s="355"/>
      <c r="CP23" s="355"/>
      <c r="CQ23" s="355"/>
      <c r="CR23" s="355"/>
      <c r="CS23" s="355"/>
      <c r="CT23" s="355"/>
      <c r="CU23" s="355"/>
      <c r="CV23" s="355"/>
      <c r="CW23" s="355"/>
      <c r="CX23" s="355"/>
      <c r="CY23" s="355"/>
      <c r="CZ23" s="355"/>
      <c r="DA23" s="355"/>
      <c r="DB23" s="355"/>
      <c r="DC23" s="355"/>
      <c r="DD23" s="355"/>
      <c r="DE23" s="355"/>
      <c r="DF23" s="355"/>
      <c r="DG23" s="355"/>
      <c r="DH23" s="355"/>
      <c r="DI23" s="355"/>
      <c r="DJ23" s="355"/>
      <c r="DK23" s="355"/>
      <c r="DL23" s="355"/>
      <c r="DM23" s="355"/>
      <c r="DN23" s="355"/>
      <c r="DO23" s="355"/>
      <c r="DP23" s="355"/>
      <c r="DQ23" s="355"/>
      <c r="DR23" s="355"/>
      <c r="DS23" s="355"/>
      <c r="DT23" s="355"/>
    </row>
    <row r="24" spans="1:133" ht="16" x14ac:dyDescent="0.35">
      <c r="A24" s="160"/>
      <c r="B24" s="87" t="s">
        <v>100</v>
      </c>
      <c r="C24" s="115"/>
      <c r="D24" s="74"/>
      <c r="E24" s="73">
        <f>E22-E23</f>
        <v>1159142</v>
      </c>
      <c r="F24" s="71">
        <f t="shared" ref="F24:AW24" si="22">F22-F23</f>
        <v>3298763</v>
      </c>
      <c r="G24" s="71">
        <f t="shared" si="22"/>
        <v>4578504</v>
      </c>
      <c r="H24" s="71">
        <f t="shared" si="22"/>
        <v>3786188</v>
      </c>
      <c r="I24" s="72">
        <f t="shared" si="22"/>
        <v>2208969</v>
      </c>
      <c r="J24" s="73">
        <f>J22-J23</f>
        <v>4544125.4459658861</v>
      </c>
      <c r="K24" s="71">
        <f t="shared" ref="K24:N24" si="23">K22-K23</f>
        <v>5070808.1413206533</v>
      </c>
      <c r="L24" s="71">
        <f t="shared" si="23"/>
        <v>5591589.8758314997</v>
      </c>
      <c r="M24" s="71">
        <f t="shared" si="23"/>
        <v>6106470.6494984329</v>
      </c>
      <c r="N24" s="72">
        <f t="shared" si="23"/>
        <v>6615450.4623212889</v>
      </c>
      <c r="O24" s="73">
        <f t="shared" si="22"/>
        <v>4445500</v>
      </c>
      <c r="P24" s="71">
        <f t="shared" si="22"/>
        <v>5145066</v>
      </c>
      <c r="Q24" s="71">
        <f t="shared" si="22"/>
        <v>6536946</v>
      </c>
      <c r="R24" s="71">
        <f t="shared" si="22"/>
        <v>10200581</v>
      </c>
      <c r="S24" s="72">
        <f t="shared" si="22"/>
        <v>14054041</v>
      </c>
      <c r="T24" s="73">
        <f t="shared" ref="T24" si="24">T22-T23</f>
        <v>16420874.464060828</v>
      </c>
      <c r="U24" s="71">
        <f t="shared" ref="U24" si="25">U22-U23</f>
        <v>19972930.27504684</v>
      </c>
      <c r="V24" s="71">
        <f t="shared" ref="V24" si="26">V22-V23</f>
        <v>23853115.310800396</v>
      </c>
      <c r="W24" s="71">
        <f t="shared" ref="W24" si="27">W22-W23</f>
        <v>28061429.571319193</v>
      </c>
      <c r="X24" s="72">
        <f t="shared" ref="X24" si="28">X22-X23</f>
        <v>32597873.056605101</v>
      </c>
      <c r="Y24" s="73">
        <f t="shared" si="22"/>
        <v>5729656</v>
      </c>
      <c r="Z24" s="71">
        <f t="shared" si="22"/>
        <v>2548011</v>
      </c>
      <c r="AA24" s="71">
        <f t="shared" si="22"/>
        <v>2994513</v>
      </c>
      <c r="AB24" s="71">
        <f t="shared" si="22"/>
        <v>2865749</v>
      </c>
      <c r="AC24" s="72">
        <f t="shared" si="22"/>
        <v>4749631</v>
      </c>
      <c r="AD24" s="73">
        <f t="shared" ref="AD24" si="29">AD22-AD23</f>
        <v>5679020.1159684695</v>
      </c>
      <c r="AE24" s="71">
        <f t="shared" ref="AE24" si="30">AE22-AE23</f>
        <v>6384972.8155177869</v>
      </c>
      <c r="AF24" s="71">
        <f t="shared" ref="AF24" si="31">AF22-AF23</f>
        <v>7127399.9266970512</v>
      </c>
      <c r="AG24" s="71">
        <f t="shared" ref="AG24" si="32">AG22-AG23</f>
        <v>7906301.4495063368</v>
      </c>
      <c r="AH24" s="72">
        <f t="shared" ref="AH24" si="33">AH22-AH23</f>
        <v>8721677.3839457463</v>
      </c>
      <c r="AI24" s="73">
        <f t="shared" si="22"/>
        <v>902232</v>
      </c>
      <c r="AJ24" s="71">
        <f t="shared" si="22"/>
        <v>1215376</v>
      </c>
      <c r="AK24" s="71">
        <f t="shared" si="22"/>
        <v>1633834</v>
      </c>
      <c r="AL24" s="71">
        <f t="shared" si="22"/>
        <v>1911191</v>
      </c>
      <c r="AM24" s="72">
        <f t="shared" si="22"/>
        <v>1844314</v>
      </c>
      <c r="AN24" s="73">
        <f t="shared" ref="AN24" si="34">AN22-AN23</f>
        <v>2148249.8581406698</v>
      </c>
      <c r="AO24" s="71">
        <f t="shared" ref="AO24" si="35">AO22-AO23</f>
        <v>2383665.4718536865</v>
      </c>
      <c r="AP24" s="71">
        <f t="shared" ref="AP24" si="36">AP22-AP23</f>
        <v>2628090.9562232532</v>
      </c>
      <c r="AQ24" s="71">
        <f t="shared" ref="AQ24" si="37">AQ22-AQ23</f>
        <v>2881526.3112493465</v>
      </c>
      <c r="AR24" s="72">
        <f t="shared" ref="AR24" si="38">AR22-AR23</f>
        <v>3143971.5369319357</v>
      </c>
      <c r="AS24" s="73">
        <f t="shared" si="22"/>
        <v>1969688</v>
      </c>
      <c r="AT24" s="71">
        <f t="shared" si="22"/>
        <v>2141029</v>
      </c>
      <c r="AU24" s="71">
        <f t="shared" si="22"/>
        <v>2875248</v>
      </c>
      <c r="AV24" s="71">
        <f t="shared" si="22"/>
        <v>3369415</v>
      </c>
      <c r="AW24" s="72">
        <f t="shared" si="22"/>
        <v>4049258</v>
      </c>
      <c r="AX24" s="73">
        <f t="shared" ref="AX24" si="39">AX22-AX23</f>
        <v>4126467.5110254101</v>
      </c>
      <c r="AY24" s="71">
        <f t="shared" ref="AY24" si="40">AY22-AY23</f>
        <v>4581482.0557220466</v>
      </c>
      <c r="AZ24" s="71">
        <f t="shared" ref="AZ24" si="41">AZ22-AZ23</f>
        <v>5054229.4835973401</v>
      </c>
      <c r="BA24" s="71">
        <f t="shared" ref="BA24" si="42">BA22-BA23</f>
        <v>5544709.7946512327</v>
      </c>
      <c r="BB24" s="72">
        <f t="shared" ref="BB24" si="43">BB22-BB23</f>
        <v>6052922.9888838381</v>
      </c>
      <c r="BC24" s="73">
        <f>SUM(E24,O24,Y24,AI24,AS24)</f>
        <v>14206218</v>
      </c>
      <c r="BD24" s="71">
        <f t="shared" si="15"/>
        <v>14348245</v>
      </c>
      <c r="BE24" s="71">
        <f t="shared" si="15"/>
        <v>18619045</v>
      </c>
      <c r="BF24" s="71">
        <f t="shared" si="15"/>
        <v>22133124</v>
      </c>
      <c r="BG24" s="72">
        <f t="shared" si="16"/>
        <v>26906213</v>
      </c>
      <c r="BH24" s="73">
        <f t="shared" si="17"/>
        <v>32918737.395161264</v>
      </c>
      <c r="BI24" s="71">
        <f t="shared" si="18"/>
        <v>38393858.759461015</v>
      </c>
      <c r="BJ24" s="71">
        <f t="shared" si="19"/>
        <v>44254425.553149536</v>
      </c>
      <c r="BK24" s="71">
        <f t="shared" si="20"/>
        <v>50500437.776224539</v>
      </c>
      <c r="BL24" s="72">
        <f t="shared" si="21"/>
        <v>57131895.428687915</v>
      </c>
      <c r="BN24" s="495"/>
      <c r="BO24" s="496"/>
      <c r="BP24" s="497"/>
      <c r="BR24" s="355"/>
      <c r="BS24" s="355"/>
      <c r="BT24" s="355"/>
      <c r="BU24" s="355"/>
      <c r="BV24" s="355"/>
      <c r="BW24" s="355"/>
      <c r="BX24" s="355"/>
      <c r="BY24" s="355"/>
      <c r="BZ24" s="355"/>
      <c r="CA24" s="355"/>
      <c r="CB24" s="355"/>
      <c r="CC24" s="355"/>
      <c r="CD24" s="355"/>
      <c r="CE24" s="355"/>
      <c r="CF24" s="355"/>
      <c r="CG24" s="355"/>
      <c r="CH24" s="355"/>
      <c r="CI24" s="355"/>
      <c r="CJ24" s="355"/>
      <c r="CK24" s="355"/>
      <c r="CL24" s="355"/>
      <c r="CM24" s="355"/>
      <c r="CN24" s="355"/>
      <c r="CO24" s="355"/>
      <c r="CP24" s="355"/>
      <c r="CQ24" s="355"/>
      <c r="CR24" s="355"/>
      <c r="CS24" s="355"/>
      <c r="CT24" s="355"/>
      <c r="CU24" s="355"/>
      <c r="CV24" s="355"/>
      <c r="CW24" s="355"/>
      <c r="CX24" s="355"/>
      <c r="CY24" s="355"/>
      <c r="CZ24" s="355"/>
      <c r="DA24" s="355"/>
      <c r="DB24" s="355"/>
      <c r="DC24" s="355"/>
      <c r="DD24" s="355"/>
      <c r="DE24" s="355"/>
      <c r="DF24" s="355"/>
      <c r="DG24" s="355"/>
      <c r="DH24" s="355"/>
      <c r="DI24" s="355"/>
      <c r="DJ24" s="355"/>
      <c r="DK24" s="355"/>
      <c r="DL24" s="355"/>
      <c r="DM24" s="355"/>
      <c r="DN24" s="355"/>
      <c r="DO24" s="355"/>
      <c r="DP24" s="355"/>
      <c r="DQ24" s="355"/>
      <c r="DR24" s="355"/>
      <c r="DS24" s="355"/>
      <c r="DT24" s="355"/>
    </row>
    <row r="25" spans="1:133" ht="16.5" thickBot="1" x14ac:dyDescent="0.4">
      <c r="A25" s="160"/>
      <c r="B25" s="87" t="s">
        <v>107</v>
      </c>
      <c r="C25" s="115" t="s">
        <v>276</v>
      </c>
      <c r="D25" s="74"/>
      <c r="E25" s="70">
        <f>379343+252477</f>
        <v>631820</v>
      </c>
      <c r="F25" s="65">
        <f>458435+124340</f>
        <v>582775</v>
      </c>
      <c r="G25" s="65">
        <f>629169+142385</f>
        <v>771554</v>
      </c>
      <c r="H25" s="65">
        <f>454171+138670</f>
        <v>592841</v>
      </c>
      <c r="I25" s="74">
        <f>247791+136082</f>
        <v>383873</v>
      </c>
      <c r="J25" s="70">
        <f>(AVERAGE(SUM($E$25:$I$25)/SUM($E$24:$I$24)))*J24</f>
        <v>895689.85368595819</v>
      </c>
      <c r="K25" s="65">
        <f t="shared" ref="K25:M25" si="44">(AVERAGE(SUM($E$25:$I$25)/SUM($E$24:$I$24)))*K24</f>
        <v>999503.9653232228</v>
      </c>
      <c r="L25" s="65">
        <f t="shared" si="44"/>
        <v>1102154.9420915789</v>
      </c>
      <c r="M25" s="65">
        <f t="shared" si="44"/>
        <v>1203642.7839910276</v>
      </c>
      <c r="N25" s="74">
        <f>(AVERAGE(SUM($E$25:$I$25)/SUM($E$24:$I$24)))*N24</f>
        <v>1303967.491021537</v>
      </c>
      <c r="O25" s="70">
        <f>481804+412928</f>
        <v>894732</v>
      </c>
      <c r="P25" s="65">
        <f>678853+940692</f>
        <v>1619545</v>
      </c>
      <c r="Q25" s="65">
        <f>1024433+1036029</f>
        <v>2060462</v>
      </c>
      <c r="R25" s="65">
        <f>1272585+1287951</f>
        <v>2560536</v>
      </c>
      <c r="S25" s="74">
        <f>2753296+1267001</f>
        <v>4020297</v>
      </c>
      <c r="T25" s="70">
        <f>(AVERAGE(SUM($O$25:$S$25)/SUM($O$24:$S$24)))*T24</f>
        <v>4536269.6133590164</v>
      </c>
      <c r="U25" s="65">
        <f t="shared" ref="U25:W25" si="45">(AVERAGE(SUM($O$25:$S$25)/SUM($O$24:$S$24)))*U24</f>
        <v>5517525.6893126266</v>
      </c>
      <c r="V25" s="65">
        <f t="shared" si="45"/>
        <v>6589427.5244081011</v>
      </c>
      <c r="W25" s="65">
        <f t="shared" si="45"/>
        <v>7751975.1186448047</v>
      </c>
      <c r="X25" s="74">
        <f>(AVERAGE(SUM($O$25:$S$25)/SUM($O$24:$S$24)))*X24</f>
        <v>9005168.4720232543</v>
      </c>
      <c r="Y25" s="70">
        <f>1056186+376672</f>
        <v>1432858</v>
      </c>
      <c r="Z25" s="65">
        <f>1309793+402430</f>
        <v>1712223</v>
      </c>
      <c r="AA25" s="65">
        <f>1445404+301673</f>
        <v>1747077</v>
      </c>
      <c r="AB25" s="65">
        <f>1475151+391849</f>
        <v>1867000</v>
      </c>
      <c r="AC25" s="74">
        <f>1910759+533887</f>
        <v>2444646</v>
      </c>
      <c r="AD25" s="70">
        <f>(AVERAGE(SUM($Y$25:$AC$25)/SUM($Y$24:$AC$24)))*AD24</f>
        <v>2767355.2359029469</v>
      </c>
      <c r="AE25" s="65">
        <f t="shared" ref="AE25:AH25" si="46">(AVERAGE(SUM($Y$25:$AC$25)/SUM($Y$24:$AC$24)))*AE24</f>
        <v>3111362.0996758644</v>
      </c>
      <c r="AF25" s="65">
        <f t="shared" si="46"/>
        <v>3473142.7434212798</v>
      </c>
      <c r="AG25" s="65">
        <f t="shared" si="46"/>
        <v>3852697.1671392294</v>
      </c>
      <c r="AH25" s="74">
        <f t="shared" si="46"/>
        <v>4250025.3708297629</v>
      </c>
      <c r="AI25" s="70">
        <f>555899+143724</f>
        <v>699623</v>
      </c>
      <c r="AJ25" s="65">
        <f>743939+91737</f>
        <v>835676</v>
      </c>
      <c r="AK25" s="65">
        <f>812588+60615</f>
        <v>873203</v>
      </c>
      <c r="AL25" s="71">
        <f>875537+103426</f>
        <v>978963</v>
      </c>
      <c r="AM25" s="74">
        <f>838992+124236</f>
        <v>963228</v>
      </c>
      <c r="AN25" s="70">
        <f>(AVERAGE(SUM($AI$25:$AM$25)/SUM($AI$24:$AM$24)))*AN24</f>
        <v>1245030.1860481505</v>
      </c>
      <c r="AO25" s="65">
        <f t="shared" ref="AO25:AQ25" si="47">(AVERAGE(SUM($AI$25:$AM$25)/SUM($AI$24:$AM$24)))*AO24</f>
        <v>1381466.6178854774</v>
      </c>
      <c r="AP25" s="65">
        <f t="shared" si="47"/>
        <v>1523124.7705097443</v>
      </c>
      <c r="AQ25" s="65">
        <f t="shared" si="47"/>
        <v>1670004.643920938</v>
      </c>
      <c r="AR25" s="74">
        <f>(AVERAGE(SUM($AI$25:$AM$25)/SUM($AI$24:$AM$24)))*AR24</f>
        <v>1822106.2381190402</v>
      </c>
      <c r="AS25" s="70">
        <f>919240+311868</f>
        <v>1231108</v>
      </c>
      <c r="AT25" s="65">
        <f>963984+235202</f>
        <v>1199186</v>
      </c>
      <c r="AU25" s="65">
        <f>1078616+334692</f>
        <v>1413308</v>
      </c>
      <c r="AV25" s="71">
        <f>-SUM(CK13:CK14)</f>
        <v>1480360</v>
      </c>
      <c r="AW25" s="72">
        <f>-SUM(CJ13:CJ14)</f>
        <v>1943374</v>
      </c>
      <c r="AX25" s="70">
        <f>(AVERAGE(SUM($AS$25:$AW$25)/SUM($AS$24:$AW$24)))*AX24</f>
        <v>2081859.0439902314</v>
      </c>
      <c r="AY25" s="65">
        <f t="shared" ref="AY25:BB25" si="48">(AVERAGE(SUM($AS$25:$AW$25)/SUM($AS$24:$AW$24)))*AY24</f>
        <v>2311420.0771239675</v>
      </c>
      <c r="AZ25" s="65">
        <f t="shared" si="48"/>
        <v>2549927.5912666707</v>
      </c>
      <c r="BA25" s="65">
        <f t="shared" si="48"/>
        <v>2797381.5864183125</v>
      </c>
      <c r="BB25" s="74">
        <f t="shared" si="48"/>
        <v>3053782.0625789496</v>
      </c>
      <c r="BC25" s="70">
        <f t="shared" si="15"/>
        <v>4890141</v>
      </c>
      <c r="BD25" s="65">
        <f t="shared" si="15"/>
        <v>5949405</v>
      </c>
      <c r="BE25" s="65">
        <f t="shared" si="15"/>
        <v>6865604</v>
      </c>
      <c r="BF25" s="65">
        <f t="shared" si="15"/>
        <v>7479700</v>
      </c>
      <c r="BG25" s="74">
        <f t="shared" si="16"/>
        <v>9755418</v>
      </c>
      <c r="BH25" s="70">
        <f t="shared" si="17"/>
        <v>11526203.932986304</v>
      </c>
      <c r="BI25" s="65">
        <f t="shared" si="18"/>
        <v>13321278.44932116</v>
      </c>
      <c r="BJ25" s="65">
        <f t="shared" si="19"/>
        <v>15237777.571697375</v>
      </c>
      <c r="BK25" s="65">
        <f t="shared" si="20"/>
        <v>17275701.300114311</v>
      </c>
      <c r="BL25" s="74">
        <f t="shared" si="21"/>
        <v>19435049.634572543</v>
      </c>
      <c r="BN25" s="498"/>
      <c r="BO25" s="499"/>
      <c r="BP25" s="500"/>
      <c r="BR25" s="355"/>
      <c r="BS25" s="355"/>
      <c r="BT25" s="355"/>
      <c r="BU25" s="355"/>
      <c r="BV25" s="355"/>
      <c r="BW25" s="355"/>
      <c r="BX25" s="355"/>
      <c r="BY25" s="355"/>
      <c r="BZ25" s="355"/>
      <c r="CA25" s="355"/>
      <c r="CB25" s="355"/>
      <c r="CC25" s="355"/>
      <c r="CD25" s="355"/>
      <c r="CE25" s="355"/>
      <c r="CF25" s="355"/>
      <c r="CG25" s="355"/>
      <c r="CH25" s="355"/>
      <c r="CI25" s="355"/>
      <c r="CJ25" s="355"/>
      <c r="CK25" s="355"/>
      <c r="CL25" s="355"/>
      <c r="CM25" s="355"/>
      <c r="CN25" s="355"/>
      <c r="CO25" s="355"/>
      <c r="CP25" s="355"/>
      <c r="CQ25" s="355"/>
      <c r="CR25" s="355"/>
      <c r="CS25" s="355"/>
      <c r="CT25" s="355"/>
      <c r="CU25" s="355"/>
      <c r="CV25" s="355"/>
      <c r="CW25" s="355"/>
      <c r="CX25" s="355"/>
      <c r="CY25" s="355"/>
      <c r="CZ25" s="355"/>
      <c r="DA25" s="355"/>
      <c r="DB25" s="355"/>
      <c r="DC25" s="355"/>
      <c r="DD25" s="355"/>
      <c r="DE25" s="355"/>
      <c r="DF25" s="355"/>
      <c r="DG25" s="355"/>
      <c r="DH25" s="355"/>
      <c r="DI25" s="355"/>
      <c r="DJ25" s="355"/>
      <c r="DK25" s="355"/>
      <c r="DL25" s="355"/>
      <c r="DM25" s="355"/>
      <c r="DN25" s="355"/>
      <c r="DO25" s="355"/>
      <c r="DP25" s="355"/>
      <c r="DQ25" s="355"/>
      <c r="DR25" s="355"/>
      <c r="DS25" s="355"/>
      <c r="DT25" s="355"/>
    </row>
    <row r="26" spans="1:133" ht="16" x14ac:dyDescent="0.35">
      <c r="A26" s="160"/>
      <c r="B26" s="87" t="s">
        <v>108</v>
      </c>
      <c r="C26" s="115"/>
      <c r="D26" s="74"/>
      <c r="E26" s="73">
        <f>E24-E25</f>
        <v>527322</v>
      </c>
      <c r="F26" s="71">
        <f t="shared" ref="F26:AW26" si="49">F24-F25</f>
        <v>2715988</v>
      </c>
      <c r="G26" s="71">
        <f t="shared" si="49"/>
        <v>3806950</v>
      </c>
      <c r="H26" s="71">
        <f t="shared" si="49"/>
        <v>3193347</v>
      </c>
      <c r="I26" s="72">
        <f t="shared" si="49"/>
        <v>1825096</v>
      </c>
      <c r="J26" s="73">
        <f>J24-J25</f>
        <v>3648435.5922799278</v>
      </c>
      <c r="K26" s="71">
        <f t="shared" ref="K26" si="50">K24-K25</f>
        <v>4071304.1759974305</v>
      </c>
      <c r="L26" s="71">
        <f t="shared" ref="L26" si="51">L24-L25</f>
        <v>4489434.9337399211</v>
      </c>
      <c r="M26" s="71">
        <f t="shared" ref="M26" si="52">M24-M25</f>
        <v>4902827.8655074053</v>
      </c>
      <c r="N26" s="72">
        <f t="shared" ref="N26" si="53">N24-N25</f>
        <v>5311482.9712997517</v>
      </c>
      <c r="O26" s="73">
        <f t="shared" si="49"/>
        <v>3550768</v>
      </c>
      <c r="P26" s="71">
        <f t="shared" si="49"/>
        <v>3525521</v>
      </c>
      <c r="Q26" s="71">
        <f t="shared" si="49"/>
        <v>4476484</v>
      </c>
      <c r="R26" s="71">
        <f t="shared" si="49"/>
        <v>7640045</v>
      </c>
      <c r="S26" s="72">
        <f t="shared" si="49"/>
        <v>10033744</v>
      </c>
      <c r="T26" s="73">
        <f t="shared" ref="T26" si="54">T24-T25</f>
        <v>11884604.850701813</v>
      </c>
      <c r="U26" s="71">
        <f t="shared" ref="U26" si="55">U24-U25</f>
        <v>14455404.585734215</v>
      </c>
      <c r="V26" s="71">
        <f t="shared" ref="V26" si="56">V24-V25</f>
        <v>17263687.786392294</v>
      </c>
      <c r="W26" s="71">
        <f t="shared" ref="W26" si="57">W24-W25</f>
        <v>20309454.452674389</v>
      </c>
      <c r="X26" s="72">
        <f t="shared" ref="X26" si="58">X24-X25</f>
        <v>23592704.584581845</v>
      </c>
      <c r="Y26" s="73">
        <f t="shared" si="49"/>
        <v>4296798</v>
      </c>
      <c r="Z26" s="71">
        <f t="shared" si="49"/>
        <v>835788</v>
      </c>
      <c r="AA26" s="71">
        <f t="shared" si="49"/>
        <v>1247436</v>
      </c>
      <c r="AB26" s="71">
        <f t="shared" si="49"/>
        <v>998749</v>
      </c>
      <c r="AC26" s="72">
        <f t="shared" si="49"/>
        <v>2304985</v>
      </c>
      <c r="AD26" s="73">
        <f>AD24-AD25</f>
        <v>2911664.8800655226</v>
      </c>
      <c r="AE26" s="71">
        <f t="shared" ref="AE26" si="59">AE24-AE25</f>
        <v>3273610.7158419224</v>
      </c>
      <c r="AF26" s="71">
        <f t="shared" ref="AF26" si="60">AF24-AF25</f>
        <v>3654257.1832757713</v>
      </c>
      <c r="AG26" s="71">
        <f t="shared" ref="AG26" si="61">AG24-AG25</f>
        <v>4053604.2823671075</v>
      </c>
      <c r="AH26" s="72">
        <f t="shared" ref="AH26" si="62">AH24-AH25</f>
        <v>4471652.0131159835</v>
      </c>
      <c r="AI26" s="73">
        <f t="shared" si="49"/>
        <v>202609</v>
      </c>
      <c r="AJ26" s="71">
        <f t="shared" si="49"/>
        <v>379700</v>
      </c>
      <c r="AK26" s="71">
        <f t="shared" si="49"/>
        <v>760631</v>
      </c>
      <c r="AL26" s="71">
        <f t="shared" si="49"/>
        <v>932228</v>
      </c>
      <c r="AM26" s="72">
        <f t="shared" si="49"/>
        <v>881086</v>
      </c>
      <c r="AN26" s="73">
        <f t="shared" ref="AN26" si="63">AN24-AN25</f>
        <v>903219.67209251923</v>
      </c>
      <c r="AO26" s="71">
        <f t="shared" ref="AO26" si="64">AO24-AO25</f>
        <v>1002198.8539682091</v>
      </c>
      <c r="AP26" s="71">
        <f t="shared" ref="AP26" si="65">AP24-AP25</f>
        <v>1104966.1857135089</v>
      </c>
      <c r="AQ26" s="71">
        <f t="shared" ref="AQ26" si="66">AQ24-AQ25</f>
        <v>1211521.6673284085</v>
      </c>
      <c r="AR26" s="72">
        <f t="shared" ref="AR26" si="67">AR24-AR25</f>
        <v>1321865.2988128955</v>
      </c>
      <c r="AS26" s="73">
        <f t="shared" si="49"/>
        <v>738580</v>
      </c>
      <c r="AT26" s="71">
        <f t="shared" si="49"/>
        <v>941843</v>
      </c>
      <c r="AU26" s="71">
        <f t="shared" si="49"/>
        <v>1461940</v>
      </c>
      <c r="AV26" s="71">
        <f t="shared" si="49"/>
        <v>1889055</v>
      </c>
      <c r="AW26" s="72">
        <f t="shared" si="49"/>
        <v>2105884</v>
      </c>
      <c r="AX26" s="73">
        <f t="shared" ref="AX26" si="68">AX24-AX25</f>
        <v>2044608.4670351788</v>
      </c>
      <c r="AY26" s="71">
        <f t="shared" ref="AY26" si="69">AY24-AY25</f>
        <v>2270061.9785980792</v>
      </c>
      <c r="AZ26" s="71">
        <f t="shared" ref="AZ26" si="70">AZ24-AZ25</f>
        <v>2504301.8923306693</v>
      </c>
      <c r="BA26" s="71">
        <f t="shared" ref="BA26" si="71">BA24-BA25</f>
        <v>2747328.2082329202</v>
      </c>
      <c r="BB26" s="72">
        <f t="shared" ref="BB26" si="72">BB24-BB25</f>
        <v>2999140.9263048884</v>
      </c>
      <c r="BC26" s="73">
        <f t="shared" si="15"/>
        <v>9316077</v>
      </c>
      <c r="BD26" s="71">
        <f t="shared" si="15"/>
        <v>8398840</v>
      </c>
      <c r="BE26" s="71">
        <f t="shared" si="15"/>
        <v>11753441</v>
      </c>
      <c r="BF26" s="71">
        <f t="shared" si="15"/>
        <v>14653424</v>
      </c>
      <c r="BG26" s="72">
        <f t="shared" si="16"/>
        <v>17150795</v>
      </c>
      <c r="BH26" s="73">
        <f t="shared" si="17"/>
        <v>21392533.462174959</v>
      </c>
      <c r="BI26" s="71">
        <f t="shared" si="18"/>
        <v>25072580.310139861</v>
      </c>
      <c r="BJ26" s="71">
        <f t="shared" si="19"/>
        <v>29016647.981452163</v>
      </c>
      <c r="BK26" s="71">
        <f t="shared" si="20"/>
        <v>33224736.476110231</v>
      </c>
      <c r="BL26" s="72">
        <f t="shared" si="21"/>
        <v>37696845.794115365</v>
      </c>
      <c r="BR26" s="355"/>
      <c r="BS26" s="355"/>
      <c r="BT26" s="355"/>
      <c r="BU26" s="355"/>
      <c r="BV26" s="355"/>
      <c r="BW26" s="355"/>
      <c r="BX26" s="355"/>
      <c r="BY26" s="355"/>
      <c r="BZ26" s="355"/>
      <c r="CA26" s="355"/>
      <c r="CB26" s="355"/>
      <c r="CC26" s="355"/>
      <c r="CD26" s="355"/>
      <c r="CE26" s="355"/>
      <c r="CF26" s="355"/>
      <c r="CG26" s="355"/>
      <c r="CH26" s="355"/>
      <c r="CI26" s="355"/>
      <c r="CJ26" s="355"/>
      <c r="CK26" s="355"/>
      <c r="CL26" s="355"/>
      <c r="CM26" s="355"/>
      <c r="CN26" s="355"/>
      <c r="CO26" s="355"/>
      <c r="CP26" s="355"/>
      <c r="CQ26" s="355"/>
      <c r="CR26" s="355"/>
      <c r="CS26" s="355"/>
      <c r="CT26" s="355"/>
      <c r="CU26" s="355"/>
      <c r="CV26" s="355"/>
      <c r="CW26" s="355"/>
      <c r="CX26" s="355"/>
      <c r="CY26" s="355"/>
      <c r="CZ26" s="355"/>
      <c r="DA26" s="355"/>
      <c r="DB26" s="355"/>
      <c r="DC26" s="355"/>
      <c r="DD26" s="355"/>
      <c r="DE26" s="355"/>
      <c r="DF26" s="355"/>
      <c r="DG26" s="355"/>
      <c r="DH26" s="355"/>
      <c r="DI26" s="355"/>
      <c r="DJ26" s="355"/>
      <c r="DK26" s="355"/>
      <c r="DL26" s="355"/>
      <c r="DM26" s="355"/>
      <c r="DN26" s="355"/>
      <c r="DO26" s="355"/>
      <c r="DP26" s="355"/>
      <c r="DQ26" s="355"/>
      <c r="DR26" s="355"/>
      <c r="DS26" s="355"/>
      <c r="DT26" s="355"/>
    </row>
    <row r="27" spans="1:133" ht="16" x14ac:dyDescent="0.35">
      <c r="A27" s="160"/>
      <c r="B27" s="87" t="s">
        <v>124</v>
      </c>
      <c r="C27" s="115" t="s">
        <v>136</v>
      </c>
      <c r="D27" s="74"/>
      <c r="E27" s="70">
        <v>12894</v>
      </c>
      <c r="F27" s="65">
        <v>5147</v>
      </c>
      <c r="G27" s="65">
        <v>5017</v>
      </c>
      <c r="H27" s="65">
        <v>658157</v>
      </c>
      <c r="I27" s="74">
        <v>631554</v>
      </c>
      <c r="J27" s="70">
        <f>AVERAGE(E27:I27)</f>
        <v>262553.8</v>
      </c>
      <c r="K27" s="65">
        <f t="shared" ref="K27:M27" si="73">AVERAGE(F27:J27)</f>
        <v>312485.76000000001</v>
      </c>
      <c r="L27" s="65">
        <f t="shared" si="73"/>
        <v>373953.51199999999</v>
      </c>
      <c r="M27" s="65">
        <f t="shared" si="73"/>
        <v>447740.81440000003</v>
      </c>
      <c r="N27" s="74">
        <f>AVERAGE(I27:M27)</f>
        <v>405657.57728000003</v>
      </c>
      <c r="O27" s="70">
        <v>21378</v>
      </c>
      <c r="P27" s="65">
        <v>40552</v>
      </c>
      <c r="Q27" s="65">
        <v>43453</v>
      </c>
      <c r="R27" s="65">
        <v>2077073</v>
      </c>
      <c r="S27" s="74">
        <v>2395040</v>
      </c>
      <c r="T27" s="70">
        <f>AVERAGE(O27:S27)</f>
        <v>915499.2</v>
      </c>
      <c r="U27" s="65">
        <f t="shared" ref="U27:X27" si="74">AVERAGE(P27:T27)</f>
        <v>1094323.44</v>
      </c>
      <c r="V27" s="65">
        <f t="shared" si="74"/>
        <v>1305077.7280000001</v>
      </c>
      <c r="W27" s="65">
        <f t="shared" si="74"/>
        <v>1557402.6736000001</v>
      </c>
      <c r="X27" s="74">
        <f t="shared" si="74"/>
        <v>1453468.6083200001</v>
      </c>
      <c r="Y27" s="70">
        <v>15750</v>
      </c>
      <c r="Z27" s="65">
        <v>13351</v>
      </c>
      <c r="AA27" s="65">
        <v>14048</v>
      </c>
      <c r="AB27" s="65">
        <v>169714</v>
      </c>
      <c r="AC27" s="74">
        <v>205760</v>
      </c>
      <c r="AD27" s="70">
        <f>AVERAGE(Y27:AC27)</f>
        <v>83724.600000000006</v>
      </c>
      <c r="AE27" s="65">
        <f t="shared" ref="AE27:AH27" si="75">AVERAGE(Z27:AD27)</f>
        <v>97319.51999999999</v>
      </c>
      <c r="AF27" s="65">
        <f t="shared" si="75"/>
        <v>114113.224</v>
      </c>
      <c r="AG27" s="65">
        <f t="shared" si="75"/>
        <v>134126.26880000002</v>
      </c>
      <c r="AH27" s="74">
        <f t="shared" si="75"/>
        <v>127008.72255999999</v>
      </c>
      <c r="AI27" s="70">
        <v>2971</v>
      </c>
      <c r="AJ27" s="65">
        <v>1088</v>
      </c>
      <c r="AK27" s="65">
        <v>2879</v>
      </c>
      <c r="AL27" s="65">
        <v>74716</v>
      </c>
      <c r="AM27" s="74">
        <v>76449</v>
      </c>
      <c r="AN27" s="70">
        <f>AVERAGE(AI27:AM27)</f>
        <v>31620.6</v>
      </c>
      <c r="AO27" s="65">
        <f t="shared" ref="AO27:AR27" si="76">AVERAGE(AJ27:AN27)</f>
        <v>37350.520000000004</v>
      </c>
      <c r="AP27" s="65">
        <f t="shared" si="76"/>
        <v>44603.023999999998</v>
      </c>
      <c r="AQ27" s="65">
        <f t="shared" si="76"/>
        <v>52947.828799999996</v>
      </c>
      <c r="AR27" s="74">
        <f t="shared" si="76"/>
        <v>48594.194559999996</v>
      </c>
      <c r="AS27" s="70">
        <v>10441</v>
      </c>
      <c r="AT27" s="65">
        <v>6064</v>
      </c>
      <c r="AU27" s="65">
        <v>6166</v>
      </c>
      <c r="AV27" s="65">
        <v>117921</v>
      </c>
      <c r="AW27" s="74">
        <v>136327</v>
      </c>
      <c r="AX27" s="70">
        <f>AVERAGE(AS27:AW27)</f>
        <v>55383.8</v>
      </c>
      <c r="AY27" s="65">
        <f t="shared" ref="AY27:BB27" si="77">AVERAGE(AT27:AX27)</f>
        <v>64372.36</v>
      </c>
      <c r="AZ27" s="65">
        <f t="shared" si="77"/>
        <v>76034.031999999992</v>
      </c>
      <c r="BA27" s="65">
        <f t="shared" si="77"/>
        <v>90007.638399999996</v>
      </c>
      <c r="BB27" s="74">
        <f t="shared" si="77"/>
        <v>84424.966079999998</v>
      </c>
      <c r="BC27" s="70">
        <f t="shared" si="15"/>
        <v>63434</v>
      </c>
      <c r="BD27" s="65">
        <f t="shared" si="15"/>
        <v>66202</v>
      </c>
      <c r="BE27" s="65">
        <f t="shared" si="15"/>
        <v>71563</v>
      </c>
      <c r="BF27" s="65">
        <f t="shared" si="15"/>
        <v>3097581</v>
      </c>
      <c r="BG27" s="74">
        <f t="shared" si="16"/>
        <v>3445130</v>
      </c>
      <c r="BH27" s="70">
        <f t="shared" si="17"/>
        <v>1348782.0000000002</v>
      </c>
      <c r="BI27" s="65">
        <f t="shared" si="18"/>
        <v>1605851.6</v>
      </c>
      <c r="BJ27" s="65">
        <f t="shared" si="19"/>
        <v>1913781.52</v>
      </c>
      <c r="BK27" s="65">
        <f t="shared" si="20"/>
        <v>2282225.2239999999</v>
      </c>
      <c r="BL27" s="74">
        <f t="shared" si="21"/>
        <v>2119154.0688</v>
      </c>
      <c r="BR27" s="355"/>
      <c r="BS27" s="355"/>
      <c r="BT27" s="355"/>
      <c r="BU27" s="355"/>
      <c r="BV27" s="355"/>
      <c r="BW27" s="355"/>
      <c r="BX27" s="355"/>
      <c r="BY27" s="355"/>
      <c r="BZ27" s="355"/>
      <c r="CA27" s="355"/>
      <c r="CB27" s="355"/>
      <c r="CC27" s="355"/>
      <c r="CD27" s="355"/>
      <c r="CE27" s="355"/>
      <c r="CF27" s="355"/>
      <c r="CG27" s="355"/>
      <c r="CH27" s="355"/>
      <c r="CI27" s="355"/>
      <c r="CJ27" s="355"/>
      <c r="CK27" s="355"/>
      <c r="CL27" s="355"/>
      <c r="CM27" s="355"/>
      <c r="CN27" s="355"/>
      <c r="CO27" s="355"/>
      <c r="CP27" s="355"/>
      <c r="CQ27" s="355"/>
      <c r="CR27" s="355"/>
      <c r="CS27" s="355"/>
      <c r="CT27" s="355"/>
      <c r="CU27" s="355"/>
      <c r="CV27" s="355"/>
      <c r="CW27" s="355"/>
      <c r="CX27" s="355"/>
      <c r="CY27" s="355"/>
      <c r="CZ27" s="355"/>
      <c r="DA27" s="355"/>
      <c r="DB27" s="355"/>
      <c r="DC27" s="355"/>
      <c r="DD27" s="355"/>
      <c r="DE27" s="355"/>
      <c r="DF27" s="355"/>
      <c r="DG27" s="355"/>
      <c r="DH27" s="355"/>
      <c r="DI27" s="355"/>
      <c r="DJ27" s="355"/>
      <c r="DK27" s="355"/>
      <c r="DL27" s="355"/>
      <c r="DM27" s="355"/>
      <c r="DN27" s="355"/>
      <c r="DO27" s="355"/>
      <c r="DP27" s="355"/>
      <c r="DQ27" s="355"/>
      <c r="DR27" s="355"/>
      <c r="DS27" s="355"/>
      <c r="DT27" s="355"/>
    </row>
    <row r="28" spans="1:133" ht="16" x14ac:dyDescent="0.35">
      <c r="A28" s="160"/>
      <c r="B28" s="87" t="s">
        <v>125</v>
      </c>
      <c r="C28" s="115"/>
      <c r="D28" s="74"/>
      <c r="E28" s="73">
        <f>E26-E27</f>
        <v>514428</v>
      </c>
      <c r="F28" s="71">
        <f t="shared" ref="F28:I28" si="78">F26-F27</f>
        <v>2710841</v>
      </c>
      <c r="G28" s="71">
        <f t="shared" si="78"/>
        <v>3801933</v>
      </c>
      <c r="H28" s="71">
        <f t="shared" si="78"/>
        <v>2535190</v>
      </c>
      <c r="I28" s="72">
        <f t="shared" si="78"/>
        <v>1193542</v>
      </c>
      <c r="J28" s="73">
        <f t="shared" ref="J28" si="79">J26-J27</f>
        <v>3385881.792279928</v>
      </c>
      <c r="K28" s="71">
        <f t="shared" ref="K28" si="80">K26-K27</f>
        <v>3758818.4159974307</v>
      </c>
      <c r="L28" s="71">
        <f t="shared" ref="L28" si="81">L26-L27</f>
        <v>4115481.421739921</v>
      </c>
      <c r="M28" s="71">
        <f t="shared" ref="M28" si="82">M26-M27</f>
        <v>4455087.0511074048</v>
      </c>
      <c r="N28" s="72">
        <f t="shared" ref="N28" si="83">N26-N27</f>
        <v>4905825.3940197518</v>
      </c>
      <c r="O28" s="73">
        <f t="shared" ref="O28" si="84">O26-O27</f>
        <v>3529390</v>
      </c>
      <c r="P28" s="71">
        <f t="shared" ref="P28" si="85">P26-P27</f>
        <v>3484969</v>
      </c>
      <c r="Q28" s="71">
        <f t="shared" ref="Q28" si="86">Q26-Q27</f>
        <v>4433031</v>
      </c>
      <c r="R28" s="71">
        <f t="shared" ref="R28" si="87">R26-R27</f>
        <v>5562972</v>
      </c>
      <c r="S28" s="72">
        <f t="shared" ref="S28" si="88">S26-S27</f>
        <v>7638704</v>
      </c>
      <c r="T28" s="73">
        <f>T26-T27</f>
        <v>10969105.650701813</v>
      </c>
      <c r="U28" s="71">
        <f t="shared" ref="U28" si="89">U26-U27</f>
        <v>13361081.145734215</v>
      </c>
      <c r="V28" s="71">
        <f t="shared" ref="V28" si="90">V26-V27</f>
        <v>15958610.058392294</v>
      </c>
      <c r="W28" s="71">
        <f t="shared" ref="W28" si="91">W26-W27</f>
        <v>18752051.779074389</v>
      </c>
      <c r="X28" s="72">
        <f t="shared" ref="X28" si="92">X26-X27</f>
        <v>22139235.976261843</v>
      </c>
      <c r="Y28" s="73">
        <f t="shared" ref="Y28" si="93">Y26-Y27</f>
        <v>4281048</v>
      </c>
      <c r="Z28" s="71">
        <f t="shared" ref="Z28" si="94">Z26-Z27</f>
        <v>822437</v>
      </c>
      <c r="AA28" s="71">
        <f t="shared" ref="AA28" si="95">AA26-AA27</f>
        <v>1233388</v>
      </c>
      <c r="AB28" s="71">
        <f t="shared" ref="AB28" si="96">AB26-AB27</f>
        <v>829035</v>
      </c>
      <c r="AC28" s="72">
        <f t="shared" ref="AC28" si="97">AC26-AC27</f>
        <v>2099225</v>
      </c>
      <c r="AD28" s="73">
        <f t="shared" ref="AD28" si="98">AD26-AD27</f>
        <v>2827940.2800655225</v>
      </c>
      <c r="AE28" s="71">
        <f t="shared" ref="AE28" si="99">AE26-AE27</f>
        <v>3176291.1958419224</v>
      </c>
      <c r="AF28" s="71">
        <f t="shared" ref="AF28" si="100">AF26-AF27</f>
        <v>3540143.9592757714</v>
      </c>
      <c r="AG28" s="71">
        <f t="shared" ref="AG28" si="101">AG26-AG27</f>
        <v>3919478.0135671073</v>
      </c>
      <c r="AH28" s="72">
        <f t="shared" ref="AH28" si="102">AH26-AH27</f>
        <v>4344643.2905559838</v>
      </c>
      <c r="AI28" s="73">
        <f t="shared" ref="AI28" si="103">AI26-AI27</f>
        <v>199638</v>
      </c>
      <c r="AJ28" s="71">
        <f t="shared" ref="AJ28" si="104">AJ26-AJ27</f>
        <v>378612</v>
      </c>
      <c r="AK28" s="71">
        <f t="shared" ref="AK28" si="105">AK26-AK27</f>
        <v>757752</v>
      </c>
      <c r="AL28" s="71">
        <f t="shared" ref="AL28" si="106">AL26-AL27</f>
        <v>857512</v>
      </c>
      <c r="AM28" s="72">
        <f t="shared" ref="AM28" si="107">AM26-AM27</f>
        <v>804637</v>
      </c>
      <c r="AN28" s="73">
        <f t="shared" ref="AN28" si="108">AN26-AN27</f>
        <v>871599.07209251926</v>
      </c>
      <c r="AO28" s="71">
        <f t="shared" ref="AO28" si="109">AO26-AO27</f>
        <v>964848.3339682091</v>
      </c>
      <c r="AP28" s="71">
        <f t="shared" ref="AP28" si="110">AP26-AP27</f>
        <v>1060363.1617135089</v>
      </c>
      <c r="AQ28" s="71">
        <f t="shared" ref="AQ28" si="111">AQ26-AQ27</f>
        <v>1158573.8385284084</v>
      </c>
      <c r="AR28" s="72">
        <f t="shared" ref="AR28" si="112">AR26-AR27</f>
        <v>1273271.1042528956</v>
      </c>
      <c r="AS28" s="73">
        <f t="shared" ref="AS28" si="113">AS26-AS27</f>
        <v>728139</v>
      </c>
      <c r="AT28" s="71">
        <f t="shared" ref="AT28" si="114">AT26-AT27</f>
        <v>935779</v>
      </c>
      <c r="AU28" s="71">
        <f t="shared" ref="AU28" si="115">AU26-AU27</f>
        <v>1455774</v>
      </c>
      <c r="AV28" s="71">
        <f t="shared" ref="AV28" si="116">AV26-AV27</f>
        <v>1771134</v>
      </c>
      <c r="AW28" s="72">
        <f t="shared" ref="AW28" si="117">AW26-AW27</f>
        <v>1969557</v>
      </c>
      <c r="AX28" s="73">
        <f t="shared" ref="AX28" si="118">AX26-AX27</f>
        <v>1989224.6670351787</v>
      </c>
      <c r="AY28" s="71">
        <f t="shared" ref="AY28" si="119">AY26-AY27</f>
        <v>2205689.6185980793</v>
      </c>
      <c r="AZ28" s="71">
        <f t="shared" ref="AZ28" si="120">AZ26-AZ27</f>
        <v>2428267.8603306692</v>
      </c>
      <c r="BA28" s="71">
        <f t="shared" ref="BA28" si="121">BA26-BA27</f>
        <v>2657320.5698329201</v>
      </c>
      <c r="BB28" s="72">
        <f t="shared" ref="BB28" si="122">BB26-BB27</f>
        <v>2914715.9602248883</v>
      </c>
      <c r="BC28" s="73">
        <f t="shared" ref="BC28" si="123">BC26-BC27</f>
        <v>9252643</v>
      </c>
      <c r="BD28" s="71">
        <f t="shared" ref="BD28" si="124">BD26-BD27</f>
        <v>8332638</v>
      </c>
      <c r="BE28" s="71">
        <f t="shared" ref="BE28" si="125">BE26-BE27</f>
        <v>11681878</v>
      </c>
      <c r="BF28" s="71">
        <f t="shared" ref="BF28" si="126">BF26-BF27</f>
        <v>11555843</v>
      </c>
      <c r="BG28" s="72">
        <f t="shared" si="16"/>
        <v>13705665</v>
      </c>
      <c r="BH28" s="73">
        <f t="shared" si="17"/>
        <v>20043751.462174959</v>
      </c>
      <c r="BI28" s="71">
        <f t="shared" si="18"/>
        <v>23466728.710139856</v>
      </c>
      <c r="BJ28" s="71">
        <f t="shared" si="19"/>
        <v>27102866.461452164</v>
      </c>
      <c r="BK28" s="71">
        <f t="shared" si="20"/>
        <v>30942511.252110232</v>
      </c>
      <c r="BL28" s="72">
        <f t="shared" si="21"/>
        <v>35577691.725315362</v>
      </c>
      <c r="BR28" s="355"/>
      <c r="BS28" s="355"/>
      <c r="BT28" s="355"/>
      <c r="BU28" s="355"/>
      <c r="BV28" s="355"/>
      <c r="BW28" s="355"/>
      <c r="BX28" s="355"/>
      <c r="BY28" s="355"/>
      <c r="BZ28" s="355"/>
      <c r="CA28" s="355"/>
      <c r="CB28" s="355"/>
      <c r="CC28" s="355"/>
      <c r="CD28" s="355"/>
      <c r="CE28" s="355"/>
      <c r="CF28" s="355"/>
      <c r="CG28" s="355"/>
      <c r="CH28" s="355"/>
      <c r="CI28" s="355"/>
      <c r="CJ28" s="355"/>
      <c r="CK28" s="355"/>
      <c r="CL28" s="355"/>
      <c r="CM28" s="355"/>
      <c r="CN28" s="355"/>
      <c r="CO28" s="355"/>
      <c r="CP28" s="355"/>
      <c r="CQ28" s="355"/>
      <c r="CR28" s="355"/>
      <c r="CS28" s="355"/>
      <c r="CT28" s="355"/>
      <c r="CU28" s="355"/>
      <c r="CV28" s="355"/>
      <c r="CW28" s="355"/>
      <c r="CX28" s="355"/>
      <c r="CY28" s="355"/>
      <c r="CZ28" s="355"/>
      <c r="DA28" s="355"/>
      <c r="DB28" s="355"/>
      <c r="DC28" s="355"/>
      <c r="DD28" s="355"/>
      <c r="DE28" s="355"/>
      <c r="DF28" s="355"/>
      <c r="DG28" s="355"/>
      <c r="DH28" s="355"/>
      <c r="DI28" s="355"/>
      <c r="DJ28" s="355"/>
      <c r="DK28" s="355"/>
      <c r="DL28" s="355"/>
      <c r="DM28" s="355"/>
      <c r="DN28" s="355"/>
      <c r="DO28" s="355"/>
      <c r="DP28" s="355"/>
      <c r="DQ28" s="355"/>
      <c r="DR28" s="355"/>
      <c r="DS28" s="355"/>
      <c r="DT28" s="355"/>
    </row>
    <row r="29" spans="1:133" ht="16" x14ac:dyDescent="0.35">
      <c r="A29" s="160"/>
      <c r="B29" s="87" t="s">
        <v>126</v>
      </c>
      <c r="C29" s="115" t="s">
        <v>129</v>
      </c>
      <c r="D29" s="74"/>
      <c r="E29" s="70">
        <f>(CC11*E28)/(E$28+O$28+Y$28+AI$28+AS$28)</f>
        <v>88666.27925966667</v>
      </c>
      <c r="F29" s="65">
        <f>(CD11*F28)/(F$28+P$28+Z$28+AJ$28+AT$28)</f>
        <v>193134.58461786053</v>
      </c>
      <c r="G29" s="65">
        <f>(CE11*G28)/(G$28+Q$28+AA$28+AK$28+AU$28)</f>
        <v>266819.59348676645</v>
      </c>
      <c r="H29" s="65">
        <f>(CF11*H28)/(H$28+R$28+AB$28+AL$28+AV$28)</f>
        <v>631860.5959842134</v>
      </c>
      <c r="I29" s="74">
        <f>(CG11*I28)/(I$28+S$28+AC$28+AM$28+AW$28)</f>
        <v>308018.25769139989</v>
      </c>
      <c r="J29" s="70">
        <f>I29/I28*J28</f>
        <v>873796.99282228679</v>
      </c>
      <c r="K29" s="65">
        <f>J29/J28*K28</f>
        <v>970041.02031924832</v>
      </c>
      <c r="L29" s="65">
        <f>K29/K28*L28</f>
        <v>1062085.3033120376</v>
      </c>
      <c r="M29" s="65">
        <f t="shared" ref="M29:N29" si="127">L29/L28*M28</f>
        <v>1149727.5766966052</v>
      </c>
      <c r="N29" s="74">
        <f t="shared" si="127"/>
        <v>1266049.9508221657</v>
      </c>
      <c r="O29" s="70">
        <f>(CC11*O28)/(O$28+Y$28+AI$28+AS$28+E$28)</f>
        <v>608322.01854540373</v>
      </c>
      <c r="P29" s="65">
        <f t="shared" ref="P29:R29" si="128">(CD11*P28)/(P$28+Z$28+AJ$28+AT$28+F$28)</f>
        <v>248287.53889332525</v>
      </c>
      <c r="Q29" s="65">
        <f t="shared" si="128"/>
        <v>311110.0404279175</v>
      </c>
      <c r="R29" s="65">
        <f t="shared" si="128"/>
        <v>1386492.8480167133</v>
      </c>
      <c r="S29" s="74">
        <f>(CG11*S28)/(S$28+AC$28+AM$28+AW$28+I$28)</f>
        <v>1971325.9333147279</v>
      </c>
      <c r="T29" s="70">
        <f>S29/S28*T28</f>
        <v>2830805.1253848304</v>
      </c>
      <c r="U29" s="65">
        <f t="shared" ref="U29" si="129">T29/T28*U28</f>
        <v>3448103.9924715389</v>
      </c>
      <c r="V29" s="65">
        <f t="shared" ref="V29" si="130">U29/U28*V28</f>
        <v>4118450.1805235534</v>
      </c>
      <c r="W29" s="65">
        <f t="shared" ref="W29" si="131">V29/V28*W28</f>
        <v>4839355.7303634128</v>
      </c>
      <c r="X29" s="74">
        <f t="shared" ref="X29" si="132">W29/W28*X28</f>
        <v>5713488.835773631</v>
      </c>
      <c r="Y29" s="70">
        <f>(CC11*Y28)/(Y$28+AI$28+AS$28+O$28+E$28)</f>
        <v>737877.01581569714</v>
      </c>
      <c r="Z29" s="65">
        <f>(CD11*Z28)/(Z$28+AJ$28+AT$28+P$28+F$28)</f>
        <v>58594.741768093132</v>
      </c>
      <c r="AA29" s="65">
        <f>(CE11*AA28)/(AA$28+AK$28+AU$28+Q$28+G$28)</f>
        <v>86559.148930677067</v>
      </c>
      <c r="AB29" s="65">
        <f>(CF11*AB28)/(AB$28+AL$28+AV$28+R$28+H$28)</f>
        <v>206625.36109395049</v>
      </c>
      <c r="AC29" s="74">
        <f>(CG11*AC28)/(AC$28+AM$28+AW$28+S$28+I$28)</f>
        <v>541748.53252104146</v>
      </c>
      <c r="AD29" s="70">
        <f>AC29/AC28*AD28</f>
        <v>729808.61831515911</v>
      </c>
      <c r="AE29" s="65">
        <f t="shared" ref="AE29" si="133">AD29/AD28*AE28</f>
        <v>819707.79416540172</v>
      </c>
      <c r="AF29" s="65">
        <f t="shared" ref="AF29" si="134">AE29/AE28*AF28</f>
        <v>913607.54318897624</v>
      </c>
      <c r="AG29" s="65">
        <f t="shared" ref="AG29" si="135">AF29/AF28*AG28</f>
        <v>1011502.5602774676</v>
      </c>
      <c r="AH29" s="74">
        <f t="shared" ref="AH29" si="136">AG29/AG28*AH28</f>
        <v>1121225.2745589886</v>
      </c>
      <c r="AI29" s="70">
        <f>(CC11*AI28)/(AI$28+AS$28+E$28+Y$28+O$28)</f>
        <v>34409.399680502102</v>
      </c>
      <c r="AJ29" s="65">
        <f>(CD11*AJ28)/(AJ$28+AT$28+F$28+Z$28+P$28)</f>
        <v>26974.312160446669</v>
      </c>
      <c r="AK29" s="65">
        <f>(CE11*AK28)/(AK$28+AU$28+G$28+AA$28+Q$28)</f>
        <v>53179.022514017008</v>
      </c>
      <c r="AL29" s="65">
        <f>(CF11*AL28)/(AL$28+AV$28+H$28+AB$28+R$28)</f>
        <v>213722.85445414929</v>
      </c>
      <c r="AM29" s="74">
        <f>(CG11*AM28)/(AM$28+AW$28+I$28+AC$28+S$28)</f>
        <v>207653.25963731055</v>
      </c>
      <c r="AN29" s="70">
        <f>AM29/AM28*AN28</f>
        <v>224934.21060287664</v>
      </c>
      <c r="AO29" s="65">
        <f t="shared" ref="AO29" si="137">AN29/AN28*AO28</f>
        <v>248999.11587974086</v>
      </c>
      <c r="AP29" s="65">
        <f t="shared" ref="AP29" si="138">AO29/AO28*AP28</f>
        <v>273648.6973991188</v>
      </c>
      <c r="AQ29" s="65">
        <f t="shared" ref="AQ29" si="139">AP29/AP28*AQ28</f>
        <v>298993.99866142758</v>
      </c>
      <c r="AR29" s="74">
        <f t="shared" ref="AR29" si="140">AQ29/AQ28*AR28</f>
        <v>328594.00599290314</v>
      </c>
      <c r="AS29" s="70">
        <f>(CC11*AS28)/(AS$28+E$28+O$28+AI$28+Y$28)</f>
        <v>125501.2866987303</v>
      </c>
      <c r="AT29" s="65">
        <f>(CD11*AT28)/(AT$28+F$28+P$28+AJ$28+Z$28)</f>
        <v>66669.822560274435</v>
      </c>
      <c r="AU29" s="65">
        <f>(CE11*AU28)/(AU$28+G$28+Q$28+AK$28+AA$28)</f>
        <v>102166.19464062199</v>
      </c>
      <c r="AV29" s="65">
        <f>(CF11*AV28)/(AV$28+H$28+R$28+AL$28+AB$28)</f>
        <v>441430.3404509736</v>
      </c>
      <c r="AW29" s="74">
        <f>(CG11*AW28)/(AW$28+I$28+S$28+AM$28+AC$28)</f>
        <v>508285.01683552022</v>
      </c>
      <c r="AX29" s="70">
        <f>AW29/AW28*AX28</f>
        <v>513360.66606531711</v>
      </c>
      <c r="AY29" s="65">
        <f t="shared" ref="AY29" si="141">AX29/AX28*AY28</f>
        <v>569223.93458176474</v>
      </c>
      <c r="AZ29" s="65">
        <f t="shared" ref="AZ29" si="142">AY29/AY28*AZ28</f>
        <v>626664.86436763534</v>
      </c>
      <c r="BA29" s="65">
        <f t="shared" ref="BA29" si="143">AZ29/AZ28*BA28</f>
        <v>685776.66479055944</v>
      </c>
      <c r="BB29" s="74">
        <f t="shared" ref="BB29" si="144">BA29/BA28*BB28</f>
        <v>752202.88161940302</v>
      </c>
      <c r="BC29" s="70">
        <f t="shared" ref="BC29:BF30" si="145">SUM(E29,O29,Y29,AI29,AS29)</f>
        <v>1594775.9999999998</v>
      </c>
      <c r="BD29" s="65">
        <f t="shared" si="145"/>
        <v>593661</v>
      </c>
      <c r="BE29" s="65">
        <f t="shared" si="145"/>
        <v>819834</v>
      </c>
      <c r="BF29" s="65">
        <f t="shared" si="145"/>
        <v>2880132.0000000005</v>
      </c>
      <c r="BG29" s="74">
        <f t="shared" si="16"/>
        <v>3537031</v>
      </c>
      <c r="BH29" s="70">
        <f t="shared" si="17"/>
        <v>5172705.6131904703</v>
      </c>
      <c r="BI29" s="65">
        <f t="shared" si="18"/>
        <v>6056075.8574176943</v>
      </c>
      <c r="BJ29" s="65">
        <f t="shared" si="19"/>
        <v>6994456.588791321</v>
      </c>
      <c r="BK29" s="65">
        <f t="shared" si="20"/>
        <v>7985356.5307894731</v>
      </c>
      <c r="BL29" s="74">
        <f t="shared" si="21"/>
        <v>9181560.9487670921</v>
      </c>
      <c r="BR29" s="355"/>
      <c r="BS29" s="355"/>
      <c r="BT29" s="355"/>
      <c r="BU29" s="355"/>
      <c r="BV29" s="355"/>
      <c r="BW29" s="355"/>
      <c r="BX29" s="355"/>
      <c r="BY29" s="355"/>
      <c r="BZ29" s="355"/>
      <c r="CA29" s="355"/>
      <c r="CB29" s="355"/>
      <c r="CC29" s="355"/>
      <c r="CD29" s="355"/>
      <c r="CE29" s="355"/>
      <c r="CF29" s="355"/>
      <c r="CG29" s="355"/>
      <c r="CH29" s="355"/>
      <c r="CI29" s="355"/>
      <c r="CJ29" s="355"/>
      <c r="CK29" s="355"/>
      <c r="CL29" s="355"/>
      <c r="CM29" s="355"/>
      <c r="CN29" s="355"/>
      <c r="CO29" s="355"/>
      <c r="CP29" s="355"/>
      <c r="CQ29" s="355"/>
      <c r="CR29" s="355"/>
      <c r="CS29" s="355"/>
      <c r="CT29" s="355"/>
      <c r="CU29" s="355"/>
      <c r="CV29" s="355"/>
      <c r="CW29" s="355"/>
      <c r="CX29" s="355"/>
      <c r="CY29" s="355"/>
      <c r="CZ29" s="355"/>
      <c r="DA29" s="355"/>
      <c r="DB29" s="355"/>
      <c r="DC29" s="355"/>
      <c r="DD29" s="355"/>
      <c r="DE29" s="355"/>
      <c r="DF29" s="355"/>
      <c r="DG29" s="355"/>
      <c r="DH29" s="355"/>
      <c r="DI29" s="355"/>
      <c r="DJ29" s="355"/>
      <c r="DK29" s="355"/>
      <c r="DL29" s="355"/>
      <c r="DM29" s="355"/>
      <c r="DN29" s="355"/>
      <c r="DO29" s="355"/>
      <c r="DP29" s="355"/>
      <c r="DQ29" s="355"/>
      <c r="DR29" s="355"/>
      <c r="DS29" s="355"/>
      <c r="DT29" s="357"/>
      <c r="DU29" s="121"/>
      <c r="DV29" s="121"/>
      <c r="DW29" s="121"/>
      <c r="DX29" s="121"/>
      <c r="DY29" s="121"/>
      <c r="DZ29" s="121"/>
      <c r="EA29" s="121"/>
      <c r="EB29" s="121"/>
      <c r="EC29" s="121"/>
    </row>
    <row r="30" spans="1:133" ht="16" x14ac:dyDescent="0.35">
      <c r="A30" s="160"/>
      <c r="B30" s="87" t="s">
        <v>128</v>
      </c>
      <c r="C30" s="115" t="s">
        <v>129</v>
      </c>
      <c r="D30" s="74"/>
      <c r="E30" s="70">
        <f>(CC12*E28)/(E$28+O$28+Y$28+AI$28+AS$28)</f>
        <v>67091.049260627478</v>
      </c>
      <c r="F30" s="65">
        <f>(CD12*F28)/(F$28+P$28+Z$28+AJ$28+AT$28)</f>
        <v>738285.19712436805</v>
      </c>
      <c r="G30" s="65">
        <f>(CE12*G28)/(G$28+Q$28+AA$28+AK$28+AU$28)</f>
        <v>1285728.1003348948</v>
      </c>
      <c r="H30" s="65">
        <f>(CF12*H28)/(H$28+R$28+AB$28+AL$28+AV$28)</f>
        <v>1698244.5331439688</v>
      </c>
      <c r="I30" s="74">
        <f>(CG12*I28)/(I$28+S$28+AC$28+AM$28+AW$28)</f>
        <v>393620.1093523007</v>
      </c>
      <c r="J30" s="70">
        <f>I30/I28*J28</f>
        <v>1116635.3268935564</v>
      </c>
      <c r="K30" s="65">
        <f>J30/J28*K28</f>
        <v>1239626.6875739188</v>
      </c>
      <c r="L30" s="65">
        <f t="shared" ref="L30:N30" si="146">K30/K28*L28</f>
        <v>1357251.1459694167</v>
      </c>
      <c r="M30" s="65">
        <f t="shared" si="146"/>
        <v>1469250.225154134</v>
      </c>
      <c r="N30" s="74">
        <f t="shared" si="146"/>
        <v>1617899.9382152855</v>
      </c>
      <c r="O30" s="70">
        <f>(CC12*O28)/(O$28+Y$28+AI$28+AS$28+BC$28)</f>
        <v>236730.14605640265</v>
      </c>
      <c r="P30" s="65">
        <f>(CD12*P28)/(P$28+Z$28+AJ$28+AT$28+BD$28)</f>
        <v>566747.08148083382</v>
      </c>
      <c r="Q30" s="65">
        <f>(CE12*Q28)/(Q$28+AA$28+AK$28+AU$28+BE$28)</f>
        <v>895259.18678376754</v>
      </c>
      <c r="R30" s="65">
        <f>(CF12*R28)/(R$28+AB$28+AL$28+AV$28+BF$28)</f>
        <v>2092795.5288818853</v>
      </c>
      <c r="S30" s="74">
        <f>(CG12*S28)/(S$28+AC$28+AM$28+AW$28+BG$28)</f>
        <v>1316931.9007061922</v>
      </c>
      <c r="T30" s="70">
        <f>S30/S28*T28</f>
        <v>1891101.5734640029</v>
      </c>
      <c r="U30" s="65">
        <f t="shared" ref="U30:X30" si="147">T30/T28*U28</f>
        <v>2303484.2021292392</v>
      </c>
      <c r="V30" s="65">
        <f t="shared" si="147"/>
        <v>2751304.7601828165</v>
      </c>
      <c r="W30" s="65">
        <f t="shared" si="147"/>
        <v>3232901.1821321221</v>
      </c>
      <c r="X30" s="74">
        <f t="shared" si="147"/>
        <v>3816860.3096024431</v>
      </c>
      <c r="Y30" s="70">
        <f>(CC12*Y28)/(Y$28+AI$28+AS$28+O$28+E$28)</f>
        <v>558328.8667318084</v>
      </c>
      <c r="Z30" s="65">
        <f>(CD12*Z28)/(Z$28+AJ$28+AT$28+P$28+F$28)</f>
        <v>223986.9703414453</v>
      </c>
      <c r="AA30" s="65">
        <f>(CE12*AA28)/(AA$28+AK$28+AU$28+Q$28+G$28)</f>
        <v>417104.03897592495</v>
      </c>
      <c r="AB30" s="65">
        <f>(CF12*AB28)/(AB$28+AL$28+AV$28+R$28+H$28)</f>
        <v>555344.63157988561</v>
      </c>
      <c r="AC30" s="74">
        <f>(CG12*AC28)/(AC$28+AM$28+AW$28+S$28+I$28)</f>
        <v>692306.74249844858</v>
      </c>
      <c r="AD30" s="70">
        <f>AC30/AC28*AD28</f>
        <v>932630.91058476933</v>
      </c>
      <c r="AE30" s="65">
        <f t="shared" ref="AE30:AH30" si="148">AD30/AD28*AE28</f>
        <v>1047514.1116458804</v>
      </c>
      <c r="AF30" s="65">
        <f t="shared" si="148"/>
        <v>1167509.6916346604</v>
      </c>
      <c r="AG30" s="65">
        <f t="shared" si="148"/>
        <v>1292610.8710914429</v>
      </c>
      <c r="AH30" s="74">
        <f t="shared" si="148"/>
        <v>1432826.8021782106</v>
      </c>
      <c r="AI30" s="70">
        <f>(CC12*AI28)/(AI$28+AS$28+E$28+Y$28+O$28)</f>
        <v>26036.535515743988</v>
      </c>
      <c r="AJ30" s="65">
        <f>(CD12*AJ28)/(AJ$28+AT$28+F$28+Z$28+P$28)</f>
        <v>103113.25343450658</v>
      </c>
      <c r="AK30" s="65">
        <f>(CE12*AK28)/(AK$28+AU$28+G$28+AA$28+Q$28)</f>
        <v>256254.65769253881</v>
      </c>
      <c r="AL30" s="65">
        <f>(CF12*AL28)/(AL$28+AV$28+H$28+AB$28+R$28)</f>
        <v>574420.48371339065</v>
      </c>
      <c r="AM30" s="74">
        <f>(CG12*AM28)/(AM$28+AW$28+I$28+AC$28+S$28)</f>
        <v>265362.5125290163</v>
      </c>
      <c r="AN30" s="70">
        <f>AM30/AM28*AN28</f>
        <v>287446.04049829935</v>
      </c>
      <c r="AO30" s="65">
        <f t="shared" ref="AO30:AR30" si="149">AN30/AN28*AO28</f>
        <v>318198.86248238571</v>
      </c>
      <c r="AP30" s="65">
        <f t="shared" si="149"/>
        <v>349698.84902820567</v>
      </c>
      <c r="AQ30" s="65">
        <f t="shared" si="149"/>
        <v>382087.90391479048</v>
      </c>
      <c r="AR30" s="74">
        <f t="shared" si="149"/>
        <v>419914.09710856376</v>
      </c>
      <c r="AS30" s="70">
        <f>(CC12*AS28)/(AS$28+E$28+O$28+AI$28+Y$28)</f>
        <v>94962.967640921634</v>
      </c>
      <c r="AT30" s="65">
        <f>(CD12*AT28)/(AT$28+F$28+P$28+AJ$28+Z$28)</f>
        <v>254855.14771240513</v>
      </c>
      <c r="AU30" s="65">
        <f>(CE12*AU28)/(AU$28+G$28+Q$28+AK$28+AA$28)</f>
        <v>492309.97483041685</v>
      </c>
      <c r="AV30" s="65">
        <f>(CF12*AV28)/(AV$28+H$28+R$28+AL$28+AB$28)</f>
        <v>1186427.3024765048</v>
      </c>
      <c r="AW30" s="74">
        <f>(CG12*AW28)/(AW$28+I$28+S$28+AM$28+AC$28)</f>
        <v>649543.32710167661</v>
      </c>
      <c r="AX30" s="70">
        <f>AW30/AW28*AX28</f>
        <v>656029.55820966582</v>
      </c>
      <c r="AY30" s="65">
        <f t="shared" ref="AY30:BB30" si="150">AX30/AX28*AY28</f>
        <v>727417.87793794461</v>
      </c>
      <c r="AZ30" s="65">
        <f t="shared" si="150"/>
        <v>800822.30932806316</v>
      </c>
      <c r="BA30" s="65">
        <f t="shared" si="150"/>
        <v>876361.96571360866</v>
      </c>
      <c r="BB30" s="74">
        <f t="shared" si="150"/>
        <v>961248.79978636408</v>
      </c>
      <c r="BC30" s="70">
        <f t="shared" si="145"/>
        <v>983149.56520550407</v>
      </c>
      <c r="BD30" s="65">
        <f t="shared" si="145"/>
        <v>1886987.6500935587</v>
      </c>
      <c r="BE30" s="65">
        <f t="shared" si="145"/>
        <v>3346655.9586175429</v>
      </c>
      <c r="BF30" s="65">
        <f t="shared" si="145"/>
        <v>6107232.4797956347</v>
      </c>
      <c r="BG30" s="74">
        <f t="shared" si="16"/>
        <v>3317764.5921876347</v>
      </c>
      <c r="BH30" s="70">
        <f t="shared" si="17"/>
        <v>4883843.4096502941</v>
      </c>
      <c r="BI30" s="65">
        <f t="shared" si="18"/>
        <v>5636241.7417693688</v>
      </c>
      <c r="BJ30" s="65">
        <f t="shared" si="19"/>
        <v>6426586.756143163</v>
      </c>
      <c r="BK30" s="65">
        <f t="shared" si="20"/>
        <v>7253212.1480060993</v>
      </c>
      <c r="BL30" s="74">
        <f t="shared" si="21"/>
        <v>8248749.9468908664</v>
      </c>
      <c r="DT30" s="121"/>
      <c r="DU30" s="121"/>
      <c r="DV30" s="121"/>
      <c r="DW30" s="121"/>
      <c r="DX30" s="121"/>
      <c r="DY30" s="121"/>
      <c r="DZ30" s="121"/>
      <c r="EA30" s="121"/>
      <c r="EB30" s="121"/>
      <c r="EC30" s="121"/>
    </row>
    <row r="31" spans="1:133" ht="16" x14ac:dyDescent="0.35">
      <c r="A31" s="160"/>
      <c r="B31" s="87" t="s">
        <v>130</v>
      </c>
      <c r="C31" s="115"/>
      <c r="D31" s="74"/>
      <c r="E31" s="90">
        <f>E28-E29-E30</f>
        <v>358670.67147970584</v>
      </c>
      <c r="F31" s="91">
        <f>F28-F29-F30</f>
        <v>1779421.2182577713</v>
      </c>
      <c r="G31" s="91">
        <f>G28-G29-G30</f>
        <v>2249385.3061783388</v>
      </c>
      <c r="H31" s="91">
        <f>H28-H29-H30</f>
        <v>205084.87087181769</v>
      </c>
      <c r="I31" s="92">
        <f>I28-I29-I30</f>
        <v>491903.63295629941</v>
      </c>
      <c r="J31" s="90">
        <f t="shared" ref="J31:BF31" si="151">J28-J29-J30</f>
        <v>1395449.4725640849</v>
      </c>
      <c r="K31" s="91">
        <f t="shared" si="151"/>
        <v>1549150.7081042633</v>
      </c>
      <c r="L31" s="91">
        <f t="shared" si="151"/>
        <v>1696144.9724584667</v>
      </c>
      <c r="M31" s="91">
        <f t="shared" si="151"/>
        <v>1836109.2492566654</v>
      </c>
      <c r="N31" s="92">
        <f t="shared" si="151"/>
        <v>2021875.5049823006</v>
      </c>
      <c r="O31" s="90">
        <f t="shared" si="151"/>
        <v>2684337.8353981939</v>
      </c>
      <c r="P31" s="91">
        <f t="shared" si="151"/>
        <v>2669934.379625841</v>
      </c>
      <c r="Q31" s="91">
        <f t="shared" si="151"/>
        <v>3226661.7727883151</v>
      </c>
      <c r="R31" s="91">
        <f t="shared" si="151"/>
        <v>2083683.6231014014</v>
      </c>
      <c r="S31" s="92">
        <f t="shared" si="151"/>
        <v>4350446.1659790799</v>
      </c>
      <c r="T31" s="90">
        <f t="shared" si="151"/>
        <v>6247198.951852981</v>
      </c>
      <c r="U31" s="91">
        <f t="shared" si="151"/>
        <v>7609492.9511334375</v>
      </c>
      <c r="V31" s="91">
        <f t="shared" si="151"/>
        <v>9088855.1176859234</v>
      </c>
      <c r="W31" s="91">
        <f t="shared" si="151"/>
        <v>10679794.866578855</v>
      </c>
      <c r="X31" s="92">
        <f t="shared" si="151"/>
        <v>12608886.830885768</v>
      </c>
      <c r="Y31" s="90">
        <f t="shared" si="151"/>
        <v>2984842.1174524943</v>
      </c>
      <c r="Z31" s="91">
        <f t="shared" si="151"/>
        <v>539855.28789046162</v>
      </c>
      <c r="AA31" s="91">
        <f t="shared" si="151"/>
        <v>729724.81209339807</v>
      </c>
      <c r="AB31" s="91">
        <f t="shared" si="151"/>
        <v>67065.007326163934</v>
      </c>
      <c r="AC31" s="92">
        <f t="shared" si="151"/>
        <v>865169.72498050984</v>
      </c>
      <c r="AD31" s="90">
        <f t="shared" si="151"/>
        <v>1165500.751165594</v>
      </c>
      <c r="AE31" s="91">
        <f t="shared" si="151"/>
        <v>1309069.2900306403</v>
      </c>
      <c r="AF31" s="91">
        <f t="shared" si="151"/>
        <v>1459026.7244521349</v>
      </c>
      <c r="AG31" s="91">
        <f t="shared" si="151"/>
        <v>1615364.5821981968</v>
      </c>
      <c r="AH31" s="92">
        <f t="shared" si="151"/>
        <v>1790591.2138187848</v>
      </c>
      <c r="AI31" s="90">
        <f t="shared" si="151"/>
        <v>139192.06480375392</v>
      </c>
      <c r="AJ31" s="91">
        <f t="shared" si="151"/>
        <v>248524.43440504675</v>
      </c>
      <c r="AK31" s="91">
        <f t="shared" si="151"/>
        <v>448318.31979344413</v>
      </c>
      <c r="AL31" s="91">
        <f t="shared" si="151"/>
        <v>69368.661832460086</v>
      </c>
      <c r="AM31" s="92">
        <f t="shared" si="151"/>
        <v>331621.22783367318</v>
      </c>
      <c r="AN31" s="90">
        <f t="shared" si="151"/>
        <v>359218.82099134329</v>
      </c>
      <c r="AO31" s="91">
        <f t="shared" si="151"/>
        <v>397650.35560608259</v>
      </c>
      <c r="AP31" s="91">
        <f t="shared" si="151"/>
        <v>437015.61528618442</v>
      </c>
      <c r="AQ31" s="91">
        <f t="shared" si="151"/>
        <v>477491.93595219043</v>
      </c>
      <c r="AR31" s="92">
        <f t="shared" si="151"/>
        <v>524763.00115142867</v>
      </c>
      <c r="AS31" s="90">
        <f t="shared" si="151"/>
        <v>507674.74566034804</v>
      </c>
      <c r="AT31" s="91">
        <f t="shared" si="151"/>
        <v>614254.02972732042</v>
      </c>
      <c r="AU31" s="91">
        <f t="shared" si="151"/>
        <v>861297.83052896115</v>
      </c>
      <c r="AV31" s="91">
        <f t="shared" si="151"/>
        <v>143276.35707252147</v>
      </c>
      <c r="AW31" s="92">
        <f t="shared" si="151"/>
        <v>811728.65606280311</v>
      </c>
      <c r="AX31" s="90">
        <f t="shared" si="151"/>
        <v>819834.44276019582</v>
      </c>
      <c r="AY31" s="91">
        <f t="shared" si="151"/>
        <v>909047.80607836996</v>
      </c>
      <c r="AZ31" s="91">
        <f t="shared" si="151"/>
        <v>1000780.6866349706</v>
      </c>
      <c r="BA31" s="91">
        <f t="shared" si="151"/>
        <v>1095181.939328752</v>
      </c>
      <c r="BB31" s="92">
        <f t="shared" si="151"/>
        <v>1201264.278819121</v>
      </c>
      <c r="BC31" s="90">
        <f t="shared" si="151"/>
        <v>6674717.4347944958</v>
      </c>
      <c r="BD31" s="91">
        <f t="shared" si="151"/>
        <v>5851989.3499064408</v>
      </c>
      <c r="BE31" s="91">
        <f t="shared" si="151"/>
        <v>7515388.0413824571</v>
      </c>
      <c r="BF31" s="91">
        <f t="shared" si="151"/>
        <v>2568478.5202043653</v>
      </c>
      <c r="BG31" s="92">
        <f t="shared" si="16"/>
        <v>6850869.4078123653</v>
      </c>
      <c r="BH31" s="90">
        <f t="shared" si="17"/>
        <v>9987202.439334197</v>
      </c>
      <c r="BI31" s="91">
        <f t="shared" si="18"/>
        <v>11774411.110952795</v>
      </c>
      <c r="BJ31" s="91">
        <f t="shared" si="19"/>
        <v>13681823.11651768</v>
      </c>
      <c r="BK31" s="91">
        <f t="shared" si="20"/>
        <v>15703942.573314659</v>
      </c>
      <c r="BL31" s="92">
        <f t="shared" si="21"/>
        <v>18147380.829657402</v>
      </c>
      <c r="DT31" s="121"/>
      <c r="DU31" s="121"/>
      <c r="DV31" s="121"/>
      <c r="DW31" s="121"/>
      <c r="DX31" s="121"/>
      <c r="DY31" s="121"/>
      <c r="DZ31" s="121"/>
      <c r="EA31" s="121"/>
      <c r="EB31" s="121"/>
      <c r="EC31" s="121"/>
    </row>
    <row r="32" spans="1:133" ht="16.5" thickBot="1" x14ac:dyDescent="0.4">
      <c r="A32" s="160"/>
      <c r="B32" s="93" t="s">
        <v>132</v>
      </c>
      <c r="C32" s="116" t="s">
        <v>133</v>
      </c>
      <c r="D32" s="80"/>
      <c r="E32" s="94">
        <f>E13</f>
        <v>108339</v>
      </c>
      <c r="F32" s="95">
        <f>F13</f>
        <v>137720</v>
      </c>
      <c r="G32" s="95">
        <f>G13</f>
        <v>139099</v>
      </c>
      <c r="H32" s="95">
        <f>H13</f>
        <v>124866</v>
      </c>
      <c r="I32" s="96">
        <f>I13</f>
        <v>111507</v>
      </c>
      <c r="J32" s="94" cm="1">
        <f t="array" ref="J32:N32">TREND(E32:I32,E21:I21,J21:N21)</f>
        <v>122350.79999999981</v>
      </c>
      <c r="K32" s="95">
        <v>121699</v>
      </c>
      <c r="L32" s="95">
        <v>121047.19999999995</v>
      </c>
      <c r="M32" s="95">
        <v>120395.39999999991</v>
      </c>
      <c r="N32" s="96">
        <v>119743.59999999986</v>
      </c>
      <c r="O32" s="94">
        <f>J13</f>
        <v>372518</v>
      </c>
      <c r="P32" s="95">
        <f>K13</f>
        <v>396609</v>
      </c>
      <c r="Q32" s="95">
        <f>L13</f>
        <v>443974</v>
      </c>
      <c r="R32" s="95">
        <f>M13</f>
        <v>512002</v>
      </c>
      <c r="S32" s="96">
        <f>N13</f>
        <v>544572</v>
      </c>
      <c r="T32" s="94" cm="1">
        <f t="array" ref="T32:X32">TREND(O32:S32,O21:S21,T21:X21)</f>
        <v>591785.29999999702</v>
      </c>
      <c r="U32" s="95">
        <v>637735.39999999106</v>
      </c>
      <c r="V32" s="95">
        <v>683685.5</v>
      </c>
      <c r="W32" s="95">
        <v>729635.59999999404</v>
      </c>
      <c r="X32" s="96">
        <v>775585.69999998808</v>
      </c>
      <c r="Y32" s="94">
        <f>O13</f>
        <v>12958.823796740782</v>
      </c>
      <c r="Z32" s="95">
        <f>P13</f>
        <v>16447.814090389835</v>
      </c>
      <c r="AA32" s="95">
        <f>Q13</f>
        <v>16225.646541270838</v>
      </c>
      <c r="AB32" s="95">
        <f>R13</f>
        <v>13930.370732893334</v>
      </c>
      <c r="AC32" s="96">
        <f>S13</f>
        <v>17649.853491393107</v>
      </c>
      <c r="AD32" s="94" cm="1">
        <f t="array" ref="AD32:AH32">TREND(Y32:AC32,Y21:AC21,AD21:AH21)</f>
        <v>17501.886540079955</v>
      </c>
      <c r="AE32" s="95">
        <v>18188.348143260926</v>
      </c>
      <c r="AF32" s="95">
        <v>18874.809746441664</v>
      </c>
      <c r="AG32" s="95">
        <v>19561.271349622402</v>
      </c>
      <c r="AH32" s="96">
        <v>20247.732952803373</v>
      </c>
      <c r="AI32" s="94">
        <f>T13</f>
        <v>8243.3343746896862</v>
      </c>
      <c r="AJ32" s="95">
        <f>U13</f>
        <v>10763.638169235859</v>
      </c>
      <c r="AK32" s="95">
        <f>V13</f>
        <v>10256.968693517018</v>
      </c>
      <c r="AL32" s="95">
        <f>W13</f>
        <v>10408.87781509936</v>
      </c>
      <c r="AM32" s="96">
        <f>X13</f>
        <v>9793.106318328777</v>
      </c>
      <c r="AN32" s="94" cm="1">
        <f t="array" ref="AN32:AR32">TREND(AI32:AM32,AI21:AM21,AN21:AR21)</f>
        <v>10716.620134116733</v>
      </c>
      <c r="AO32" s="95">
        <v>10991.098487430834</v>
      </c>
      <c r="AP32" s="95">
        <v>11265.576840745052</v>
      </c>
      <c r="AQ32" s="95">
        <v>11540.05519405927</v>
      </c>
      <c r="AR32" s="96">
        <v>11814.533547373372</v>
      </c>
      <c r="AS32" s="94">
        <f>Y13</f>
        <v>16919.841828569533</v>
      </c>
      <c r="AT32" s="95">
        <f>Z13</f>
        <v>18310.547740374306</v>
      </c>
      <c r="AU32" s="95">
        <f>AA13</f>
        <v>19734.384765212144</v>
      </c>
      <c r="AV32" s="95">
        <f>AB13</f>
        <v>17810.751452007305</v>
      </c>
      <c r="AW32" s="96">
        <f>AC13</f>
        <v>19807.040190278116</v>
      </c>
      <c r="AX32" s="94" cm="1">
        <f t="array" ref="AX32:BB32">TREND(AS32:AW32,AS21:AW21,AX21:BB21)</f>
        <v>20098.893325803219</v>
      </c>
      <c r="AY32" s="95">
        <v>20626.353369308286</v>
      </c>
      <c r="AZ32" s="95">
        <v>21153.813412813353</v>
      </c>
      <c r="BA32" s="95">
        <v>21681.273456318188</v>
      </c>
      <c r="BB32" s="96">
        <v>22208.733499823255</v>
      </c>
      <c r="BC32" s="94">
        <f>SUM(E32,O32,Y32,AI32,AS32)</f>
        <v>518979</v>
      </c>
      <c r="BD32" s="95">
        <f t="shared" ref="BD32:BF33" si="152">SUM(F32,P32,Z32,AJ32,AT32)</f>
        <v>579851.00000000012</v>
      </c>
      <c r="BE32" s="95">
        <f t="shared" si="152"/>
        <v>629290.00000000012</v>
      </c>
      <c r="BF32" s="95">
        <f t="shared" si="152"/>
        <v>679018</v>
      </c>
      <c r="BG32" s="96">
        <f t="shared" si="16"/>
        <v>703329</v>
      </c>
      <c r="BH32" s="94">
        <f t="shared" si="17"/>
        <v>762453.49999999674</v>
      </c>
      <c r="BI32" s="95">
        <f t="shared" si="18"/>
        <v>809240.19999999111</v>
      </c>
      <c r="BJ32" s="95">
        <f t="shared" si="19"/>
        <v>856026.9</v>
      </c>
      <c r="BK32" s="95">
        <f t="shared" si="20"/>
        <v>902813.59999999381</v>
      </c>
      <c r="BL32" s="96">
        <f t="shared" si="21"/>
        <v>949600.29999998794</v>
      </c>
      <c r="DT32" s="121"/>
      <c r="DU32" s="121"/>
      <c r="DV32" s="121"/>
      <c r="DW32" s="121"/>
      <c r="DX32" s="121"/>
      <c r="DY32" s="121"/>
      <c r="DZ32" s="121"/>
      <c r="EA32" s="121"/>
      <c r="EB32" s="121"/>
      <c r="EC32" s="121"/>
    </row>
    <row r="33" spans="1:133" ht="15" customHeight="1" thickBot="1" x14ac:dyDescent="0.4">
      <c r="A33" s="160"/>
      <c r="B33" s="93" t="str">
        <f>B16</f>
        <v>Price/Unit</v>
      </c>
      <c r="C33" s="79" t="s">
        <v>133</v>
      </c>
      <c r="D33" s="80"/>
      <c r="E33" s="94">
        <f t="shared" ref="E33:I33" si="153">E16</f>
        <v>183.56536427325341</v>
      </c>
      <c r="F33" s="78">
        <f t="shared" si="153"/>
        <v>176.42367847807145</v>
      </c>
      <c r="G33" s="78">
        <f t="shared" si="153"/>
        <v>263.66789840329551</v>
      </c>
      <c r="H33" s="78">
        <f t="shared" si="153"/>
        <v>323.96234363237392</v>
      </c>
      <c r="I33" s="80">
        <f t="shared" si="153"/>
        <v>361.27743549732304</v>
      </c>
      <c r="J33" s="94" cm="1">
        <f t="array" ref="J33:N33">TREND(E33:I33,E21:I21,J21:N21)</f>
        <v>412.66818633759976</v>
      </c>
      <c r="K33" s="78">
        <v>462.96446709784504</v>
      </c>
      <c r="L33" s="78">
        <v>513.26074785809033</v>
      </c>
      <c r="M33" s="78">
        <v>563.55702861833561</v>
      </c>
      <c r="N33" s="80">
        <v>613.85330937856634</v>
      </c>
      <c r="O33" s="94">
        <f>J16</f>
        <v>42.002977037351215</v>
      </c>
      <c r="P33" s="78">
        <f>K16</f>
        <v>42.128469096767851</v>
      </c>
      <c r="Q33" s="78">
        <f>L16</f>
        <v>56.454814921594505</v>
      </c>
      <c r="R33" s="78">
        <f>M16</f>
        <v>80.891824641309995</v>
      </c>
      <c r="S33" s="80">
        <f>N16</f>
        <v>87.343763542745492</v>
      </c>
      <c r="T33" s="94" cm="1">
        <f t="array" ref="T33:X33">TREND(O33:S33,O21:S21,T21:X21)</f>
        <v>100.59784841455621</v>
      </c>
      <c r="U33" s="78">
        <v>113.54234127008749</v>
      </c>
      <c r="V33" s="78">
        <v>126.48683412562241</v>
      </c>
      <c r="W33" s="78">
        <v>139.43132698115369</v>
      </c>
      <c r="X33" s="80">
        <v>152.37581983668861</v>
      </c>
      <c r="Y33" s="94">
        <f>O16</f>
        <v>474.17304968259799</v>
      </c>
      <c r="Z33" s="78">
        <f>P16</f>
        <v>475.09261455999302</v>
      </c>
      <c r="AA33" s="78">
        <f>Q16</f>
        <v>547.62563558863621</v>
      </c>
      <c r="AB33" s="78">
        <f>R16</f>
        <v>657.48960854092525</v>
      </c>
      <c r="AC33" s="80">
        <f>S16</f>
        <v>691.8928253968254</v>
      </c>
      <c r="AD33" s="94" cm="1">
        <f t="array" ref="AD33:AH33">TREND(Y33:AC33,Y21:AC21,AD21:AH21)</f>
        <v>754.60571037662157</v>
      </c>
      <c r="AE33" s="78">
        <v>816.38936491755885</v>
      </c>
      <c r="AF33" s="78">
        <v>878.17301945849613</v>
      </c>
      <c r="AG33" s="78">
        <v>939.95667399943341</v>
      </c>
      <c r="AH33" s="80">
        <v>1001.7403285403707</v>
      </c>
      <c r="AI33" s="94">
        <f>T16</f>
        <v>474.17304968259793</v>
      </c>
      <c r="AJ33" s="78">
        <f>U16</f>
        <v>475.09261455999291</v>
      </c>
      <c r="AK33" s="78">
        <f>V16</f>
        <v>547.62563558863621</v>
      </c>
      <c r="AL33" s="78">
        <f>W16</f>
        <v>657.48960854092525</v>
      </c>
      <c r="AM33" s="80">
        <f>X16</f>
        <v>691.8928253968254</v>
      </c>
      <c r="AN33" s="94" cm="1">
        <f t="array" ref="AN33:AR33">TREND(AI33:AM33,AI21:AM21,AN21:AR21)</f>
        <v>754.60571037662157</v>
      </c>
      <c r="AO33" s="78">
        <v>816.38936491755885</v>
      </c>
      <c r="AP33" s="78">
        <v>878.17301945849613</v>
      </c>
      <c r="AQ33" s="78">
        <v>939.95667399943341</v>
      </c>
      <c r="AR33" s="80">
        <v>1001.7403285403707</v>
      </c>
      <c r="AS33" s="94">
        <f>Y16</f>
        <v>474.17304968259793</v>
      </c>
      <c r="AT33" s="78">
        <f>Z16</f>
        <v>475.09261455999297</v>
      </c>
      <c r="AU33" s="78">
        <f>AA16</f>
        <v>547.62563558863621</v>
      </c>
      <c r="AV33" s="78">
        <f>AB16</f>
        <v>657.48960854092525</v>
      </c>
      <c r="AW33" s="80">
        <f>AC16</f>
        <v>691.8928253968254</v>
      </c>
      <c r="AX33" s="94" cm="1">
        <f t="array" ref="AX33:BB33">TREND(AS33:AW33,AS21:AW21,AX21:BB21)</f>
        <v>754.60571037662157</v>
      </c>
      <c r="AY33" s="78">
        <v>816.38936491755885</v>
      </c>
      <c r="AZ33" s="78">
        <v>878.17301945849613</v>
      </c>
      <c r="BA33" s="78">
        <v>939.95667399943341</v>
      </c>
      <c r="BB33" s="80">
        <v>1001.7403285403707</v>
      </c>
      <c r="BC33" s="94">
        <f>SUM(E33,O33,Y33,AI33,AS33)</f>
        <v>1648.0874903583986</v>
      </c>
      <c r="BD33" s="78">
        <f t="shared" si="152"/>
        <v>1643.8299912548182</v>
      </c>
      <c r="BE33" s="78">
        <f t="shared" si="152"/>
        <v>1962.9996200907985</v>
      </c>
      <c r="BF33" s="78">
        <f t="shared" si="152"/>
        <v>2377.3229938964596</v>
      </c>
      <c r="BG33" s="80">
        <f t="shared" si="16"/>
        <v>2524.2996752305448</v>
      </c>
      <c r="BH33" s="94">
        <f t="shared" si="17"/>
        <v>2777.0831658820207</v>
      </c>
      <c r="BI33" s="78">
        <f t="shared" si="18"/>
        <v>3025.6749031206091</v>
      </c>
      <c r="BJ33" s="78">
        <f t="shared" si="19"/>
        <v>3274.2666403592011</v>
      </c>
      <c r="BK33" s="78">
        <f t="shared" si="20"/>
        <v>3522.8583775977895</v>
      </c>
      <c r="BL33" s="80">
        <f t="shared" si="21"/>
        <v>3771.450114836367</v>
      </c>
      <c r="DT33" s="121"/>
      <c r="DU33" s="122" t="s">
        <v>110</v>
      </c>
      <c r="DV33" s="123" t="s">
        <v>101</v>
      </c>
      <c r="DW33" s="123" t="s">
        <v>102</v>
      </c>
      <c r="DX33" s="123" t="s">
        <v>117</v>
      </c>
      <c r="DY33" s="123" t="s">
        <v>118</v>
      </c>
      <c r="DZ33" s="123" t="s">
        <v>119</v>
      </c>
      <c r="EA33" s="123" t="s">
        <v>192</v>
      </c>
      <c r="EB33" s="123" t="s">
        <v>120</v>
      </c>
      <c r="EC33" s="123" t="s">
        <v>121</v>
      </c>
    </row>
    <row r="34" spans="1:133" ht="15" customHeight="1" x14ac:dyDescent="0.35">
      <c r="A34" s="160"/>
      <c r="B34" s="11"/>
      <c r="E34" s="162">
        <v>0.91</v>
      </c>
      <c r="F34" s="121"/>
      <c r="G34" s="121"/>
      <c r="H34" s="121"/>
      <c r="I34" s="121"/>
      <c r="J34" s="162"/>
      <c r="K34" s="121"/>
      <c r="L34" s="121"/>
      <c r="M34" s="121"/>
      <c r="N34" s="121"/>
      <c r="O34" s="162">
        <v>0.72</v>
      </c>
      <c r="P34" s="121"/>
      <c r="Q34" s="121"/>
      <c r="R34" s="121"/>
      <c r="S34" s="121"/>
      <c r="T34" s="162"/>
      <c r="U34" s="121"/>
      <c r="V34" s="121"/>
      <c r="W34" s="121"/>
      <c r="X34" s="121"/>
      <c r="Y34" s="163">
        <v>0.56999999999999995</v>
      </c>
      <c r="Z34" s="121"/>
      <c r="AA34" s="121"/>
      <c r="AB34" s="121"/>
      <c r="AC34" s="121"/>
      <c r="AD34" s="162"/>
      <c r="AE34" s="121"/>
      <c r="AF34" s="121"/>
      <c r="AG34" s="121"/>
      <c r="AH34" s="121"/>
      <c r="AI34" s="162">
        <v>0.73</v>
      </c>
      <c r="AJ34" s="121"/>
      <c r="AK34" s="121"/>
      <c r="AL34" s="121"/>
      <c r="AM34" s="121"/>
      <c r="AN34" s="162"/>
      <c r="AO34" s="121"/>
      <c r="AP34" s="121"/>
      <c r="AQ34" s="121"/>
      <c r="AR34" s="121"/>
      <c r="AS34" s="162">
        <v>0.73</v>
      </c>
      <c r="AT34" s="121"/>
      <c r="AU34" s="121"/>
      <c r="AV34" s="121"/>
      <c r="AW34" s="121"/>
      <c r="AX34" s="162"/>
      <c r="AY34" s="121"/>
      <c r="AZ34" s="121"/>
      <c r="BA34" s="121"/>
      <c r="BC34" s="161"/>
      <c r="BH34" s="161"/>
      <c r="DT34" s="121"/>
      <c r="DU34" s="122"/>
      <c r="DV34" s="123"/>
      <c r="DW34" s="123"/>
      <c r="DX34" s="123"/>
      <c r="DY34" s="123"/>
      <c r="DZ34" s="123"/>
      <c r="EA34" s="123"/>
      <c r="EB34" s="123"/>
      <c r="EC34" s="123"/>
    </row>
    <row r="35" spans="1:133" ht="23.5" customHeight="1" x14ac:dyDescent="0.35">
      <c r="A35" s="160"/>
      <c r="E35" s="164">
        <f>SUM(E23:I23)/SUM(E22:I22)</f>
        <v>0.9069812391423282</v>
      </c>
      <c r="F35" s="121"/>
      <c r="G35" s="121"/>
      <c r="H35" s="121"/>
      <c r="I35" s="121"/>
      <c r="J35" s="121">
        <f>SUM(J23:N23)/SUM(J22:N22)</f>
        <v>0.91</v>
      </c>
      <c r="K35" s="121"/>
      <c r="L35" s="121"/>
      <c r="M35" s="121"/>
      <c r="N35" s="121"/>
      <c r="O35" s="164">
        <f>SUM(O23:S23)/SUM(O22:S22)</f>
        <v>0.72416878287177844</v>
      </c>
      <c r="P35" s="121"/>
      <c r="Q35" s="121"/>
      <c r="R35" s="121"/>
      <c r="S35" s="121"/>
      <c r="T35" s="121"/>
      <c r="U35" s="121"/>
      <c r="V35" s="121"/>
      <c r="W35" s="121"/>
      <c r="X35" s="121"/>
      <c r="Y35" s="164">
        <f>SUM(Y23:AC23)/SUM(Y22:AC22)</f>
        <v>0.57282867441203378</v>
      </c>
      <c r="Z35" s="121"/>
      <c r="AA35" s="121"/>
      <c r="AB35" s="121"/>
      <c r="AC35" s="121"/>
      <c r="AD35" s="121"/>
      <c r="AE35" s="121"/>
      <c r="AF35" s="121"/>
      <c r="AG35" s="121"/>
      <c r="AH35" s="121"/>
      <c r="AI35" s="164">
        <f>SUM(AI23:AM23)/SUM(AI22:AM22)</f>
        <v>0.73435180604537031</v>
      </c>
      <c r="AJ35" s="121"/>
      <c r="AK35" s="121"/>
      <c r="AL35" s="121"/>
      <c r="AM35" s="121"/>
      <c r="AN35" s="121">
        <f>SUM(AN23:AR23)/SUM(AN22:AR22)</f>
        <v>0.7343518060453702</v>
      </c>
      <c r="AO35" s="121"/>
      <c r="AP35" s="121"/>
      <c r="AQ35" s="121"/>
      <c r="AR35" s="121"/>
      <c r="AS35" s="164">
        <f>SUM(AS23:AW23)/SUM(AS22:AW22)</f>
        <v>0.72792652875937969</v>
      </c>
      <c r="AT35" s="121"/>
      <c r="AU35" s="121"/>
      <c r="AV35" s="121"/>
      <c r="AW35" s="121"/>
      <c r="AX35" s="121"/>
      <c r="AY35" s="121"/>
      <c r="AZ35" s="121"/>
      <c r="BA35" s="121"/>
      <c r="DT35" s="121"/>
      <c r="DU35" s="122"/>
      <c r="DV35" s="124"/>
      <c r="DW35" s="124"/>
      <c r="DX35" s="124"/>
      <c r="DY35" s="124"/>
      <c r="DZ35" s="124"/>
      <c r="EA35" s="124"/>
      <c r="EB35" s="124"/>
      <c r="EC35" s="124"/>
    </row>
    <row r="36" spans="1:133" ht="23.5" customHeight="1" thickBot="1" x14ac:dyDescent="0.4">
      <c r="A36" s="160"/>
      <c r="DT36" s="121"/>
      <c r="DU36" s="122"/>
      <c r="DV36" s="124"/>
      <c r="DW36" s="124"/>
      <c r="DX36" s="124"/>
      <c r="DY36" s="124"/>
      <c r="DZ36" s="124"/>
      <c r="EA36" s="124"/>
      <c r="EB36" s="124"/>
      <c r="EC36" s="124"/>
    </row>
    <row r="37" spans="1:133" ht="22.5" customHeight="1" thickBot="1" x14ac:dyDescent="0.4">
      <c r="A37" s="160" t="s">
        <v>264</v>
      </c>
      <c r="B37" s="62" t="s">
        <v>2</v>
      </c>
      <c r="C37" s="97"/>
      <c r="D37" s="97"/>
      <c r="E37" s="98">
        <v>2020</v>
      </c>
      <c r="F37" s="99">
        <v>2021</v>
      </c>
      <c r="G37" s="99">
        <v>2022</v>
      </c>
      <c r="H37" s="99">
        <v>2023</v>
      </c>
      <c r="I37" s="100">
        <v>2024</v>
      </c>
      <c r="J37" s="370"/>
      <c r="L37" s="472" t="s">
        <v>319</v>
      </c>
      <c r="M37" s="473"/>
      <c r="N37" s="474"/>
      <c r="DT37" s="121"/>
      <c r="DU37" s="122"/>
      <c r="DV37" s="124"/>
      <c r="DW37" s="124"/>
      <c r="DX37" s="124"/>
      <c r="DY37" s="124"/>
      <c r="DZ37" s="124"/>
      <c r="EA37" s="124"/>
      <c r="EB37" s="124"/>
      <c r="EC37" s="124"/>
    </row>
    <row r="38" spans="1:133" ht="22.5" customHeight="1" x14ac:dyDescent="0.35">
      <c r="A38" s="160"/>
      <c r="B38" s="58" t="s">
        <v>95</v>
      </c>
      <c r="C38" s="101"/>
      <c r="D38" s="101"/>
      <c r="E38" s="88">
        <f>BC22</f>
        <v>53610578</v>
      </c>
      <c r="F38" s="368">
        <f t="shared" ref="F38:I38" si="154">BD22</f>
        <v>62632765</v>
      </c>
      <c r="G38" s="368">
        <f t="shared" si="154"/>
        <v>87050025</v>
      </c>
      <c r="H38" s="368">
        <f t="shared" si="154"/>
        <v>109581845</v>
      </c>
      <c r="I38" s="102">
        <f t="shared" si="154"/>
        <v>120541867</v>
      </c>
      <c r="J38" s="366"/>
      <c r="L38" s="475"/>
      <c r="M38" s="476"/>
      <c r="N38" s="477"/>
      <c r="W38" s="367">
        <v>53598537</v>
      </c>
      <c r="X38" s="367">
        <v>62617966</v>
      </c>
      <c r="Y38" s="367">
        <v>86972178</v>
      </c>
      <c r="Z38" s="367">
        <v>109529418</v>
      </c>
      <c r="AA38" s="367">
        <v>120635402</v>
      </c>
      <c r="AB38" s="367">
        <v>92049469</v>
      </c>
      <c r="DT38" s="121"/>
      <c r="DU38" s="122" t="s">
        <v>112</v>
      </c>
      <c r="DV38" s="124">
        <v>3298761</v>
      </c>
      <c r="DW38" s="124">
        <v>5145066</v>
      </c>
      <c r="DX38" s="124">
        <v>2548011</v>
      </c>
      <c r="DY38" s="124">
        <v>1215376</v>
      </c>
      <c r="DZ38" s="124">
        <v>2141029</v>
      </c>
      <c r="EA38" s="124">
        <v>1071</v>
      </c>
      <c r="EB38" s="124">
        <v>230725</v>
      </c>
      <c r="EC38" s="124">
        <v>14580039</v>
      </c>
    </row>
    <row r="39" spans="1:133" ht="25" customHeight="1" x14ac:dyDescent="0.35">
      <c r="A39" s="160"/>
      <c r="B39" s="59" t="s">
        <v>140</v>
      </c>
      <c r="C39" s="65"/>
      <c r="D39" s="65"/>
      <c r="E39" s="88">
        <f>BC23</f>
        <v>39404360</v>
      </c>
      <c r="F39" s="368">
        <f t="shared" ref="F39" si="155">BD23</f>
        <v>48284520</v>
      </c>
      <c r="G39" s="368">
        <f t="shared" ref="G39" si="156">BE23</f>
        <v>68430980</v>
      </c>
      <c r="H39" s="368">
        <f t="shared" ref="H39" si="157">BF23</f>
        <v>87448721</v>
      </c>
      <c r="I39" s="102">
        <f t="shared" ref="I39" si="158">BG23</f>
        <v>93635654</v>
      </c>
      <c r="J39" s="366"/>
      <c r="L39" s="475"/>
      <c r="M39" s="476"/>
      <c r="N39" s="477"/>
      <c r="W39" s="367">
        <v>43042158</v>
      </c>
      <c r="X39" s="367">
        <v>48269723</v>
      </c>
      <c r="Y39" s="367">
        <v>68353133</v>
      </c>
      <c r="Z39" s="367">
        <v>87271348</v>
      </c>
      <c r="AA39" s="367">
        <v>93625832</v>
      </c>
      <c r="AB39" s="367">
        <v>71072963</v>
      </c>
      <c r="DT39" s="121"/>
      <c r="DU39" s="122" t="s">
        <v>113</v>
      </c>
      <c r="DV39" s="124">
        <v>20998308</v>
      </c>
      <c r="DW39" s="124">
        <v>11563464</v>
      </c>
      <c r="DX39" s="124">
        <v>5266224</v>
      </c>
      <c r="DY39" s="124">
        <v>3898349</v>
      </c>
      <c r="DZ39" s="124">
        <v>6558177</v>
      </c>
      <c r="EA39" s="124">
        <v>2147177</v>
      </c>
      <c r="EB39" s="124">
        <v>1000991</v>
      </c>
      <c r="EC39" s="124">
        <v>51432690</v>
      </c>
    </row>
    <row r="40" spans="1:133" ht="21.5" customHeight="1" x14ac:dyDescent="0.35">
      <c r="A40" s="160"/>
      <c r="B40" s="59" t="s">
        <v>137</v>
      </c>
      <c r="C40" s="65"/>
      <c r="D40" s="65"/>
      <c r="E40" s="88">
        <v>9327845</v>
      </c>
      <c r="F40" s="368">
        <v>11286373</v>
      </c>
      <c r="G40" s="368">
        <v>13844444</v>
      </c>
      <c r="H40" s="368">
        <v>18785237</v>
      </c>
      <c r="I40" s="102">
        <v>15466376</v>
      </c>
      <c r="J40" s="366"/>
      <c r="L40" s="475"/>
      <c r="M40" s="476"/>
      <c r="N40" s="477"/>
      <c r="DT40" s="121"/>
      <c r="DU40" s="122" t="s">
        <v>114</v>
      </c>
      <c r="DV40" s="124">
        <v>36675941</v>
      </c>
      <c r="DW40" s="124">
        <v>25064470</v>
      </c>
      <c r="DX40" s="124">
        <v>8885580</v>
      </c>
      <c r="DY40" s="124">
        <v>5616979</v>
      </c>
      <c r="DZ40" s="124">
        <v>10807055</v>
      </c>
      <c r="EA40" s="124">
        <v>13894657</v>
      </c>
      <c r="EB40" s="124">
        <v>1686346</v>
      </c>
      <c r="EC40" s="124">
        <v>102631028</v>
      </c>
    </row>
    <row r="41" spans="1:133" ht="29" x14ac:dyDescent="0.35">
      <c r="A41" s="160"/>
      <c r="B41" s="59" t="s">
        <v>138</v>
      </c>
      <c r="C41" s="65"/>
      <c r="D41" s="65"/>
      <c r="E41" s="88">
        <v>8231438</v>
      </c>
      <c r="F41" s="368">
        <v>10991460</v>
      </c>
      <c r="G41" s="368">
        <v>11387131</v>
      </c>
      <c r="H41" s="368">
        <v>13799483</v>
      </c>
      <c r="I41" s="102">
        <v>14311951</v>
      </c>
      <c r="J41" s="366"/>
      <c r="L41" s="475"/>
      <c r="M41" s="476"/>
      <c r="N41" s="477"/>
      <c r="DT41" s="121"/>
      <c r="DU41" s="122" t="s">
        <v>115</v>
      </c>
      <c r="DV41" s="124">
        <v>4578504</v>
      </c>
      <c r="DW41" s="124">
        <v>6536946</v>
      </c>
      <c r="DX41" s="124">
        <v>2994513</v>
      </c>
      <c r="DY41" s="124">
        <v>1633834</v>
      </c>
      <c r="DZ41" s="124">
        <v>2875248</v>
      </c>
      <c r="EA41" s="124">
        <v>3130407</v>
      </c>
      <c r="EB41" s="124">
        <v>203509</v>
      </c>
      <c r="EC41" s="124">
        <v>21952961</v>
      </c>
    </row>
    <row r="42" spans="1:133" ht="21.5" customHeight="1" thickBot="1" x14ac:dyDescent="0.4">
      <c r="A42" s="160"/>
      <c r="B42" s="60" t="s">
        <v>139</v>
      </c>
      <c r="C42" s="78"/>
      <c r="D42" s="78"/>
      <c r="E42" s="103">
        <v>2288996</v>
      </c>
      <c r="F42" s="104">
        <v>2653804</v>
      </c>
      <c r="G42" s="104">
        <v>3613548</v>
      </c>
      <c r="H42" s="104">
        <v>5197027</v>
      </c>
      <c r="I42" s="105">
        <v>5593143</v>
      </c>
      <c r="J42" s="366"/>
      <c r="L42" s="475"/>
      <c r="M42" s="476"/>
      <c r="N42" s="477"/>
      <c r="DT42" s="121"/>
      <c r="DU42" s="122" t="s">
        <v>116</v>
      </c>
      <c r="DV42" s="124">
        <v>32097437</v>
      </c>
      <c r="DW42" s="124">
        <v>18527524</v>
      </c>
      <c r="DX42" s="124">
        <v>5891067</v>
      </c>
      <c r="DY42" s="124">
        <v>3983145</v>
      </c>
      <c r="DZ42" s="124">
        <v>7931807</v>
      </c>
      <c r="EA42" s="124">
        <v>10764250</v>
      </c>
      <c r="EB42" s="124">
        <v>1482837</v>
      </c>
      <c r="EC42" s="124">
        <v>80678067</v>
      </c>
    </row>
    <row r="43" spans="1:133" ht="22.5" customHeight="1" x14ac:dyDescent="0.35">
      <c r="A43" s="160"/>
      <c r="B43" s="58" t="s">
        <v>141</v>
      </c>
      <c r="C43" s="101"/>
      <c r="D43" s="101"/>
      <c r="E43" s="106">
        <f>(E40/E39)*365</f>
        <v>86.40321591316291</v>
      </c>
      <c r="F43" s="107">
        <f>((AVERAGE(E40:F40))/F39)*365</f>
        <v>77.915132738194359</v>
      </c>
      <c r="G43" s="107">
        <f t="shared" ref="G43:I43" si="159">((AVERAGE(F40:G40))/G39)*365</f>
        <v>67.021897136355491</v>
      </c>
      <c r="H43" s="107">
        <f t="shared" si="159"/>
        <v>68.096099227111623</v>
      </c>
      <c r="I43" s="108">
        <f t="shared" si="159"/>
        <v>66.757897290918692</v>
      </c>
      <c r="J43" s="371"/>
      <c r="L43" s="475"/>
      <c r="M43" s="476"/>
      <c r="N43" s="477"/>
      <c r="DT43" s="121"/>
      <c r="DU43" s="121"/>
      <c r="DV43" s="121"/>
      <c r="DW43" s="121"/>
      <c r="DX43" s="121"/>
      <c r="DY43" s="121"/>
      <c r="DZ43" s="121"/>
      <c r="EA43" s="121"/>
      <c r="EB43" s="121"/>
      <c r="EC43" s="121"/>
    </row>
    <row r="44" spans="1:133" ht="25" customHeight="1" x14ac:dyDescent="0.35">
      <c r="A44" s="160"/>
      <c r="B44" s="59" t="s">
        <v>142</v>
      </c>
      <c r="C44" s="65"/>
      <c r="D44" s="65"/>
      <c r="E44" s="109">
        <f>(E42/E38)*365</f>
        <v>15.584303903606486</v>
      </c>
      <c r="F44" s="369">
        <f>((AVERAGE(E42:F42))/F38)*365</f>
        <v>14.402381884306081</v>
      </c>
      <c r="G44" s="369">
        <f t="shared" ref="G44:H44" si="160">((AVERAGE(F42:G42))/G38)*365</f>
        <v>13.139476295383028</v>
      </c>
      <c r="H44" s="369">
        <f t="shared" si="160"/>
        <v>14.673324194349894</v>
      </c>
      <c r="I44" s="110">
        <f>((AVERAGE(H42:I42))/I38)*365</f>
        <v>16.336282770533163</v>
      </c>
      <c r="J44" s="371"/>
      <c r="L44" s="475"/>
      <c r="M44" s="476"/>
      <c r="N44" s="477"/>
    </row>
    <row r="45" spans="1:133" ht="23" customHeight="1" thickBot="1" x14ac:dyDescent="0.4">
      <c r="A45" s="160"/>
      <c r="B45" s="59" t="s">
        <v>143</v>
      </c>
      <c r="C45" s="65"/>
      <c r="D45" s="65"/>
      <c r="E45" s="374">
        <f>(E41/E39)*365</f>
        <v>76.247269845265862</v>
      </c>
      <c r="F45" s="375">
        <f>((AVERAGE(E41:F41))/F39)*365</f>
        <v>72.656389356257449</v>
      </c>
      <c r="G45" s="375">
        <f t="shared" ref="G45:I45" si="161">((AVERAGE(F41:G41))/G39)*365</f>
        <v>59.681928528569955</v>
      </c>
      <c r="H45" s="375">
        <f t="shared" si="161"/>
        <v>52.562884881987017</v>
      </c>
      <c r="I45" s="376">
        <f t="shared" si="161"/>
        <v>54.790418882533778</v>
      </c>
      <c r="J45" s="371"/>
      <c r="L45" s="475"/>
      <c r="M45" s="476"/>
      <c r="N45" s="477"/>
    </row>
    <row r="46" spans="1:133" ht="25.5" customHeight="1" thickBot="1" x14ac:dyDescent="0.4">
      <c r="A46" s="160"/>
      <c r="B46" s="62" t="s">
        <v>144</v>
      </c>
      <c r="C46" s="97"/>
      <c r="D46" s="97"/>
      <c r="E46" s="129">
        <f>E43+E44-E45</f>
        <v>25.74024997150353</v>
      </c>
      <c r="F46" s="130">
        <f>F43+F44-F45</f>
        <v>19.661125266242991</v>
      </c>
      <c r="G46" s="130">
        <f t="shared" ref="G46:I46" si="162">G43+G44-G45</f>
        <v>20.47944490316857</v>
      </c>
      <c r="H46" s="130">
        <f t="shared" si="162"/>
        <v>30.206538539474494</v>
      </c>
      <c r="I46" s="131">
        <f t="shared" si="162"/>
        <v>28.303761178918073</v>
      </c>
      <c r="J46" s="371"/>
      <c r="L46" s="478"/>
      <c r="M46" s="479"/>
      <c r="N46" s="480"/>
    </row>
    <row r="47" spans="1:133" ht="16" x14ac:dyDescent="0.35">
      <c r="A47" s="160"/>
      <c r="J47" s="355"/>
    </row>
    <row r="48" spans="1:133" ht="16" x14ac:dyDescent="0.35">
      <c r="A48" s="160"/>
      <c r="J48" s="355"/>
    </row>
    <row r="49" spans="1:33" ht="16.5" thickBot="1" x14ac:dyDescent="0.4">
      <c r="A49" s="160"/>
      <c r="J49" s="355"/>
    </row>
    <row r="50" spans="1:33" ht="16.5" customHeight="1" thickBot="1" x14ac:dyDescent="0.4">
      <c r="A50" s="160"/>
      <c r="J50" s="355"/>
      <c r="L50" s="481" t="s">
        <v>320</v>
      </c>
      <c r="M50" s="482"/>
      <c r="N50" s="482"/>
      <c r="O50" s="483"/>
    </row>
    <row r="51" spans="1:33" ht="15" customHeight="1" thickBot="1" x14ac:dyDescent="0.4">
      <c r="A51" s="160" t="s">
        <v>265</v>
      </c>
      <c r="B51" s="62" t="s">
        <v>2</v>
      </c>
      <c r="C51" s="97"/>
      <c r="D51" s="120"/>
      <c r="E51" s="98">
        <v>2020</v>
      </c>
      <c r="F51" s="99">
        <v>2021</v>
      </c>
      <c r="G51" s="99">
        <v>2022</v>
      </c>
      <c r="H51" s="99">
        <v>2023</v>
      </c>
      <c r="I51" s="100">
        <v>2024</v>
      </c>
      <c r="J51" s="370"/>
      <c r="L51" s="484"/>
      <c r="M51" s="485"/>
      <c r="N51" s="485"/>
      <c r="O51" s="486"/>
    </row>
    <row r="52" spans="1:33" ht="16" x14ac:dyDescent="0.35">
      <c r="A52" s="160"/>
      <c r="B52" s="111" t="s">
        <v>130</v>
      </c>
      <c r="C52" s="101"/>
      <c r="D52" s="69"/>
      <c r="E52" s="111">
        <v>3029003</v>
      </c>
      <c r="F52" s="101">
        <v>5959446</v>
      </c>
      <c r="G52" s="101">
        <v>6248587</v>
      </c>
      <c r="H52" s="101">
        <v>17772858</v>
      </c>
      <c r="I52" s="69">
        <v>11162964</v>
      </c>
      <c r="J52" s="355"/>
      <c r="L52" s="484"/>
      <c r="M52" s="485"/>
      <c r="N52" s="485"/>
      <c r="O52" s="486"/>
    </row>
    <row r="53" spans="1:33" ht="16" x14ac:dyDescent="0.35">
      <c r="A53" s="160"/>
      <c r="B53" s="70" t="s">
        <v>145</v>
      </c>
      <c r="C53" s="65"/>
      <c r="D53" s="74"/>
      <c r="E53" s="73">
        <v>20763055</v>
      </c>
      <c r="F53" s="65">
        <v>23879208</v>
      </c>
      <c r="G53" s="65">
        <v>26391122</v>
      </c>
      <c r="H53" s="65">
        <v>43954236</v>
      </c>
      <c r="I53" s="74">
        <v>49457745</v>
      </c>
      <c r="J53" s="355"/>
      <c r="L53" s="484"/>
      <c r="M53" s="485"/>
      <c r="N53" s="485"/>
      <c r="O53" s="486"/>
    </row>
    <row r="54" spans="1:33" ht="16.5" thickBot="1" x14ac:dyDescent="0.4">
      <c r="A54" s="160"/>
      <c r="B54" s="79" t="s">
        <v>146</v>
      </c>
      <c r="C54" s="78"/>
      <c r="D54" s="80"/>
      <c r="E54" s="373">
        <f>E52/E53</f>
        <v>0.14588426414128364</v>
      </c>
      <c r="F54" s="112">
        <f>F52/F53</f>
        <v>0.2495663172748443</v>
      </c>
      <c r="G54" s="112">
        <f t="shared" ref="G54:I54" si="163">G52/G53</f>
        <v>0.23676852389981753</v>
      </c>
      <c r="H54" s="112">
        <f>H52/H53</f>
        <v>0.40434915078492095</v>
      </c>
      <c r="I54" s="113">
        <f t="shared" si="163"/>
        <v>0.22570709602712377</v>
      </c>
      <c r="J54" s="372"/>
      <c r="L54" s="484"/>
      <c r="M54" s="485"/>
      <c r="N54" s="485"/>
      <c r="O54" s="486"/>
    </row>
    <row r="55" spans="1:33" ht="16" x14ac:dyDescent="0.35">
      <c r="A55" s="160"/>
      <c r="L55" s="484"/>
      <c r="M55" s="485"/>
      <c r="N55" s="485"/>
      <c r="O55" s="486"/>
    </row>
    <row r="56" spans="1:33" ht="16.5" thickBot="1" x14ac:dyDescent="0.4">
      <c r="A56" s="160"/>
      <c r="L56" s="487"/>
      <c r="M56" s="488"/>
      <c r="N56" s="488"/>
      <c r="O56" s="489"/>
    </row>
    <row r="57" spans="1:33" ht="16" x14ac:dyDescent="0.35">
      <c r="A57" s="160"/>
    </row>
    <row r="58" spans="1:33" ht="16.5" thickBot="1" x14ac:dyDescent="0.4">
      <c r="A58" s="160"/>
    </row>
    <row r="59" spans="1:33" ht="16.5" thickBot="1" x14ac:dyDescent="0.4">
      <c r="A59" s="160" t="s">
        <v>266</v>
      </c>
      <c r="B59" s="111"/>
      <c r="C59" s="101"/>
      <c r="D59" s="101"/>
      <c r="E59" s="454" t="s">
        <v>101</v>
      </c>
      <c r="F59" s="455"/>
      <c r="G59" s="455"/>
      <c r="H59" s="455"/>
      <c r="I59" s="456"/>
      <c r="J59" s="454" t="s">
        <v>102</v>
      </c>
      <c r="K59" s="455"/>
      <c r="L59" s="455"/>
      <c r="M59" s="455"/>
      <c r="N59" s="456"/>
      <c r="O59" s="454" t="s">
        <v>103</v>
      </c>
      <c r="P59" s="455"/>
      <c r="Q59" s="455"/>
      <c r="R59" s="455"/>
      <c r="S59" s="456"/>
      <c r="T59" s="454" t="s">
        <v>104</v>
      </c>
      <c r="U59" s="455"/>
      <c r="V59" s="455"/>
      <c r="W59" s="455"/>
      <c r="X59" s="456"/>
      <c r="Y59" s="454" t="s">
        <v>105</v>
      </c>
      <c r="Z59" s="455"/>
      <c r="AA59" s="455"/>
      <c r="AB59" s="455"/>
      <c r="AC59" s="456"/>
    </row>
    <row r="60" spans="1:33" ht="16.5" thickBot="1" x14ac:dyDescent="0.4">
      <c r="A60" s="160"/>
      <c r="B60" s="82" t="s">
        <v>2</v>
      </c>
      <c r="C60" s="114" t="s">
        <v>94</v>
      </c>
      <c r="D60" s="83" t="s">
        <v>0</v>
      </c>
      <c r="E60" s="58">
        <v>2020</v>
      </c>
      <c r="F60" s="61">
        <v>2021</v>
      </c>
      <c r="G60" s="61">
        <v>2022</v>
      </c>
      <c r="H60" s="61">
        <v>2023</v>
      </c>
      <c r="I60" s="83">
        <v>2024</v>
      </c>
      <c r="J60" s="62">
        <v>2020</v>
      </c>
      <c r="K60" s="63">
        <v>2021</v>
      </c>
      <c r="L60" s="63">
        <v>2022</v>
      </c>
      <c r="M60" s="63">
        <v>2023</v>
      </c>
      <c r="N60" s="64">
        <v>2024</v>
      </c>
      <c r="O60" s="62">
        <v>2020</v>
      </c>
      <c r="P60" s="63">
        <v>2021</v>
      </c>
      <c r="Q60" s="63">
        <v>2022</v>
      </c>
      <c r="R60" s="63">
        <v>2023</v>
      </c>
      <c r="S60" s="64">
        <v>2024</v>
      </c>
      <c r="T60" s="62">
        <v>2020</v>
      </c>
      <c r="U60" s="63">
        <v>2021</v>
      </c>
      <c r="V60" s="63">
        <v>2022</v>
      </c>
      <c r="W60" s="63">
        <v>2023</v>
      </c>
      <c r="X60" s="64">
        <v>2024</v>
      </c>
      <c r="Y60" s="62">
        <v>2020</v>
      </c>
      <c r="Z60" s="63">
        <v>2021</v>
      </c>
      <c r="AA60" s="63">
        <v>2022</v>
      </c>
      <c r="AB60" s="63">
        <v>2023</v>
      </c>
      <c r="AC60" s="64">
        <v>2024</v>
      </c>
      <c r="AE60" s="501" t="s">
        <v>317</v>
      </c>
      <c r="AF60" s="502"/>
      <c r="AG60" s="503"/>
    </row>
    <row r="61" spans="1:33" ht="16" customHeight="1" x14ac:dyDescent="0.35">
      <c r="A61" s="160"/>
      <c r="B61" s="87" t="s">
        <v>147</v>
      </c>
      <c r="C61" s="115"/>
      <c r="D61" s="65"/>
      <c r="E61" s="66">
        <v>530322</v>
      </c>
      <c r="F61" s="67">
        <v>2715986</v>
      </c>
      <c r="G61" s="67">
        <v>3282850</v>
      </c>
      <c r="H61" s="67">
        <v>3193347</v>
      </c>
      <c r="I61" s="68">
        <v>1825096</v>
      </c>
      <c r="J61" s="66">
        <v>3550768</v>
      </c>
      <c r="K61" s="67">
        <v>3525521</v>
      </c>
      <c r="L61" s="67">
        <v>4476484</v>
      </c>
      <c r="M61" s="67">
        <v>7634565</v>
      </c>
      <c r="N61" s="68">
        <v>10033744</v>
      </c>
      <c r="O61" s="66">
        <v>552798</v>
      </c>
      <c r="P61" s="67">
        <v>835788</v>
      </c>
      <c r="Q61" s="67">
        <v>1247436</v>
      </c>
      <c r="R61" s="67">
        <v>1004229</v>
      </c>
      <c r="S61" s="68">
        <v>2304985</v>
      </c>
      <c r="T61" s="66">
        <v>202609</v>
      </c>
      <c r="U61" s="67">
        <v>379700</v>
      </c>
      <c r="V61" s="67">
        <v>760631</v>
      </c>
      <c r="W61" s="67">
        <v>932228</v>
      </c>
      <c r="X61" s="68">
        <v>881086</v>
      </c>
      <c r="Y61" s="66">
        <v>738580</v>
      </c>
      <c r="Z61" s="67">
        <v>941843</v>
      </c>
      <c r="AA61" s="67">
        <v>1461940</v>
      </c>
      <c r="AB61" s="67">
        <v>1889055</v>
      </c>
      <c r="AC61" s="68">
        <v>2105884</v>
      </c>
      <c r="AE61" s="504"/>
      <c r="AF61" s="505"/>
      <c r="AG61" s="506"/>
    </row>
    <row r="62" spans="1:33" ht="16" x14ac:dyDescent="0.35">
      <c r="A62" s="160"/>
      <c r="B62" s="87" t="s">
        <v>148</v>
      </c>
      <c r="C62" s="115"/>
      <c r="D62" s="65"/>
      <c r="E62" s="73">
        <v>9364128</v>
      </c>
      <c r="F62" s="71">
        <v>9823522</v>
      </c>
      <c r="G62" s="71">
        <v>15971757</v>
      </c>
      <c r="H62" s="71">
        <v>18331780</v>
      </c>
      <c r="I62" s="72">
        <v>16212254</v>
      </c>
      <c r="J62" s="73">
        <v>24917545</v>
      </c>
      <c r="K62" s="71">
        <v>25406934</v>
      </c>
      <c r="L62" s="71">
        <v>36580893</v>
      </c>
      <c r="M62" s="71">
        <v>50438332</v>
      </c>
      <c r="N62" s="72">
        <v>51179871</v>
      </c>
      <c r="O62" s="73">
        <v>6037209</v>
      </c>
      <c r="P62" s="71">
        <v>5810736</v>
      </c>
      <c r="Q62" s="71">
        <v>7480296</v>
      </c>
      <c r="R62" s="71">
        <v>9717738</v>
      </c>
      <c r="S62" s="72">
        <v>10285830</v>
      </c>
      <c r="T62" s="73">
        <v>4167580</v>
      </c>
      <c r="U62" s="71">
        <v>4279340</v>
      </c>
      <c r="V62" s="71">
        <v>5032145</v>
      </c>
      <c r="W62" s="71">
        <v>6388454</v>
      </c>
      <c r="X62" s="72">
        <v>6182262</v>
      </c>
      <c r="Y62" s="73">
        <v>8938995</v>
      </c>
      <c r="Z62" s="71">
        <v>9344984</v>
      </c>
      <c r="AA62" s="71">
        <v>11418054</v>
      </c>
      <c r="AB62" s="71">
        <v>15123383</v>
      </c>
      <c r="AC62" s="72">
        <v>14580685</v>
      </c>
      <c r="AE62" s="504"/>
      <c r="AF62" s="505"/>
      <c r="AG62" s="506"/>
    </row>
    <row r="63" spans="1:33" ht="16" x14ac:dyDescent="0.35">
      <c r="A63" s="160"/>
      <c r="B63" s="87" t="s">
        <v>149</v>
      </c>
      <c r="C63" s="115"/>
      <c r="D63" s="65"/>
      <c r="E63" s="73">
        <v>14632440</v>
      </c>
      <c r="F63" s="71">
        <v>14723344</v>
      </c>
      <c r="G63" s="71">
        <v>17906942</v>
      </c>
      <c r="H63" s="71">
        <v>16622712</v>
      </c>
      <c r="I63" s="72">
        <v>14717302</v>
      </c>
      <c r="J63" s="73">
        <v>3102176</v>
      </c>
      <c r="K63" s="71">
        <v>3341690</v>
      </c>
      <c r="L63" s="71">
        <v>7675488</v>
      </c>
      <c r="M63" s="71">
        <v>11605768</v>
      </c>
      <c r="N63" s="72">
        <v>10409001</v>
      </c>
      <c r="O63" s="73">
        <v>5841748</v>
      </c>
      <c r="P63" s="71">
        <v>55563382</v>
      </c>
      <c r="Q63" s="71">
        <v>5344090</v>
      </c>
      <c r="R63" s="71">
        <v>5525944</v>
      </c>
      <c r="S63" s="72">
        <v>5558027</v>
      </c>
      <c r="T63" s="73">
        <v>1961237</v>
      </c>
      <c r="U63" s="71">
        <v>2209108</v>
      </c>
      <c r="V63" s="71">
        <v>773209</v>
      </c>
      <c r="W63" s="71">
        <v>990891</v>
      </c>
      <c r="X63" s="72">
        <v>784290</v>
      </c>
      <c r="Y63" s="73">
        <v>1898406</v>
      </c>
      <c r="Z63" s="71">
        <v>2424499</v>
      </c>
      <c r="AA63" s="71">
        <v>2328549</v>
      </c>
      <c r="AB63" s="71">
        <v>3282850</v>
      </c>
      <c r="AC63" s="72">
        <v>2624643</v>
      </c>
      <c r="AE63" s="504"/>
      <c r="AF63" s="505"/>
      <c r="AG63" s="506"/>
    </row>
    <row r="64" spans="1:33" ht="16" x14ac:dyDescent="0.35">
      <c r="A64" s="160"/>
      <c r="B64" s="87" t="s">
        <v>311</v>
      </c>
      <c r="C64" s="115" t="s">
        <v>318</v>
      </c>
      <c r="D64" s="65"/>
      <c r="E64" s="73">
        <f>E62-E63</f>
        <v>-5268312</v>
      </c>
      <c r="F64" s="71">
        <f t="shared" ref="F64:AC64" si="164">F62-F63</f>
        <v>-4899822</v>
      </c>
      <c r="G64" s="71">
        <f>G62-G63</f>
        <v>-1935185</v>
      </c>
      <c r="H64" s="71">
        <f t="shared" si="164"/>
        <v>1709068</v>
      </c>
      <c r="I64" s="72">
        <f t="shared" si="164"/>
        <v>1494952</v>
      </c>
      <c r="J64" s="73">
        <f t="shared" si="164"/>
        <v>21815369</v>
      </c>
      <c r="K64" s="71">
        <f t="shared" si="164"/>
        <v>22065244</v>
      </c>
      <c r="L64" s="71">
        <f t="shared" si="164"/>
        <v>28905405</v>
      </c>
      <c r="M64" s="71">
        <f t="shared" si="164"/>
        <v>38832564</v>
      </c>
      <c r="N64" s="72">
        <f t="shared" si="164"/>
        <v>40770870</v>
      </c>
      <c r="O64" s="73">
        <f t="shared" si="164"/>
        <v>195461</v>
      </c>
      <c r="P64" s="71">
        <f t="shared" si="164"/>
        <v>-49752646</v>
      </c>
      <c r="Q64" s="71">
        <f t="shared" si="164"/>
        <v>2136206</v>
      </c>
      <c r="R64" s="71">
        <f t="shared" si="164"/>
        <v>4191794</v>
      </c>
      <c r="S64" s="72">
        <f t="shared" si="164"/>
        <v>4727803</v>
      </c>
      <c r="T64" s="73">
        <f t="shared" si="164"/>
        <v>2206343</v>
      </c>
      <c r="U64" s="71">
        <f t="shared" si="164"/>
        <v>2070232</v>
      </c>
      <c r="V64" s="71">
        <f t="shared" si="164"/>
        <v>4258936</v>
      </c>
      <c r="W64" s="71">
        <f t="shared" si="164"/>
        <v>5397563</v>
      </c>
      <c r="X64" s="72">
        <f t="shared" si="164"/>
        <v>5397972</v>
      </c>
      <c r="Y64" s="73">
        <f t="shared" si="164"/>
        <v>7040589</v>
      </c>
      <c r="Z64" s="71">
        <f t="shared" si="164"/>
        <v>6920485</v>
      </c>
      <c r="AA64" s="71">
        <f t="shared" si="164"/>
        <v>9089505</v>
      </c>
      <c r="AB64" s="71">
        <f t="shared" si="164"/>
        <v>11840533</v>
      </c>
      <c r="AC64" s="72">
        <f t="shared" si="164"/>
        <v>11956042</v>
      </c>
      <c r="AE64" s="504"/>
      <c r="AF64" s="505"/>
      <c r="AG64" s="506"/>
    </row>
    <row r="65" spans="2:33" ht="15" thickBot="1" x14ac:dyDescent="0.4">
      <c r="B65" s="93" t="s">
        <v>150</v>
      </c>
      <c r="C65" s="116"/>
      <c r="D65" s="78"/>
      <c r="E65" s="117">
        <f>E61/E64</f>
        <v>-0.10066260312601076</v>
      </c>
      <c r="F65" s="118">
        <f>F61/F64</f>
        <v>-0.55430299304750252</v>
      </c>
      <c r="G65" s="118">
        <f t="shared" ref="G65:AC65" si="165">G61/G64</f>
        <v>-1.6964011192728343</v>
      </c>
      <c r="H65" s="118">
        <f t="shared" si="165"/>
        <v>1.8684727582518659</v>
      </c>
      <c r="I65" s="119">
        <f t="shared" si="165"/>
        <v>1.220839197512696</v>
      </c>
      <c r="J65" s="117">
        <f t="shared" si="165"/>
        <v>0.16276451707051115</v>
      </c>
      <c r="K65" s="118">
        <f t="shared" si="165"/>
        <v>0.15977711372690917</v>
      </c>
      <c r="L65" s="118">
        <f t="shared" si="165"/>
        <v>0.15486667631884071</v>
      </c>
      <c r="M65" s="118">
        <f t="shared" si="165"/>
        <v>0.19660213525946935</v>
      </c>
      <c r="N65" s="119">
        <f t="shared" si="165"/>
        <v>0.24610080677699545</v>
      </c>
      <c r="O65" s="117">
        <f>O61/O64</f>
        <v>2.8281754416482059</v>
      </c>
      <c r="P65" s="118">
        <f t="shared" si="165"/>
        <v>-1.6798865330700199E-2</v>
      </c>
      <c r="Q65" s="118">
        <f t="shared" si="165"/>
        <v>0.58394930076968232</v>
      </c>
      <c r="R65" s="118">
        <f t="shared" si="165"/>
        <v>0.23957021742957788</v>
      </c>
      <c r="S65" s="119">
        <f t="shared" si="165"/>
        <v>0.48753829209888822</v>
      </c>
      <c r="T65" s="117">
        <f t="shared" si="165"/>
        <v>9.1830236731097567E-2</v>
      </c>
      <c r="U65" s="118">
        <f t="shared" si="165"/>
        <v>0.18340939566193548</v>
      </c>
      <c r="V65" s="118">
        <f t="shared" si="165"/>
        <v>0.17859648513149765</v>
      </c>
      <c r="W65" s="118">
        <f t="shared" si="165"/>
        <v>0.17271275944347478</v>
      </c>
      <c r="X65" s="119">
        <f t="shared" si="165"/>
        <v>0.16322537427018888</v>
      </c>
      <c r="Y65" s="117">
        <f t="shared" si="165"/>
        <v>0.10490315511955037</v>
      </c>
      <c r="Z65" s="118">
        <f t="shared" si="165"/>
        <v>0.13609494132275413</v>
      </c>
      <c r="AA65" s="118">
        <f t="shared" si="165"/>
        <v>0.16083824146639447</v>
      </c>
      <c r="AB65" s="118">
        <f t="shared" si="165"/>
        <v>0.15954138213203747</v>
      </c>
      <c r="AC65" s="119">
        <f t="shared" si="165"/>
        <v>0.17613554719864652</v>
      </c>
      <c r="AE65" s="507"/>
      <c r="AF65" s="508"/>
      <c r="AG65" s="509"/>
    </row>
    <row r="66" spans="2:33" ht="15" thickBot="1" x14ac:dyDescent="0.4">
      <c r="B66" s="81" t="s">
        <v>151</v>
      </c>
      <c r="C66" s="97"/>
      <c r="D66" s="120"/>
      <c r="E66" s="460">
        <f>AVERAGE(E65:I65)</f>
        <v>0.14758904806364287</v>
      </c>
      <c r="F66" s="461"/>
      <c r="G66" s="461"/>
      <c r="H66" s="461"/>
      <c r="I66" s="462"/>
      <c r="J66" s="463">
        <f>AVERAGE(J65:N65)</f>
        <v>0.18402224983054516</v>
      </c>
      <c r="K66" s="464"/>
      <c r="L66" s="464"/>
      <c r="M66" s="464"/>
      <c r="N66" s="465"/>
      <c r="O66" s="463">
        <f>AVERAGE(O65:S65)</f>
        <v>0.82448687732313086</v>
      </c>
      <c r="P66" s="464"/>
      <c r="Q66" s="464"/>
      <c r="R66" s="464"/>
      <c r="S66" s="465"/>
      <c r="T66" s="463">
        <f>AVERAGE(T65:X65)</f>
        <v>0.15795485024763886</v>
      </c>
      <c r="U66" s="464"/>
      <c r="V66" s="464"/>
      <c r="W66" s="464"/>
      <c r="X66" s="465"/>
      <c r="Y66" s="463">
        <f>AVERAGE(Y65:AC65)</f>
        <v>0.14750265344787661</v>
      </c>
      <c r="Z66" s="464"/>
      <c r="AA66" s="464"/>
      <c r="AB66" s="464"/>
      <c r="AC66" s="465"/>
    </row>
    <row r="67" spans="2:33" ht="15" thickBot="1" x14ac:dyDescent="0.4">
      <c r="B67" s="81" t="s">
        <v>152</v>
      </c>
      <c r="C67" s="97"/>
      <c r="D67" s="97"/>
      <c r="E67" s="490">
        <f>AVERAGE(E61:I61)</f>
        <v>2309520.2000000002</v>
      </c>
      <c r="F67" s="490"/>
      <c r="G67" s="490"/>
      <c r="H67" s="490"/>
      <c r="I67" s="490"/>
      <c r="J67" s="490">
        <f>AVERAGE(J61:N61)</f>
        <v>5844216.4000000004</v>
      </c>
      <c r="K67" s="490"/>
      <c r="L67" s="490"/>
      <c r="M67" s="490"/>
      <c r="N67" s="490"/>
      <c r="O67" s="490">
        <f>AVERAGE(O61:S61)</f>
        <v>1189047.2</v>
      </c>
      <c r="P67" s="490"/>
      <c r="Q67" s="490"/>
      <c r="R67" s="490"/>
      <c r="S67" s="490"/>
      <c r="T67" s="490">
        <f>AVERAGE(T61:X61)</f>
        <v>631250.80000000005</v>
      </c>
      <c r="U67" s="490"/>
      <c r="V67" s="490"/>
      <c r="W67" s="490"/>
      <c r="X67" s="490"/>
      <c r="Y67" s="490">
        <f>AVERAGE(Y61:AC61)</f>
        <v>1427460.4</v>
      </c>
      <c r="Z67" s="490"/>
      <c r="AA67" s="490"/>
      <c r="AB67" s="490"/>
      <c r="AC67" s="491"/>
    </row>
    <row r="68" spans="2:33" x14ac:dyDescent="0.35">
      <c r="B68" s="11"/>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r="69" spans="2:33" ht="23.5" customHeight="1" thickBot="1" x14ac:dyDescent="0.4"/>
    <row r="70" spans="2:33" ht="29" customHeight="1" thickBot="1" x14ac:dyDescent="0.6">
      <c r="B70" s="165" t="s">
        <v>153</v>
      </c>
      <c r="C70" s="166" t="str">
        <f>"="</f>
        <v>=</v>
      </c>
      <c r="D70" s="466" t="str">
        <f>IF(E67&gt;J67,$E$59,IF(J67&gt;O67,$J$59,IF(O67&gt;T67,$O$59,IF(T67&gt;Y67,$T$59,$Y$59))))</f>
        <v>Soda Ash</v>
      </c>
      <c r="E70" s="467"/>
      <c r="F70" s="468"/>
    </row>
    <row r="71" spans="2:33" ht="35" thickBot="1" x14ac:dyDescent="0.6">
      <c r="B71" s="165" t="s">
        <v>154</v>
      </c>
      <c r="C71" s="166" t="str">
        <f>"="</f>
        <v>=</v>
      </c>
      <c r="D71" s="469" t="str">
        <f>IF(E66&gt;J66,$E$59,IF(J66&gt;O66,$J$59,IF(O66&gt;T66,$O$59,IF(T66&gt;Y66,$T$59,$Y$59))))</f>
        <v>Pharmaceuticals</v>
      </c>
      <c r="E71" s="470"/>
      <c r="F71" s="471"/>
    </row>
  </sheetData>
  <mergeCells count="48">
    <mergeCell ref="BN22:BP25"/>
    <mergeCell ref="BN21:BP21"/>
    <mergeCell ref="AE60:AG65"/>
    <mergeCell ref="AE9:AH17"/>
    <mergeCell ref="AE8:AH8"/>
    <mergeCell ref="AN20:AR20"/>
    <mergeCell ref="AX20:BB20"/>
    <mergeCell ref="BC19:BL19"/>
    <mergeCell ref="D70:F70"/>
    <mergeCell ref="D71:F71"/>
    <mergeCell ref="E20:I20"/>
    <mergeCell ref="Y10:AC10"/>
    <mergeCell ref="L37:N46"/>
    <mergeCell ref="L50:O56"/>
    <mergeCell ref="E67:I67"/>
    <mergeCell ref="J67:N67"/>
    <mergeCell ref="O67:S67"/>
    <mergeCell ref="T67:X67"/>
    <mergeCell ref="Y67:AC67"/>
    <mergeCell ref="E59:I59"/>
    <mergeCell ref="J59:N59"/>
    <mergeCell ref="O59:S59"/>
    <mergeCell ref="T59:X59"/>
    <mergeCell ref="Y59:AC59"/>
    <mergeCell ref="E66:I66"/>
    <mergeCell ref="J66:N66"/>
    <mergeCell ref="O66:S66"/>
    <mergeCell ref="T66:X66"/>
    <mergeCell ref="BH20:BL20"/>
    <mergeCell ref="BC20:BG20"/>
    <mergeCell ref="Y66:AC66"/>
    <mergeCell ref="J20:N20"/>
    <mergeCell ref="O20:S20"/>
    <mergeCell ref="AI20:AM20"/>
    <mergeCell ref="AS20:AW20"/>
    <mergeCell ref="T20:X20"/>
    <mergeCell ref="Y20:AC20"/>
    <mergeCell ref="AD20:AH20"/>
    <mergeCell ref="E19:N19"/>
    <mergeCell ref="O19:X19"/>
    <mergeCell ref="Y19:AH19"/>
    <mergeCell ref="AI19:AR19"/>
    <mergeCell ref="AS19:BB19"/>
    <mergeCell ref="D2:U6"/>
    <mergeCell ref="E10:I10"/>
    <mergeCell ref="J10:N10"/>
    <mergeCell ref="O10:S10"/>
    <mergeCell ref="T10:X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05785-977C-40FD-96CE-D2BF096A19B6}">
  <dimension ref="A1:L98"/>
  <sheetViews>
    <sheetView showGridLines="0" topLeftCell="A12" zoomScale="60" zoomScaleNormal="85" workbookViewId="0">
      <selection activeCell="G87" sqref="G87"/>
    </sheetView>
  </sheetViews>
  <sheetFormatPr defaultRowHeight="14.5" x14ac:dyDescent="0.35"/>
  <cols>
    <col min="2" max="2" width="32.08984375" customWidth="1"/>
    <col min="3" max="3" width="17.7265625" customWidth="1"/>
    <col min="4" max="4" width="12.26953125" customWidth="1"/>
    <col min="5" max="7" width="10.36328125" bestFit="1" customWidth="1"/>
    <col min="8" max="8" width="11.54296875" customWidth="1"/>
    <col min="9" max="9" width="14.1796875" customWidth="1"/>
    <col min="10" max="10" width="11.7265625" customWidth="1"/>
    <col min="11" max="11" width="11.90625" customWidth="1"/>
    <col min="12" max="12" width="12.08984375" customWidth="1"/>
  </cols>
  <sheetData>
    <row r="1" spans="1:9" x14ac:dyDescent="0.35">
      <c r="A1" s="145"/>
      <c r="B1" s="538"/>
      <c r="C1" s="538"/>
      <c r="D1" s="538"/>
    </row>
    <row r="2" spans="1:9" x14ac:dyDescent="0.35">
      <c r="A2" s="145"/>
      <c r="B2" s="538"/>
      <c r="C2" s="538"/>
      <c r="D2" s="538"/>
    </row>
    <row r="3" spans="1:9" x14ac:dyDescent="0.35">
      <c r="A3" s="145"/>
      <c r="B3" s="538"/>
      <c r="C3" s="538"/>
      <c r="D3" s="538"/>
    </row>
    <row r="4" spans="1:9" x14ac:dyDescent="0.35">
      <c r="A4" s="145"/>
      <c r="B4" s="538"/>
      <c r="C4" s="538"/>
      <c r="D4" s="538"/>
    </row>
    <row r="5" spans="1:9" ht="15" thickBot="1" x14ac:dyDescent="0.4">
      <c r="A5" s="145"/>
    </row>
    <row r="6" spans="1:9" ht="15" thickBot="1" x14ac:dyDescent="0.4">
      <c r="A6" s="145" t="s">
        <v>262</v>
      </c>
      <c r="B6" s="168" t="s">
        <v>2</v>
      </c>
      <c r="C6" s="169"/>
      <c r="D6" s="170">
        <v>2019</v>
      </c>
      <c r="E6" s="171">
        <v>2020</v>
      </c>
      <c r="F6" s="171">
        <v>2021</v>
      </c>
      <c r="G6" s="171">
        <v>2022</v>
      </c>
      <c r="H6" s="171">
        <v>2023</v>
      </c>
      <c r="I6" s="172">
        <v>2024</v>
      </c>
    </row>
    <row r="7" spans="1:9" x14ac:dyDescent="0.35">
      <c r="A7" s="145"/>
      <c r="B7" s="173" t="s">
        <v>106</v>
      </c>
      <c r="C7" s="167"/>
      <c r="D7" s="174">
        <v>28286</v>
      </c>
      <c r="E7" s="175">
        <v>20402</v>
      </c>
      <c r="F7" s="175">
        <v>27716</v>
      </c>
      <c r="G7" s="175">
        <v>32569</v>
      </c>
      <c r="H7" s="175">
        <v>35947</v>
      </c>
      <c r="I7" s="176">
        <v>38632</v>
      </c>
    </row>
    <row r="8" spans="1:9" x14ac:dyDescent="0.35">
      <c r="A8" s="145"/>
      <c r="B8" s="177" t="s">
        <v>193</v>
      </c>
      <c r="C8" s="167"/>
      <c r="D8" s="178">
        <v>780</v>
      </c>
      <c r="E8" s="179">
        <v>715</v>
      </c>
      <c r="F8" s="179">
        <v>842</v>
      </c>
      <c r="G8" s="179">
        <v>851</v>
      </c>
      <c r="H8" s="179">
        <v>1038</v>
      </c>
      <c r="I8" s="180">
        <v>1088</v>
      </c>
    </row>
    <row r="9" spans="1:9" ht="15" thickBot="1" x14ac:dyDescent="0.4">
      <c r="A9" s="145"/>
      <c r="B9" s="181" t="s">
        <v>194</v>
      </c>
      <c r="C9" s="167"/>
      <c r="D9" s="178"/>
      <c r="E9" s="182">
        <f>E7/AVERAGE(D8:E8)</f>
        <v>27.293645484949831</v>
      </c>
      <c r="F9" s="182">
        <f t="shared" ref="F9:I9" si="0">F7/AVERAGE(E8:F8)</f>
        <v>35.60179833012203</v>
      </c>
      <c r="G9" s="182">
        <f t="shared" si="0"/>
        <v>38.474896633195513</v>
      </c>
      <c r="H9" s="182">
        <f t="shared" si="0"/>
        <v>38.059290629962945</v>
      </c>
      <c r="I9" s="183">
        <f t="shared" si="0"/>
        <v>36.342427093132642</v>
      </c>
    </row>
    <row r="10" spans="1:9" ht="15" thickBot="1" x14ac:dyDescent="0.4">
      <c r="A10" s="145"/>
      <c r="B10" s="177"/>
      <c r="C10" s="167"/>
      <c r="D10" s="178"/>
      <c r="E10" s="179"/>
      <c r="F10" s="179"/>
      <c r="G10" s="179"/>
      <c r="H10" s="179"/>
      <c r="I10" s="180"/>
    </row>
    <row r="11" spans="1:9" x14ac:dyDescent="0.35">
      <c r="A11" s="145"/>
      <c r="B11" s="173" t="s">
        <v>140</v>
      </c>
      <c r="C11" s="167"/>
      <c r="D11" s="178">
        <v>12479</v>
      </c>
      <c r="E11" s="179">
        <v>9012</v>
      </c>
      <c r="F11" s="179">
        <v>11902</v>
      </c>
      <c r="G11" s="179">
        <v>14011</v>
      </c>
      <c r="H11" s="179">
        <v>15186</v>
      </c>
      <c r="I11" s="180">
        <v>16288</v>
      </c>
    </row>
    <row r="12" spans="1:9" x14ac:dyDescent="0.35">
      <c r="A12" s="145"/>
      <c r="B12" s="177" t="s">
        <v>195</v>
      </c>
      <c r="C12" s="167"/>
      <c r="D12" s="178">
        <v>5443</v>
      </c>
      <c r="E12" s="179">
        <v>4659</v>
      </c>
      <c r="F12" s="179">
        <v>6199</v>
      </c>
      <c r="G12" s="179">
        <v>6297</v>
      </c>
      <c r="H12" s="179">
        <v>7072</v>
      </c>
      <c r="I12" s="180">
        <v>8278</v>
      </c>
    </row>
    <row r="13" spans="1:9" ht="15" thickBot="1" x14ac:dyDescent="0.4">
      <c r="A13" s="145"/>
      <c r="B13" s="181" t="s">
        <v>196</v>
      </c>
      <c r="C13" s="167"/>
      <c r="D13" s="178"/>
      <c r="E13" s="182">
        <f>E11/AVERAGE(D12:E12)</f>
        <v>1.7842011482874678</v>
      </c>
      <c r="F13" s="182">
        <f t="shared" ref="F13:I13" si="1">F11/AVERAGE(E12:F12)</f>
        <v>2.1923006078467488</v>
      </c>
      <c r="G13" s="182">
        <f t="shared" si="1"/>
        <v>2.2424775928297054</v>
      </c>
      <c r="H13" s="182">
        <f t="shared" si="1"/>
        <v>2.2718228738125514</v>
      </c>
      <c r="I13" s="183">
        <f t="shared" si="1"/>
        <v>2.1222149837133553</v>
      </c>
    </row>
    <row r="14" spans="1:9" ht="15" thickBot="1" x14ac:dyDescent="0.4">
      <c r="A14" s="145"/>
      <c r="B14" s="177"/>
      <c r="C14" s="167"/>
      <c r="D14" s="178"/>
      <c r="E14" s="179"/>
      <c r="F14" s="179"/>
      <c r="G14" s="179"/>
      <c r="H14" s="179"/>
      <c r="I14" s="180"/>
    </row>
    <row r="15" spans="1:9" x14ac:dyDescent="0.35">
      <c r="A15" s="145"/>
      <c r="B15" s="173" t="s">
        <v>137</v>
      </c>
      <c r="C15" s="167"/>
      <c r="D15" s="178">
        <v>2269</v>
      </c>
      <c r="E15" s="179">
        <v>2321</v>
      </c>
      <c r="F15" s="179">
        <v>3042</v>
      </c>
      <c r="G15" s="179">
        <v>3191</v>
      </c>
      <c r="H15" s="179">
        <v>2966</v>
      </c>
      <c r="I15" s="180">
        <v>3321</v>
      </c>
    </row>
    <row r="16" spans="1:9" ht="15" thickBot="1" x14ac:dyDescent="0.4">
      <c r="A16" s="145"/>
      <c r="B16" s="181" t="s">
        <v>197</v>
      </c>
      <c r="C16" s="184"/>
      <c r="D16" s="185"/>
      <c r="E16" s="186">
        <f>E11/AVERAGE(D15:E15)</f>
        <v>3.9267973856209148</v>
      </c>
      <c r="F16" s="186">
        <f t="shared" ref="F16:I16" si="2">F11/AVERAGE(E15:F15)</f>
        <v>4.4385605071788179</v>
      </c>
      <c r="G16" s="186">
        <f t="shared" si="2"/>
        <v>4.4957484357452273</v>
      </c>
      <c r="H16" s="186">
        <f t="shared" si="2"/>
        <v>4.9329218775377619</v>
      </c>
      <c r="I16" s="187">
        <f t="shared" si="2"/>
        <v>5.181485605217115</v>
      </c>
    </row>
    <row r="17" spans="1:9" ht="15" thickBot="1" x14ac:dyDescent="0.4">
      <c r="A17" s="145"/>
      <c r="B17" s="141"/>
    </row>
    <row r="18" spans="1:9" x14ac:dyDescent="0.35">
      <c r="A18" s="145" t="s">
        <v>263</v>
      </c>
      <c r="B18" s="173" t="s">
        <v>198</v>
      </c>
      <c r="C18" s="169"/>
      <c r="D18" s="169"/>
      <c r="E18" s="174">
        <v>14550</v>
      </c>
      <c r="F18" s="175">
        <v>15759</v>
      </c>
      <c r="G18" s="175">
        <v>17033</v>
      </c>
      <c r="H18" s="175">
        <v>18672</v>
      </c>
      <c r="I18" s="176">
        <v>19676</v>
      </c>
    </row>
    <row r="19" spans="1:9" x14ac:dyDescent="0.35">
      <c r="A19" s="145"/>
      <c r="B19" s="177" t="s">
        <v>130</v>
      </c>
      <c r="C19" s="167"/>
      <c r="D19" s="167"/>
      <c r="E19" s="178">
        <v>1104</v>
      </c>
      <c r="F19" s="179">
        <v>3250</v>
      </c>
      <c r="G19" s="179">
        <v>4147</v>
      </c>
      <c r="H19" s="179">
        <v>5395</v>
      </c>
      <c r="I19" s="180">
        <v>5877</v>
      </c>
    </row>
    <row r="20" spans="1:9" ht="15" thickBot="1" x14ac:dyDescent="0.4">
      <c r="A20" s="145"/>
      <c r="B20" s="181" t="s">
        <v>199</v>
      </c>
      <c r="C20" s="167"/>
      <c r="D20" s="167"/>
      <c r="E20" s="188">
        <f>E19/E18</f>
        <v>7.5876288659793817E-2</v>
      </c>
      <c r="F20" s="189">
        <f t="shared" ref="F20:I20" si="3">F19/F18</f>
        <v>0.20623135985785901</v>
      </c>
      <c r="G20" s="189">
        <f t="shared" si="3"/>
        <v>0.24346856102859155</v>
      </c>
      <c r="H20" s="189">
        <f t="shared" si="3"/>
        <v>0.28893530419880037</v>
      </c>
      <c r="I20" s="190">
        <f t="shared" si="3"/>
        <v>0.29868875787761739</v>
      </c>
    </row>
    <row r="21" spans="1:9" ht="15" thickBot="1" x14ac:dyDescent="0.4">
      <c r="A21" s="145"/>
      <c r="B21" s="191"/>
      <c r="C21" s="167"/>
      <c r="D21" s="167"/>
      <c r="E21" s="178"/>
      <c r="F21" s="179"/>
      <c r="G21" s="179"/>
      <c r="H21" s="179"/>
      <c r="I21" s="180"/>
    </row>
    <row r="22" spans="1:9" x14ac:dyDescent="0.35">
      <c r="A22" s="145"/>
      <c r="B22" s="173" t="s">
        <v>201</v>
      </c>
      <c r="C22" s="167"/>
      <c r="D22" s="167"/>
      <c r="E22" s="178">
        <v>26417</v>
      </c>
      <c r="F22" s="179">
        <v>28945</v>
      </c>
      <c r="G22" s="179">
        <v>29983</v>
      </c>
      <c r="H22" s="179">
        <v>32736</v>
      </c>
      <c r="I22" s="180">
        <v>34714</v>
      </c>
    </row>
    <row r="23" spans="1:9" ht="15" thickBot="1" x14ac:dyDescent="0.4">
      <c r="A23" s="145"/>
      <c r="B23" s="181" t="s">
        <v>200</v>
      </c>
      <c r="C23" s="184"/>
      <c r="D23" s="184"/>
      <c r="E23" s="192">
        <f>E19/E22</f>
        <v>4.1791270772608545E-2</v>
      </c>
      <c r="F23" s="193">
        <f t="shared" ref="F23:I23" si="4">F19/F22</f>
        <v>0.11228191397477975</v>
      </c>
      <c r="G23" s="193">
        <f t="shared" si="4"/>
        <v>0.13831170996898243</v>
      </c>
      <c r="H23" s="193">
        <f t="shared" si="4"/>
        <v>0.16480327468230693</v>
      </c>
      <c r="I23" s="194">
        <f t="shared" si="4"/>
        <v>0.16929768969291928</v>
      </c>
    </row>
    <row r="24" spans="1:9" ht="15" thickBot="1" x14ac:dyDescent="0.4">
      <c r="A24" s="145"/>
      <c r="B24" s="141"/>
      <c r="E24" s="140"/>
      <c r="F24" s="140"/>
      <c r="G24" s="140"/>
      <c r="H24" s="140"/>
      <c r="I24" s="140"/>
    </row>
    <row r="25" spans="1:9" ht="14.5" customHeight="1" x14ac:dyDescent="0.35">
      <c r="A25" s="145"/>
      <c r="B25" s="520" t="s">
        <v>206</v>
      </c>
      <c r="C25" s="521"/>
      <c r="D25" s="521"/>
      <c r="E25" s="521"/>
      <c r="F25" s="521"/>
      <c r="G25" s="521"/>
      <c r="H25" s="521"/>
      <c r="I25" s="522"/>
    </row>
    <row r="26" spans="1:9" x14ac:dyDescent="0.35">
      <c r="A26" s="145"/>
      <c r="B26" s="523"/>
      <c r="C26" s="524"/>
      <c r="D26" s="524"/>
      <c r="E26" s="524"/>
      <c r="F26" s="524"/>
      <c r="G26" s="524"/>
      <c r="H26" s="524"/>
      <c r="I26" s="525"/>
    </row>
    <row r="27" spans="1:9" x14ac:dyDescent="0.35">
      <c r="A27" s="145"/>
      <c r="B27" s="523"/>
      <c r="C27" s="524"/>
      <c r="D27" s="524"/>
      <c r="E27" s="524"/>
      <c r="F27" s="524"/>
      <c r="G27" s="524"/>
      <c r="H27" s="524"/>
      <c r="I27" s="525"/>
    </row>
    <row r="28" spans="1:9" x14ac:dyDescent="0.35">
      <c r="A28" s="145"/>
      <c r="B28" s="523"/>
      <c r="C28" s="524"/>
      <c r="D28" s="524"/>
      <c r="E28" s="524"/>
      <c r="F28" s="524"/>
      <c r="G28" s="524"/>
      <c r="H28" s="524"/>
      <c r="I28" s="525"/>
    </row>
    <row r="29" spans="1:9" ht="15" thickBot="1" x14ac:dyDescent="0.4">
      <c r="A29" s="145"/>
      <c r="B29" s="526"/>
      <c r="C29" s="527"/>
      <c r="D29" s="527"/>
      <c r="E29" s="527"/>
      <c r="F29" s="527"/>
      <c r="G29" s="527"/>
      <c r="H29" s="527"/>
      <c r="I29" s="528"/>
    </row>
    <row r="30" spans="1:9" ht="15" thickBot="1" x14ac:dyDescent="0.4">
      <c r="A30" s="145"/>
      <c r="B30" s="142"/>
      <c r="C30" s="142"/>
      <c r="D30" s="142"/>
      <c r="E30" s="142"/>
      <c r="F30" s="142"/>
      <c r="G30" s="142"/>
      <c r="H30" s="142"/>
      <c r="I30" s="142"/>
    </row>
    <row r="31" spans="1:9" ht="15" thickBot="1" x14ac:dyDescent="0.4">
      <c r="A31" s="145"/>
      <c r="E31" s="195">
        <f t="shared" ref="E31:I31" si="5">E6</f>
        <v>2020</v>
      </c>
      <c r="F31" s="196">
        <f t="shared" si="5"/>
        <v>2021</v>
      </c>
      <c r="G31" s="196">
        <f t="shared" si="5"/>
        <v>2022</v>
      </c>
      <c r="H31" s="196">
        <f t="shared" si="5"/>
        <v>2023</v>
      </c>
      <c r="I31" s="197">
        <f t="shared" si="5"/>
        <v>2024</v>
      </c>
    </row>
    <row r="32" spans="1:9" x14ac:dyDescent="0.35">
      <c r="A32" s="145" t="s">
        <v>264</v>
      </c>
      <c r="B32" s="207" t="s">
        <v>202</v>
      </c>
      <c r="C32" s="175"/>
      <c r="D32" s="208"/>
      <c r="E32" s="198">
        <f>365/E16</f>
        <v>92.951065246338217</v>
      </c>
      <c r="F32" s="199">
        <f t="shared" ref="F32:I32" si="6">365/F16</f>
        <v>82.233868257435731</v>
      </c>
      <c r="G32" s="199">
        <f t="shared" si="6"/>
        <v>81.187816715437862</v>
      </c>
      <c r="H32" s="199">
        <f t="shared" si="6"/>
        <v>73.992657711049645</v>
      </c>
      <c r="I32" s="200">
        <f t="shared" si="6"/>
        <v>70.443117632612967</v>
      </c>
    </row>
    <row r="33" spans="1:12" x14ac:dyDescent="0.35">
      <c r="A33" s="145"/>
      <c r="B33" s="209" t="s">
        <v>203</v>
      </c>
      <c r="C33" s="179"/>
      <c r="D33" s="210"/>
      <c r="E33" s="201">
        <f>365/E9</f>
        <v>13.37307616900304</v>
      </c>
      <c r="F33" s="202">
        <f t="shared" ref="F33:I33" si="7">365/F9</f>
        <v>10.252291095396162</v>
      </c>
      <c r="G33" s="202">
        <f t="shared" si="7"/>
        <v>9.4867051490681309</v>
      </c>
      <c r="H33" s="202">
        <f t="shared" si="7"/>
        <v>9.5902996077558633</v>
      </c>
      <c r="I33" s="203">
        <f t="shared" si="7"/>
        <v>10.043357838061711</v>
      </c>
    </row>
    <row r="34" spans="1:12" x14ac:dyDescent="0.35">
      <c r="A34" s="145"/>
      <c r="B34" s="209" t="s">
        <v>204</v>
      </c>
      <c r="C34" s="179"/>
      <c r="D34" s="210"/>
      <c r="E34" s="201">
        <f>365/E13</f>
        <v>204.57334664891258</v>
      </c>
      <c r="F34" s="202">
        <f t="shared" ref="F34:I34" si="8">365/F13</f>
        <v>166.49176608973283</v>
      </c>
      <c r="G34" s="202">
        <f t="shared" si="8"/>
        <v>162.76639783027622</v>
      </c>
      <c r="H34" s="202">
        <f t="shared" si="8"/>
        <v>160.66393388647438</v>
      </c>
      <c r="I34" s="203">
        <f t="shared" si="8"/>
        <v>171.99011542239683</v>
      </c>
    </row>
    <row r="35" spans="1:12" ht="15" thickBot="1" x14ac:dyDescent="0.4">
      <c r="A35" s="145"/>
      <c r="B35" s="211" t="s">
        <v>205</v>
      </c>
      <c r="C35" s="212"/>
      <c r="D35" s="213"/>
      <c r="E35" s="204">
        <f>E32+E33-E34</f>
        <v>-98.249205233571317</v>
      </c>
      <c r="F35" s="205">
        <f t="shared" ref="F35:I35" si="9">F32+F33-F34</f>
        <v>-74.005606736900944</v>
      </c>
      <c r="G35" s="205">
        <f t="shared" si="9"/>
        <v>-72.091875965770228</v>
      </c>
      <c r="H35" s="205">
        <f t="shared" si="9"/>
        <v>-77.08097656766887</v>
      </c>
      <c r="I35" s="206">
        <f t="shared" si="9"/>
        <v>-91.50363995172215</v>
      </c>
    </row>
    <row r="36" spans="1:12" ht="15" thickBot="1" x14ac:dyDescent="0.4">
      <c r="A36" s="145"/>
      <c r="B36" s="141"/>
      <c r="E36" s="143"/>
      <c r="F36" s="143"/>
      <c r="G36" s="143"/>
      <c r="H36" s="143"/>
      <c r="I36" s="143"/>
    </row>
    <row r="37" spans="1:12" x14ac:dyDescent="0.35">
      <c r="A37" s="145" t="s">
        <v>265</v>
      </c>
      <c r="B37" s="529" t="s">
        <v>207</v>
      </c>
      <c r="C37" s="530"/>
      <c r="D37" s="530"/>
      <c r="E37" s="530"/>
      <c r="F37" s="530"/>
      <c r="G37" s="530"/>
      <c r="H37" s="530"/>
      <c r="I37" s="531"/>
    </row>
    <row r="38" spans="1:12" ht="14.5" customHeight="1" x14ac:dyDescent="0.35">
      <c r="A38" s="145"/>
      <c r="B38" s="532"/>
      <c r="C38" s="533"/>
      <c r="D38" s="533"/>
      <c r="E38" s="533"/>
      <c r="F38" s="533"/>
      <c r="G38" s="533"/>
      <c r="H38" s="533"/>
      <c r="I38" s="534"/>
    </row>
    <row r="39" spans="1:12" x14ac:dyDescent="0.35">
      <c r="A39" s="145"/>
      <c r="B39" s="532"/>
      <c r="C39" s="533"/>
      <c r="D39" s="533"/>
      <c r="E39" s="533"/>
      <c r="F39" s="533"/>
      <c r="G39" s="533"/>
      <c r="H39" s="533"/>
      <c r="I39" s="534"/>
    </row>
    <row r="40" spans="1:12" x14ac:dyDescent="0.35">
      <c r="A40" s="145"/>
      <c r="B40" s="532"/>
      <c r="C40" s="533"/>
      <c r="D40" s="533"/>
      <c r="E40" s="533"/>
      <c r="F40" s="533"/>
      <c r="G40" s="533"/>
      <c r="H40" s="533"/>
      <c r="I40" s="534"/>
    </row>
    <row r="41" spans="1:12" x14ac:dyDescent="0.35">
      <c r="A41" s="145"/>
      <c r="B41" s="532"/>
      <c r="C41" s="533"/>
      <c r="D41" s="533"/>
      <c r="E41" s="533"/>
      <c r="F41" s="533"/>
      <c r="G41" s="533"/>
      <c r="H41" s="533"/>
      <c r="I41" s="534"/>
    </row>
    <row r="42" spans="1:12" x14ac:dyDescent="0.35">
      <c r="A42" s="145"/>
      <c r="B42" s="532"/>
      <c r="C42" s="533"/>
      <c r="D42" s="533"/>
      <c r="E42" s="533"/>
      <c r="F42" s="533"/>
      <c r="G42" s="533"/>
      <c r="H42" s="533"/>
      <c r="I42" s="534"/>
    </row>
    <row r="43" spans="1:12" ht="15" thickBot="1" x14ac:dyDescent="0.4">
      <c r="A43" s="145"/>
      <c r="B43" s="535"/>
      <c r="C43" s="536"/>
      <c r="D43" s="536"/>
      <c r="E43" s="536"/>
      <c r="F43" s="536"/>
      <c r="G43" s="536"/>
      <c r="H43" s="536"/>
      <c r="I43" s="537"/>
    </row>
    <row r="44" spans="1:12" x14ac:dyDescent="0.35">
      <c r="A44" s="145"/>
    </row>
    <row r="45" spans="1:12" ht="15" thickBot="1" x14ac:dyDescent="0.4">
      <c r="A45" s="145"/>
    </row>
    <row r="46" spans="1:12" ht="15" thickBot="1" x14ac:dyDescent="0.4">
      <c r="A46" s="145" t="s">
        <v>266</v>
      </c>
      <c r="B46" s="170" t="s">
        <v>218</v>
      </c>
      <c r="C46" s="214">
        <v>2020</v>
      </c>
      <c r="D46" s="215">
        <v>2021</v>
      </c>
      <c r="E46" s="215">
        <v>2022</v>
      </c>
      <c r="F46" s="215">
        <v>2023</v>
      </c>
      <c r="G46" s="216">
        <v>2024</v>
      </c>
      <c r="H46" s="217">
        <v>2025</v>
      </c>
      <c r="I46" s="215">
        <v>2026</v>
      </c>
      <c r="J46" s="215">
        <v>2027</v>
      </c>
      <c r="K46" s="215">
        <v>2028</v>
      </c>
      <c r="L46" s="216">
        <v>2029</v>
      </c>
    </row>
    <row r="47" spans="1:12" x14ac:dyDescent="0.35">
      <c r="A47" s="145"/>
      <c r="B47" s="218" t="str">
        <f>'Inditex IS'!B26</f>
        <v>Zara / Zara Home</v>
      </c>
      <c r="C47" s="174">
        <f>'Inditex IS'!F26</f>
        <v>14234</v>
      </c>
      <c r="D47" s="175">
        <f>'Inditex IS'!G26</f>
        <v>19714</v>
      </c>
      <c r="E47" s="175">
        <f>'Inditex IS'!H26</f>
        <v>23902</v>
      </c>
      <c r="F47" s="175">
        <f>'Inditex IS'!I26</f>
        <v>26208</v>
      </c>
      <c r="G47" s="176">
        <f>'Inditex IS'!J26</f>
        <v>27959</v>
      </c>
      <c r="H47" s="219">
        <f>'Inditex IS'!K26</f>
        <v>32586.600000000559</v>
      </c>
      <c r="I47" s="175">
        <f>'Inditex IS'!L26</f>
        <v>35981.000000000931</v>
      </c>
      <c r="J47" s="175">
        <f>'Inditex IS'!M26</f>
        <v>39375.400000000373</v>
      </c>
      <c r="K47" s="175">
        <f>'Inditex IS'!N26</f>
        <v>42769.800000000745</v>
      </c>
      <c r="L47" s="176">
        <f>'Inditex IS'!O26</f>
        <v>46164.200000001118</v>
      </c>
    </row>
    <row r="48" spans="1:12" x14ac:dyDescent="0.35">
      <c r="A48" s="145"/>
      <c r="B48" s="220" t="str">
        <f>'Inditex IS'!B27</f>
        <v>Bershka</v>
      </c>
      <c r="C48" s="178">
        <f>'Inditex IS'!F27</f>
        <v>1773</v>
      </c>
      <c r="D48" s="179">
        <f>'Inditex IS'!G27</f>
        <v>2178</v>
      </c>
      <c r="E48" s="179">
        <f>'Inditex IS'!H27</f>
        <v>2396</v>
      </c>
      <c r="F48" s="179">
        <f>'Inditex IS'!I27</f>
        <v>2634</v>
      </c>
      <c r="G48" s="180">
        <f>'Inditex IS'!J27</f>
        <v>2941</v>
      </c>
      <c r="H48" s="221">
        <f>'Inditex IS'!K27</f>
        <v>3222</v>
      </c>
      <c r="I48" s="179">
        <f>'Inditex IS'!L27</f>
        <v>3501.1999999999534</v>
      </c>
      <c r="J48" s="179">
        <f>'Inditex IS'!M27</f>
        <v>3780.4000000000233</v>
      </c>
      <c r="K48" s="179">
        <f>'Inditex IS'!N27</f>
        <v>4059.5999999999767</v>
      </c>
      <c r="L48" s="180">
        <f>'Inditex IS'!O27</f>
        <v>4338.7999999999302</v>
      </c>
    </row>
    <row r="49" spans="1:12" x14ac:dyDescent="0.35">
      <c r="A49" s="145"/>
      <c r="B49" s="220" t="str">
        <f>'Inditex IS'!B28</f>
        <v>Other</v>
      </c>
      <c r="C49" s="178">
        <f>'Inditex IS'!F28</f>
        <v>4503</v>
      </c>
      <c r="D49" s="179">
        <f>'Inditex IS'!G28</f>
        <v>5955</v>
      </c>
      <c r="E49" s="179">
        <f>'Inditex IS'!H28</f>
        <v>6451</v>
      </c>
      <c r="F49" s="179">
        <f>'Inditex IS'!I28</f>
        <v>7303</v>
      </c>
      <c r="G49" s="180">
        <f>'Inditex IS'!J28</f>
        <v>7948</v>
      </c>
      <c r="H49" s="221">
        <f>'Inditex IS'!K28</f>
        <v>8903.4000000001397</v>
      </c>
      <c r="I49" s="179">
        <f>'Inditex IS'!L28</f>
        <v>9727.1999999999534</v>
      </c>
      <c r="J49" s="179">
        <f>'Inditex IS'!M28</f>
        <v>10551</v>
      </c>
      <c r="K49" s="179">
        <f>'Inditex IS'!N28</f>
        <v>11374.800000000047</v>
      </c>
      <c r="L49" s="180">
        <f>'Inditex IS'!O28</f>
        <v>12198.600000000093</v>
      </c>
    </row>
    <row r="50" spans="1:12" x14ac:dyDescent="0.35">
      <c r="A50" s="145"/>
      <c r="B50" s="220" t="str">
        <f>'Inditex IS'!B29</f>
        <v>Inter-Segment</v>
      </c>
      <c r="C50" s="178">
        <f>'Inditex IS'!F29</f>
        <v>-108</v>
      </c>
      <c r="D50" s="179">
        <f>'Inditex IS'!G29</f>
        <v>-131</v>
      </c>
      <c r="E50" s="179">
        <f>'Inditex IS'!H29</f>
        <v>-180</v>
      </c>
      <c r="F50" s="179">
        <f>'Inditex IS'!I29</f>
        <v>-198</v>
      </c>
      <c r="G50" s="180">
        <f>'Inditex IS'!J29</f>
        <v>-216</v>
      </c>
      <c r="H50" s="221">
        <f>'Inditex IS'!K29</f>
        <v>-251.5</v>
      </c>
      <c r="I50" s="179">
        <f>'Inditex IS'!L29</f>
        <v>-279.80000000000291</v>
      </c>
      <c r="J50" s="179">
        <f>'Inditex IS'!M29</f>
        <v>-308.09999999999854</v>
      </c>
      <c r="K50" s="179">
        <f>'Inditex IS'!N29</f>
        <v>-336.40000000000146</v>
      </c>
      <c r="L50" s="180">
        <f>'Inditex IS'!O29</f>
        <v>-364.70000000000437</v>
      </c>
    </row>
    <row r="51" spans="1:12" ht="15" thickBot="1" x14ac:dyDescent="0.4">
      <c r="A51" s="145"/>
      <c r="B51" s="222" t="str">
        <f>'Inditex IS'!B30</f>
        <v>Total Sales</v>
      </c>
      <c r="C51" s="185">
        <f>'Inditex IS'!F30</f>
        <v>20402</v>
      </c>
      <c r="D51" s="212">
        <f>'Inditex IS'!G30</f>
        <v>27716</v>
      </c>
      <c r="E51" s="212">
        <f>'Inditex IS'!H30</f>
        <v>32569</v>
      </c>
      <c r="F51" s="212">
        <f>'Inditex IS'!I30</f>
        <v>35947</v>
      </c>
      <c r="G51" s="223">
        <f>'Inditex IS'!J30</f>
        <v>38632</v>
      </c>
      <c r="H51" s="224">
        <f>'Inditex IS'!K30</f>
        <v>44460.499999998137</v>
      </c>
      <c r="I51" s="212">
        <f>'Inditex IS'!L30</f>
        <v>48929.599999999627</v>
      </c>
      <c r="J51" s="212">
        <f>'Inditex IS'!M30</f>
        <v>53398.699999999255</v>
      </c>
      <c r="K51" s="212">
        <f>'Inditex IS'!N30</f>
        <v>57867.799999998882</v>
      </c>
      <c r="L51" s="223">
        <f>'Inditex IS'!O30</f>
        <v>62336.89999999851</v>
      </c>
    </row>
    <row r="52" spans="1:12" x14ac:dyDescent="0.35">
      <c r="A52" s="145"/>
      <c r="B52" s="218" t="s">
        <v>214</v>
      </c>
      <c r="C52" s="174">
        <f>'Inditex IS'!E9</f>
        <v>9012</v>
      </c>
      <c r="D52" s="175">
        <f>'Inditex IS'!F9</f>
        <v>11902</v>
      </c>
      <c r="E52" s="175">
        <f>'Inditex IS'!G9</f>
        <v>14011</v>
      </c>
      <c r="F52" s="175">
        <f>'Inditex IS'!H9</f>
        <v>15186</v>
      </c>
      <c r="G52" s="176">
        <f>'Inditex IS'!I9</f>
        <v>16288</v>
      </c>
      <c r="H52" s="219">
        <f>'Inditex IS'!J9</f>
        <v>18630.600000000093</v>
      </c>
      <c r="I52" s="175">
        <f>'Inditex IS'!K9</f>
        <v>20414.199999999721</v>
      </c>
      <c r="J52" s="175">
        <f>'Inditex IS'!L9</f>
        <v>22197.799999999814</v>
      </c>
      <c r="K52" s="175">
        <f>'Inditex IS'!M9</f>
        <v>23981.399999999907</v>
      </c>
      <c r="L52" s="176">
        <f>'Inditex IS'!N9</f>
        <v>25765</v>
      </c>
    </row>
    <row r="53" spans="1:12" x14ac:dyDescent="0.35">
      <c r="A53" s="145"/>
      <c r="B53" s="225" t="s">
        <v>231</v>
      </c>
      <c r="C53" s="178"/>
      <c r="D53" s="179"/>
      <c r="E53" s="179"/>
      <c r="F53" s="179"/>
      <c r="G53" s="180"/>
      <c r="H53" s="221"/>
      <c r="I53" s="179"/>
      <c r="J53" s="179"/>
      <c r="K53" s="179"/>
      <c r="L53" s="180"/>
    </row>
    <row r="54" spans="1:12" x14ac:dyDescent="0.35">
      <c r="A54" s="145"/>
      <c r="B54" s="220" t="s">
        <v>208</v>
      </c>
      <c r="C54" s="178">
        <f>(C47/C$51)*C$52</f>
        <v>6287.4624056465054</v>
      </c>
      <c r="D54" s="179">
        <f t="shared" ref="D54:G54" si="10">(D47/D$51)*D$52</f>
        <v>8465.7247799105207</v>
      </c>
      <c r="E54" s="179">
        <f t="shared" si="10"/>
        <v>10282.505511375848</v>
      </c>
      <c r="F54" s="179">
        <f t="shared" si="10"/>
        <v>11071.708014577016</v>
      </c>
      <c r="G54" s="180">
        <f t="shared" si="10"/>
        <v>11788.056326361566</v>
      </c>
      <c r="H54" s="221">
        <f t="shared" ref="H54:L54" si="11">(H47/H$51)*H$52</f>
        <v>13654.995107118428</v>
      </c>
      <c r="I54" s="179">
        <f t="shared" si="11"/>
        <v>15011.840076354898</v>
      </c>
      <c r="J54" s="179">
        <f t="shared" si="11"/>
        <v>16368.324586928391</v>
      </c>
      <c r="K54" s="179">
        <f t="shared" si="11"/>
        <v>17724.532152942287</v>
      </c>
      <c r="L54" s="180">
        <f t="shared" si="11"/>
        <v>19080.522339097024</v>
      </c>
    </row>
    <row r="55" spans="1:12" x14ac:dyDescent="0.35">
      <c r="A55" s="145"/>
      <c r="B55" s="220" t="s">
        <v>209</v>
      </c>
      <c r="C55" s="178">
        <f t="shared" ref="C55:G57" si="12">(C48/C$51)*C$52</f>
        <v>783.17204195667091</v>
      </c>
      <c r="D55" s="179">
        <f t="shared" si="12"/>
        <v>935.29210564294988</v>
      </c>
      <c r="E55" s="179">
        <f t="shared" si="12"/>
        <v>1030.7456784058461</v>
      </c>
      <c r="F55" s="179">
        <f t="shared" si="12"/>
        <v>1112.7472111720031</v>
      </c>
      <c r="G55" s="180">
        <f t="shared" si="12"/>
        <v>1239.9826050942224</v>
      </c>
      <c r="H55" s="221">
        <f t="shared" ref="H55:L55" si="13">(H48/H$51)*H$52</f>
        <v>1350.1376097885272</v>
      </c>
      <c r="I55" s="179">
        <f t="shared" si="13"/>
        <v>1460.7558009875129</v>
      </c>
      <c r="J55" s="179">
        <f t="shared" si="13"/>
        <v>1571.5094771970289</v>
      </c>
      <c r="K55" s="179">
        <f t="shared" si="13"/>
        <v>1682.3672481069084</v>
      </c>
      <c r="L55" s="180">
        <f t="shared" si="13"/>
        <v>1793.3067252301744</v>
      </c>
    </row>
    <row r="56" spans="1:12" x14ac:dyDescent="0.35">
      <c r="A56" s="145"/>
      <c r="B56" s="220" t="s">
        <v>210</v>
      </c>
      <c r="C56" s="178">
        <f t="shared" si="12"/>
        <v>1989.0714635820018</v>
      </c>
      <c r="D56" s="179">
        <f t="shared" si="12"/>
        <v>2557.2380574397457</v>
      </c>
      <c r="E56" s="179">
        <f t="shared" si="12"/>
        <v>2775.1837944057233</v>
      </c>
      <c r="F56" s="179">
        <f t="shared" si="12"/>
        <v>3085.1909199655047</v>
      </c>
      <c r="G56" s="180">
        <f t="shared" si="12"/>
        <v>3351.0308552495344</v>
      </c>
      <c r="H56" s="221">
        <f t="shared" ref="H56:L56" si="14">(H49/H$51)*H$52</f>
        <v>3730.8551194883185</v>
      </c>
      <c r="I56" s="179">
        <f t="shared" si="14"/>
        <v>4058.3410908733745</v>
      </c>
      <c r="J56" s="179">
        <f t="shared" si="14"/>
        <v>4386.0428774483516</v>
      </c>
      <c r="K56" s="179">
        <f t="shared" si="14"/>
        <v>4713.910477329453</v>
      </c>
      <c r="L56" s="180">
        <f t="shared" si="14"/>
        <v>5041.9082277111938</v>
      </c>
    </row>
    <row r="57" spans="1:12" x14ac:dyDescent="0.35">
      <c r="A57" s="145"/>
      <c r="B57" s="220" t="s">
        <v>211</v>
      </c>
      <c r="C57" s="178">
        <f t="shared" si="12"/>
        <v>-47.705911185177925</v>
      </c>
      <c r="D57" s="179">
        <f t="shared" si="12"/>
        <v>-56.254942993216915</v>
      </c>
      <c r="E57" s="179">
        <f t="shared" si="12"/>
        <v>-77.434984187417484</v>
      </c>
      <c r="F57" s="179">
        <f t="shared" si="12"/>
        <v>-83.646145714524152</v>
      </c>
      <c r="G57" s="180">
        <f t="shared" si="12"/>
        <v>-91.069786705322016</v>
      </c>
      <c r="H57" s="221">
        <f t="shared" ref="H57:L57" si="15">(H50/H$51)*H$52</f>
        <v>-105.38783639410757</v>
      </c>
      <c r="I57" s="179">
        <f t="shared" si="15"/>
        <v>-116.73696821555919</v>
      </c>
      <c r="J57" s="179">
        <f t="shared" si="15"/>
        <v>-128.07694157348411</v>
      </c>
      <c r="K57" s="179">
        <f t="shared" si="15"/>
        <v>-139.40987837796078</v>
      </c>
      <c r="L57" s="180">
        <f t="shared" si="15"/>
        <v>-150.73729203730593</v>
      </c>
    </row>
    <row r="58" spans="1:12" ht="15" thickBot="1" x14ac:dyDescent="0.4">
      <c r="A58" s="145"/>
      <c r="B58" s="222" t="s">
        <v>215</v>
      </c>
      <c r="C58" s="185">
        <f>SUM(C54:C57)</f>
        <v>9012</v>
      </c>
      <c r="D58" s="212">
        <f t="shared" ref="D58:G58" si="16">SUM(D54:D57)</f>
        <v>11901.999999999998</v>
      </c>
      <c r="E58" s="212">
        <f t="shared" si="16"/>
        <v>14011</v>
      </c>
      <c r="F58" s="212">
        <f t="shared" si="16"/>
        <v>15186</v>
      </c>
      <c r="G58" s="223">
        <f t="shared" si="16"/>
        <v>16288.000000000002</v>
      </c>
      <c r="H58" s="224">
        <f>SUM(H54:H57)</f>
        <v>18630.600000001166</v>
      </c>
      <c r="I58" s="212">
        <f>SUM(I54:I57)</f>
        <v>20414.200000000226</v>
      </c>
      <c r="J58" s="212">
        <f>SUM(J54:J57)</f>
        <v>22197.800000000287</v>
      </c>
      <c r="K58" s="212">
        <f>SUM(K54:K57)</f>
        <v>23981.400000000689</v>
      </c>
      <c r="L58" s="223">
        <f>SUM(L54:L57)</f>
        <v>25765.000000001088</v>
      </c>
    </row>
    <row r="59" spans="1:12" x14ac:dyDescent="0.35">
      <c r="A59" s="145"/>
      <c r="B59" s="226" t="s">
        <v>216</v>
      </c>
      <c r="C59" s="227">
        <f>'Inditex IS'!E10</f>
        <v>11390</v>
      </c>
      <c r="D59" s="228">
        <f>'Inditex IS'!F10</f>
        <v>15814</v>
      </c>
      <c r="E59" s="228">
        <f>'Inditex IS'!G10</f>
        <v>18558</v>
      </c>
      <c r="F59" s="228">
        <f>'Inditex IS'!H10</f>
        <v>20761</v>
      </c>
      <c r="G59" s="229">
        <f>'Inditex IS'!I10</f>
        <v>22344</v>
      </c>
      <c r="H59" s="230">
        <f>'Inditex IS'!J10</f>
        <v>25829.899999998044</v>
      </c>
      <c r="I59" s="228">
        <f>'Inditex IS'!K10</f>
        <v>28515.399999999907</v>
      </c>
      <c r="J59" s="228">
        <f>'Inditex IS'!L10</f>
        <v>31200.899999999441</v>
      </c>
      <c r="K59" s="228">
        <f>'Inditex IS'!M10</f>
        <v>33886.399999998976</v>
      </c>
      <c r="L59" s="229">
        <f>'Inditex IS'!N10</f>
        <v>36571.89999999851</v>
      </c>
    </row>
    <row r="60" spans="1:12" x14ac:dyDescent="0.35">
      <c r="A60" s="145"/>
      <c r="B60" s="225" t="s">
        <v>217</v>
      </c>
      <c r="C60" s="178"/>
      <c r="D60" s="179"/>
      <c r="E60" s="179"/>
      <c r="F60" s="179"/>
      <c r="G60" s="180"/>
      <c r="H60" s="221"/>
      <c r="I60" s="179"/>
      <c r="J60" s="179"/>
      <c r="K60" s="179"/>
      <c r="L60" s="180"/>
    </row>
    <row r="61" spans="1:12" x14ac:dyDescent="0.35">
      <c r="A61" s="145"/>
      <c r="B61" s="220" t="s">
        <v>208</v>
      </c>
      <c r="C61" s="178">
        <f>C47-C54</f>
        <v>7946.5375943534946</v>
      </c>
      <c r="D61" s="179">
        <f t="shared" ref="D61:L61" si="17">D47-D54</f>
        <v>11248.275220089479</v>
      </c>
      <c r="E61" s="179">
        <f t="shared" si="17"/>
        <v>13619.494488624152</v>
      </c>
      <c r="F61" s="179">
        <f t="shared" si="17"/>
        <v>15136.291985422984</v>
      </c>
      <c r="G61" s="180">
        <f t="shared" si="17"/>
        <v>16170.943673638434</v>
      </c>
      <c r="H61" s="221">
        <f t="shared" si="17"/>
        <v>18931.604892882133</v>
      </c>
      <c r="I61" s="179">
        <f t="shared" si="17"/>
        <v>20969.159923646032</v>
      </c>
      <c r="J61" s="179">
        <f t="shared" si="17"/>
        <v>23007.07541307198</v>
      </c>
      <c r="K61" s="179">
        <f t="shared" si="17"/>
        <v>25045.267847058458</v>
      </c>
      <c r="L61" s="180">
        <f t="shared" si="17"/>
        <v>27083.677660904093</v>
      </c>
    </row>
    <row r="62" spans="1:12" x14ac:dyDescent="0.35">
      <c r="A62" s="145"/>
      <c r="B62" s="220" t="s">
        <v>209</v>
      </c>
      <c r="C62" s="178">
        <f t="shared" ref="C62:L62" si="18">C48-C55</f>
        <v>989.82795804332909</v>
      </c>
      <c r="D62" s="179">
        <f t="shared" si="18"/>
        <v>1242.70789435705</v>
      </c>
      <c r="E62" s="179">
        <f t="shared" si="18"/>
        <v>1365.2543215941539</v>
      </c>
      <c r="F62" s="179">
        <f t="shared" si="18"/>
        <v>1521.2527888279969</v>
      </c>
      <c r="G62" s="180">
        <f t="shared" si="18"/>
        <v>1701.0173949057776</v>
      </c>
      <c r="H62" s="221">
        <f t="shared" si="18"/>
        <v>1871.8623902114728</v>
      </c>
      <c r="I62" s="179">
        <f t="shared" si="18"/>
        <v>2040.4441990124405</v>
      </c>
      <c r="J62" s="179">
        <f t="shared" si="18"/>
        <v>2208.8905228029944</v>
      </c>
      <c r="K62" s="179">
        <f t="shared" si="18"/>
        <v>2377.2327518930683</v>
      </c>
      <c r="L62" s="180">
        <f t="shared" si="18"/>
        <v>2545.4932747697558</v>
      </c>
    </row>
    <row r="63" spans="1:12" x14ac:dyDescent="0.35">
      <c r="A63" s="145"/>
      <c r="B63" s="220" t="s">
        <v>210</v>
      </c>
      <c r="C63" s="178">
        <f t="shared" ref="C63:L63" si="19">C49-C56</f>
        <v>2513.9285364179982</v>
      </c>
      <c r="D63" s="179">
        <f t="shared" si="19"/>
        <v>3397.7619425602543</v>
      </c>
      <c r="E63" s="179">
        <f t="shared" si="19"/>
        <v>3675.8162055942767</v>
      </c>
      <c r="F63" s="179">
        <f t="shared" si="19"/>
        <v>4217.8090800344953</v>
      </c>
      <c r="G63" s="180">
        <f t="shared" si="19"/>
        <v>4596.9691447504656</v>
      </c>
      <c r="H63" s="221">
        <f t="shared" si="19"/>
        <v>5172.5448805118212</v>
      </c>
      <c r="I63" s="179">
        <f t="shared" si="19"/>
        <v>5668.8589091265785</v>
      </c>
      <c r="J63" s="179">
        <f t="shared" si="19"/>
        <v>6164.9571225516484</v>
      </c>
      <c r="K63" s="179">
        <f t="shared" si="19"/>
        <v>6660.8895226705936</v>
      </c>
      <c r="L63" s="180">
        <f t="shared" si="19"/>
        <v>7156.6917722888993</v>
      </c>
    </row>
    <row r="64" spans="1:12" x14ac:dyDescent="0.35">
      <c r="A64" s="145"/>
      <c r="B64" s="220" t="s">
        <v>211</v>
      </c>
      <c r="C64" s="178">
        <f t="shared" ref="C64:L64" si="20">C50-C57</f>
        <v>-60.294088814822075</v>
      </c>
      <c r="D64" s="179">
        <f t="shared" si="20"/>
        <v>-74.745057006783085</v>
      </c>
      <c r="E64" s="179">
        <f t="shared" si="20"/>
        <v>-102.56501581258252</v>
      </c>
      <c r="F64" s="179">
        <f t="shared" si="20"/>
        <v>-114.35385428547585</v>
      </c>
      <c r="G64" s="180">
        <f t="shared" si="20"/>
        <v>-124.93021329467798</v>
      </c>
      <c r="H64" s="221">
        <f t="shared" si="20"/>
        <v>-146.11216360589242</v>
      </c>
      <c r="I64" s="179">
        <f t="shared" si="20"/>
        <v>-163.06303178444372</v>
      </c>
      <c r="J64" s="179">
        <f t="shared" si="20"/>
        <v>-180.02305842651444</v>
      </c>
      <c r="K64" s="179">
        <f t="shared" si="20"/>
        <v>-196.99012162204068</v>
      </c>
      <c r="L64" s="180">
        <f t="shared" si="20"/>
        <v>-213.96270796269843</v>
      </c>
    </row>
    <row r="65" spans="1:12" ht="15" thickBot="1" x14ac:dyDescent="0.4">
      <c r="A65" s="145"/>
      <c r="B65" s="231" t="s">
        <v>121</v>
      </c>
      <c r="C65" s="232">
        <f>SUM(C61:C64)</f>
        <v>11389.999999999998</v>
      </c>
      <c r="D65" s="233">
        <f t="shared" ref="D65:L65" si="21">SUM(D61:D64)</f>
        <v>15814.000000000002</v>
      </c>
      <c r="E65" s="233">
        <f t="shared" si="21"/>
        <v>18558</v>
      </c>
      <c r="F65" s="233">
        <f t="shared" si="21"/>
        <v>20761</v>
      </c>
      <c r="G65" s="234">
        <f t="shared" si="21"/>
        <v>22344</v>
      </c>
      <c r="H65" s="235">
        <f t="shared" si="21"/>
        <v>25829.899999999536</v>
      </c>
      <c r="I65" s="233">
        <f t="shared" si="21"/>
        <v>28515.400000000605</v>
      </c>
      <c r="J65" s="233">
        <f t="shared" si="21"/>
        <v>31200.900000000107</v>
      </c>
      <c r="K65" s="233">
        <f t="shared" si="21"/>
        <v>33886.400000000081</v>
      </c>
      <c r="L65" s="234">
        <f t="shared" si="21"/>
        <v>36571.900000000052</v>
      </c>
    </row>
    <row r="66" spans="1:12" x14ac:dyDescent="0.35">
      <c r="A66" s="145"/>
      <c r="B66" s="236"/>
      <c r="C66" s="174"/>
      <c r="D66" s="175"/>
      <c r="E66" s="175"/>
      <c r="F66" s="175"/>
      <c r="G66" s="176"/>
      <c r="H66" s="219"/>
      <c r="I66" s="175"/>
      <c r="J66" s="175"/>
      <c r="K66" s="175"/>
      <c r="L66" s="176"/>
    </row>
    <row r="67" spans="1:12" x14ac:dyDescent="0.35">
      <c r="A67" s="145"/>
      <c r="B67" s="220" t="s">
        <v>95</v>
      </c>
      <c r="C67" s="178">
        <f>C51</f>
        <v>20402</v>
      </c>
      <c r="D67" s="179">
        <f t="shared" ref="D67:L67" si="22">D51</f>
        <v>27716</v>
      </c>
      <c r="E67" s="179">
        <f t="shared" si="22"/>
        <v>32569</v>
      </c>
      <c r="F67" s="179">
        <f t="shared" si="22"/>
        <v>35947</v>
      </c>
      <c r="G67" s="180">
        <f t="shared" si="22"/>
        <v>38632</v>
      </c>
      <c r="H67" s="221">
        <f t="shared" si="22"/>
        <v>44460.499999998137</v>
      </c>
      <c r="I67" s="179">
        <f t="shared" si="22"/>
        <v>48929.599999999627</v>
      </c>
      <c r="J67" s="179">
        <f t="shared" si="22"/>
        <v>53398.699999999255</v>
      </c>
      <c r="K67" s="179">
        <f t="shared" si="22"/>
        <v>57867.799999998882</v>
      </c>
      <c r="L67" s="180">
        <f t="shared" si="22"/>
        <v>62336.89999999851</v>
      </c>
    </row>
    <row r="68" spans="1:12" x14ac:dyDescent="0.35">
      <c r="A68" s="145"/>
      <c r="B68" s="220" t="s">
        <v>221</v>
      </c>
      <c r="C68" s="178">
        <f>C65</f>
        <v>11389.999999999998</v>
      </c>
      <c r="D68" s="179">
        <f t="shared" ref="D68:L68" si="23">D65</f>
        <v>15814.000000000002</v>
      </c>
      <c r="E68" s="179">
        <f t="shared" si="23"/>
        <v>18558</v>
      </c>
      <c r="F68" s="179">
        <f t="shared" si="23"/>
        <v>20761</v>
      </c>
      <c r="G68" s="180">
        <f t="shared" si="23"/>
        <v>22344</v>
      </c>
      <c r="H68" s="221">
        <f t="shared" si="23"/>
        <v>25829.899999999536</v>
      </c>
      <c r="I68" s="179">
        <f t="shared" si="23"/>
        <v>28515.400000000605</v>
      </c>
      <c r="J68" s="179">
        <f t="shared" si="23"/>
        <v>31200.900000000107</v>
      </c>
      <c r="K68" s="179">
        <f t="shared" si="23"/>
        <v>33886.400000000081</v>
      </c>
      <c r="L68" s="180">
        <f t="shared" si="23"/>
        <v>36571.900000000052</v>
      </c>
    </row>
    <row r="69" spans="1:12" ht="15" thickBot="1" x14ac:dyDescent="0.4">
      <c r="A69" s="145"/>
      <c r="B69" s="222" t="s">
        <v>234</v>
      </c>
      <c r="C69" s="185">
        <f>'Inditex IS'!E16</f>
        <v>1507</v>
      </c>
      <c r="D69" s="212">
        <f>'Inditex IS'!F16</f>
        <v>4282</v>
      </c>
      <c r="E69" s="212">
        <f>'Inditex IS'!G16</f>
        <v>5520</v>
      </c>
      <c r="F69" s="212">
        <f>'Inditex IS'!H16</f>
        <v>6809</v>
      </c>
      <c r="G69" s="223">
        <f>'Inditex IS'!I16</f>
        <v>7555</v>
      </c>
      <c r="H69" s="224">
        <f>'Inditex IS'!J16</f>
        <v>9524.8999999980424</v>
      </c>
      <c r="I69" s="212">
        <f>'Inditex IS'!K16</f>
        <v>11027.000000000093</v>
      </c>
      <c r="J69" s="212">
        <f>'Inditex IS'!L16</f>
        <v>12529.099999999346</v>
      </c>
      <c r="K69" s="212">
        <f>'Inditex IS'!M16</f>
        <v>14031.199999999066</v>
      </c>
      <c r="L69" s="223">
        <f>'Inditex IS'!N16</f>
        <v>15533.299999998788</v>
      </c>
    </row>
    <row r="70" spans="1:12" x14ac:dyDescent="0.35">
      <c r="A70" s="145"/>
    </row>
    <row r="71" spans="1:12" ht="15" thickBot="1" x14ac:dyDescent="0.4">
      <c r="A71" s="145"/>
    </row>
    <row r="72" spans="1:12" ht="15" thickBot="1" x14ac:dyDescent="0.4">
      <c r="A72" s="145" t="s">
        <v>267</v>
      </c>
      <c r="B72" s="237"/>
      <c r="C72" s="238">
        <v>2020</v>
      </c>
      <c r="D72" s="239">
        <v>2021</v>
      </c>
      <c r="E72" s="239">
        <v>2022</v>
      </c>
      <c r="F72" s="239">
        <v>2023</v>
      </c>
      <c r="G72" s="240">
        <v>2024</v>
      </c>
      <c r="H72" s="241">
        <v>2025</v>
      </c>
      <c r="I72" s="239">
        <v>2026</v>
      </c>
      <c r="J72" s="239">
        <v>2027</v>
      </c>
      <c r="K72" s="239">
        <v>2028</v>
      </c>
      <c r="L72" s="240">
        <v>2029</v>
      </c>
    </row>
    <row r="73" spans="1:12" x14ac:dyDescent="0.35">
      <c r="A73" s="145"/>
      <c r="B73" s="242" t="s">
        <v>235</v>
      </c>
      <c r="C73" s="227">
        <f t="shared" ref="C73:L73" si="24">C69</f>
        <v>1507</v>
      </c>
      <c r="D73" s="228">
        <f t="shared" si="24"/>
        <v>4282</v>
      </c>
      <c r="E73" s="228">
        <f t="shared" si="24"/>
        <v>5520</v>
      </c>
      <c r="F73" s="228">
        <f t="shared" si="24"/>
        <v>6809</v>
      </c>
      <c r="G73" s="229">
        <f t="shared" si="24"/>
        <v>7555</v>
      </c>
      <c r="H73" s="230">
        <f t="shared" si="24"/>
        <v>9524.8999999980424</v>
      </c>
      <c r="I73" s="228">
        <f t="shared" si="24"/>
        <v>11027.000000000093</v>
      </c>
      <c r="J73" s="228">
        <f t="shared" si="24"/>
        <v>12529.099999999346</v>
      </c>
      <c r="K73" s="228">
        <f t="shared" si="24"/>
        <v>14031.199999999066</v>
      </c>
      <c r="L73" s="229">
        <f t="shared" si="24"/>
        <v>15533.299999998788</v>
      </c>
    </row>
    <row r="74" spans="1:12" x14ac:dyDescent="0.35">
      <c r="A74" s="145"/>
      <c r="B74" s="243" t="s">
        <v>236</v>
      </c>
      <c r="C74" s="178">
        <f>'Inditex IS'!E15</f>
        <v>3045</v>
      </c>
      <c r="D74" s="179">
        <f>'Inditex IS'!F15</f>
        <v>2901</v>
      </c>
      <c r="E74" s="179">
        <f>'Inditex IS'!G15</f>
        <v>2898</v>
      </c>
      <c r="F74" s="179">
        <f>'Inditex IS'!H15</f>
        <v>3041</v>
      </c>
      <c r="G74" s="180">
        <f>'Inditex IS'!I15</f>
        <v>3174</v>
      </c>
      <c r="H74" s="221">
        <f>'Inditex IS'!J15</f>
        <v>3174</v>
      </c>
      <c r="I74" s="179">
        <f>'Inditex IS'!K15</f>
        <v>3174</v>
      </c>
      <c r="J74" s="179">
        <f>'Inditex IS'!L15</f>
        <v>3174</v>
      </c>
      <c r="K74" s="179">
        <f>'Inditex IS'!M15</f>
        <v>3174</v>
      </c>
      <c r="L74" s="180">
        <f>'Inditex IS'!N15</f>
        <v>3174</v>
      </c>
    </row>
    <row r="75" spans="1:12" ht="15" thickBot="1" x14ac:dyDescent="0.4">
      <c r="A75" s="145"/>
      <c r="B75" s="244" t="s">
        <v>233</v>
      </c>
      <c r="C75" s="185">
        <f t="shared" ref="C75:L75" si="25">SUM(C73:C74)</f>
        <v>4552</v>
      </c>
      <c r="D75" s="212">
        <f t="shared" si="25"/>
        <v>7183</v>
      </c>
      <c r="E75" s="212">
        <f t="shared" si="25"/>
        <v>8418</v>
      </c>
      <c r="F75" s="212">
        <f t="shared" si="25"/>
        <v>9850</v>
      </c>
      <c r="G75" s="223">
        <f t="shared" si="25"/>
        <v>10729</v>
      </c>
      <c r="H75" s="224">
        <f t="shared" si="25"/>
        <v>12698.899999998042</v>
      </c>
      <c r="I75" s="212">
        <f t="shared" si="25"/>
        <v>14201.000000000093</v>
      </c>
      <c r="J75" s="212">
        <f t="shared" si="25"/>
        <v>15703.099999999346</v>
      </c>
      <c r="K75" s="212">
        <f t="shared" si="25"/>
        <v>17205.199999999066</v>
      </c>
      <c r="L75" s="223">
        <f t="shared" si="25"/>
        <v>18707.299999998788</v>
      </c>
    </row>
    <row r="76" spans="1:12" x14ac:dyDescent="0.35">
      <c r="A76" s="145"/>
      <c r="B76" s="11"/>
    </row>
    <row r="77" spans="1:12" ht="15" thickBot="1" x14ac:dyDescent="0.4">
      <c r="A77" s="145"/>
    </row>
    <row r="78" spans="1:12" ht="15" thickBot="1" x14ac:dyDescent="0.4">
      <c r="A78" s="145" t="s">
        <v>268</v>
      </c>
      <c r="B78" s="237"/>
      <c r="C78" s="245" t="s">
        <v>94</v>
      </c>
      <c r="D78" s="246"/>
    </row>
    <row r="79" spans="1:12" x14ac:dyDescent="0.35">
      <c r="A79" s="145"/>
      <c r="B79" s="237" t="s">
        <v>242</v>
      </c>
      <c r="C79" s="242" t="s">
        <v>250</v>
      </c>
      <c r="D79" s="247">
        <v>1.9709999999999998E-2</v>
      </c>
    </row>
    <row r="80" spans="1:12" x14ac:dyDescent="0.35">
      <c r="A80" s="145"/>
      <c r="B80" s="248" t="s">
        <v>248</v>
      </c>
      <c r="C80" s="243" t="s">
        <v>249</v>
      </c>
      <c r="D80" s="249">
        <v>5.5E-2</v>
      </c>
    </row>
    <row r="81" spans="1:8" ht="15" thickBot="1" x14ac:dyDescent="0.4">
      <c r="A81" s="145"/>
      <c r="B81" s="248" t="s">
        <v>252</v>
      </c>
      <c r="C81" s="250" t="s">
        <v>251</v>
      </c>
      <c r="D81" s="251">
        <v>1.1100000000000001</v>
      </c>
      <c r="H81" t="s">
        <v>247</v>
      </c>
    </row>
    <row r="82" spans="1:8" ht="15" thickBot="1" x14ac:dyDescent="0.4">
      <c r="A82" s="145"/>
      <c r="B82" s="195" t="s">
        <v>253</v>
      </c>
      <c r="C82" s="252"/>
      <c r="D82" s="253">
        <f>D79+D81*(D80-D79)</f>
        <v>5.8881900000000001E-2</v>
      </c>
    </row>
    <row r="83" spans="1:8" ht="15" thickBot="1" x14ac:dyDescent="0.4">
      <c r="A83" s="145"/>
      <c r="B83" s="195" t="s">
        <v>244</v>
      </c>
      <c r="C83" s="254" t="str">
        <f>_xlfn.CONCAT(B86," + 100 basis points")</f>
        <v>Weight of Debt + 100 basis points</v>
      </c>
      <c r="D83" s="253">
        <f>D79+1%</f>
        <v>2.971E-2</v>
      </c>
    </row>
    <row r="84" spans="1:8" x14ac:dyDescent="0.35">
      <c r="A84" s="145"/>
      <c r="B84" s="248" t="s">
        <v>243</v>
      </c>
      <c r="C84" s="250" t="s">
        <v>246</v>
      </c>
      <c r="D84" s="255">
        <f>AVERAGE('Inditex IS'!E23:I23)</f>
        <v>0.22061592056499349</v>
      </c>
    </row>
    <row r="85" spans="1:8" ht="15" thickBot="1" x14ac:dyDescent="0.4">
      <c r="A85" s="145"/>
      <c r="B85" s="248" t="s">
        <v>245</v>
      </c>
      <c r="C85" s="250"/>
      <c r="D85" s="256">
        <f>D83*(1-D84)</f>
        <v>2.3155501000014043E-2</v>
      </c>
    </row>
    <row r="86" spans="1:8" ht="15" thickBot="1" x14ac:dyDescent="0.4">
      <c r="A86" s="145"/>
      <c r="B86" s="257" t="s">
        <v>254</v>
      </c>
      <c r="C86" s="254" t="s">
        <v>259</v>
      </c>
      <c r="D86" s="258">
        <f>'Quick Answer View '!F62</f>
        <v>0.6</v>
      </c>
    </row>
    <row r="87" spans="1:8" ht="15" thickBot="1" x14ac:dyDescent="0.4">
      <c r="A87" s="145"/>
      <c r="B87" s="257" t="s">
        <v>255</v>
      </c>
      <c r="C87" s="254" t="s">
        <v>259</v>
      </c>
      <c r="D87" s="258">
        <f>'Quick Answer View '!F63</f>
        <v>0.4</v>
      </c>
    </row>
    <row r="88" spans="1:8" ht="29.5" customHeight="1" thickBot="1" x14ac:dyDescent="0.4">
      <c r="A88" s="145"/>
      <c r="B88" s="195" t="s">
        <v>256</v>
      </c>
      <c r="C88" s="259" t="s">
        <v>260</v>
      </c>
      <c r="D88" s="260">
        <f>(D86*D85)+(D87*D82)</f>
        <v>3.7446060600008428E-2</v>
      </c>
    </row>
    <row r="89" spans="1:8" ht="15" thickBot="1" x14ac:dyDescent="0.4">
      <c r="A89" s="145"/>
    </row>
    <row r="90" spans="1:8" ht="15" thickBot="1" x14ac:dyDescent="0.4">
      <c r="A90" s="145"/>
      <c r="B90" s="195" t="s">
        <v>257</v>
      </c>
      <c r="C90" s="254" t="s">
        <v>258</v>
      </c>
      <c r="D90" s="335">
        <v>0.03</v>
      </c>
    </row>
    <row r="91" spans="1:8" ht="15" thickBot="1" x14ac:dyDescent="0.4">
      <c r="A91" s="145"/>
    </row>
    <row r="92" spans="1:8" ht="15" thickBot="1" x14ac:dyDescent="0.4">
      <c r="A92" s="145" t="s">
        <v>269</v>
      </c>
      <c r="B92" s="252"/>
      <c r="C92" s="196">
        <v>2025</v>
      </c>
      <c r="D92" s="196">
        <v>2026</v>
      </c>
      <c r="E92" s="196">
        <v>2027</v>
      </c>
      <c r="F92" s="196">
        <v>2028</v>
      </c>
      <c r="G92" s="197">
        <v>2029</v>
      </c>
    </row>
    <row r="93" spans="1:8" x14ac:dyDescent="0.35">
      <c r="B93" s="261" t="str">
        <f>B75</f>
        <v>Free Cash Flow</v>
      </c>
      <c r="C93" s="236">
        <f>H75</f>
        <v>12698.899999998042</v>
      </c>
      <c r="D93" s="264">
        <f>I75</f>
        <v>14201.000000000093</v>
      </c>
      <c r="E93" s="264">
        <f>J75</f>
        <v>15703.099999999346</v>
      </c>
      <c r="F93" s="264">
        <f>K75</f>
        <v>17205.199999999066</v>
      </c>
      <c r="G93" s="265">
        <f>L75</f>
        <v>18707.299999998788</v>
      </c>
    </row>
    <row r="94" spans="1:8" ht="15" thickBot="1" x14ac:dyDescent="0.4">
      <c r="B94" s="262" t="s">
        <v>239</v>
      </c>
      <c r="C94" s="184">
        <f>C93</f>
        <v>12698.899999998042</v>
      </c>
      <c r="D94" s="184">
        <f>D93/(1+$D$88)^(D92-$C$92)</f>
        <v>13688.422501490752</v>
      </c>
      <c r="E94" s="184">
        <f t="shared" ref="E94:F94" si="26">E93/(1+$D$88)^(E92-$C$92)</f>
        <v>14589.96817313949</v>
      </c>
      <c r="F94" s="184">
        <f t="shared" si="26"/>
        <v>15408.598807956618</v>
      </c>
      <c r="G94" s="266">
        <f>G93/(1+$D$88)^(G92-$C$92)</f>
        <v>16149.125410658531</v>
      </c>
    </row>
    <row r="95" spans="1:8" x14ac:dyDescent="0.35">
      <c r="B95" s="261" t="s">
        <v>240</v>
      </c>
      <c r="C95" s="172">
        <f>SUM(C94:G94)</f>
        <v>72535.014893243424</v>
      </c>
    </row>
    <row r="96" spans="1:8" ht="15" thickBot="1" x14ac:dyDescent="0.4">
      <c r="B96" s="263" t="s">
        <v>241</v>
      </c>
      <c r="C96" s="336">
        <f>(G93*(1+$D$90))/(D88-D90)/(1+D88)^(G92-C92)</f>
        <v>2233879.1028586929</v>
      </c>
    </row>
    <row r="97" spans="2:3" ht="34.5" customHeight="1" x14ac:dyDescent="0.55000000000000004">
      <c r="B97" s="297" t="s">
        <v>294</v>
      </c>
      <c r="C97" s="334">
        <f>SUM(C95:C96)</f>
        <v>2306414.1177519364</v>
      </c>
    </row>
    <row r="98" spans="2:3" ht="15" customHeight="1" thickBot="1" x14ac:dyDescent="0.6">
      <c r="B98" s="298"/>
      <c r="C98" s="296"/>
    </row>
  </sheetData>
  <mergeCells count="3">
    <mergeCell ref="B25:I29"/>
    <mergeCell ref="B37:I43"/>
    <mergeCell ref="B1:D4"/>
  </mergeCells>
  <hyperlinks>
    <hyperlink ref="C80" r:id="rId1" xr:uid="{666A245E-3C91-47F4-8E0F-403A38C1A197}"/>
    <hyperlink ref="C90" r:id="rId2" display="https://tradingeconomics.com/euro-area/gdp-growth-annual" xr:uid="{01A24B7D-7A20-43E1-B111-71DD572E848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1769-DF1C-4775-AFB9-E1B3F7DECDC6}">
  <dimension ref="B1:O30"/>
  <sheetViews>
    <sheetView showGridLines="0" topLeftCell="A3" zoomScale="75" workbookViewId="0">
      <selection activeCell="T28" sqref="T28"/>
    </sheetView>
  </sheetViews>
  <sheetFormatPr defaultRowHeight="14.5" x14ac:dyDescent="0.35"/>
  <cols>
    <col min="2" max="2" width="17.36328125" customWidth="1"/>
    <col min="3" max="3" width="15.1796875" customWidth="1"/>
    <col min="4" max="4" width="9.1796875" customWidth="1"/>
    <col min="10" max="10" width="11" customWidth="1"/>
  </cols>
  <sheetData>
    <row r="1" spans="2:14" ht="15" thickBot="1" x14ac:dyDescent="0.4"/>
    <row r="2" spans="2:14" x14ac:dyDescent="0.35">
      <c r="C2" s="539" t="s">
        <v>261</v>
      </c>
      <c r="D2" s="540"/>
      <c r="E2" s="540"/>
      <c r="F2" s="540"/>
      <c r="G2" s="540"/>
      <c r="H2" s="540"/>
      <c r="I2" s="540"/>
      <c r="J2" s="540"/>
      <c r="K2" s="540"/>
      <c r="L2" s="541"/>
    </row>
    <row r="3" spans="2:14" x14ac:dyDescent="0.35">
      <c r="C3" s="542"/>
      <c r="D3" s="543"/>
      <c r="E3" s="543"/>
      <c r="F3" s="543"/>
      <c r="G3" s="543"/>
      <c r="H3" s="543"/>
      <c r="I3" s="543"/>
      <c r="J3" s="543"/>
      <c r="K3" s="543"/>
      <c r="L3" s="544"/>
    </row>
    <row r="4" spans="2:14" ht="15" thickBot="1" x14ac:dyDescent="0.4">
      <c r="C4" s="545"/>
      <c r="D4" s="546"/>
      <c r="E4" s="546"/>
      <c r="F4" s="546"/>
      <c r="G4" s="546"/>
      <c r="H4" s="546"/>
      <c r="I4" s="546"/>
      <c r="J4" s="546"/>
      <c r="K4" s="546"/>
      <c r="L4" s="547"/>
    </row>
    <row r="5" spans="2:14" ht="15" thickBot="1" x14ac:dyDescent="0.4"/>
    <row r="6" spans="2:14" ht="15" thickBot="1" x14ac:dyDescent="0.4">
      <c r="E6" s="548" t="s">
        <v>134</v>
      </c>
      <c r="F6" s="549"/>
      <c r="G6" s="549"/>
      <c r="H6" s="549"/>
      <c r="I6" s="550"/>
      <c r="J6" s="548" t="s">
        <v>293</v>
      </c>
      <c r="K6" s="549"/>
      <c r="L6" s="549"/>
      <c r="M6" s="549"/>
      <c r="N6" s="550"/>
    </row>
    <row r="7" spans="2:14" ht="29.5" thickBot="1" x14ac:dyDescent="0.4">
      <c r="B7" s="268" t="s">
        <v>218</v>
      </c>
      <c r="C7" s="269" t="s">
        <v>1</v>
      </c>
      <c r="D7" s="270" t="s">
        <v>0</v>
      </c>
      <c r="E7" s="271">
        <v>2020</v>
      </c>
      <c r="F7" s="271">
        <v>2021</v>
      </c>
      <c r="G7" s="271">
        <v>2022</v>
      </c>
      <c r="H7" s="271">
        <v>2023</v>
      </c>
      <c r="I7" s="272">
        <v>2024</v>
      </c>
      <c r="J7" s="271">
        <v>2025</v>
      </c>
      <c r="K7" s="271">
        <v>2026</v>
      </c>
      <c r="L7" s="271">
        <v>2027</v>
      </c>
      <c r="M7" s="271">
        <v>2028</v>
      </c>
      <c r="N7" s="273">
        <v>2029</v>
      </c>
    </row>
    <row r="8" spans="2:14" ht="29" x14ac:dyDescent="0.35">
      <c r="B8" s="274" t="s">
        <v>219</v>
      </c>
      <c r="C8" s="275" t="s">
        <v>230</v>
      </c>
      <c r="D8" s="276"/>
      <c r="E8" s="277">
        <v>20402</v>
      </c>
      <c r="F8" s="277">
        <v>27716</v>
      </c>
      <c r="G8" s="277">
        <v>32569</v>
      </c>
      <c r="H8" s="277">
        <v>35947</v>
      </c>
      <c r="I8" s="278">
        <v>38632</v>
      </c>
      <c r="J8" s="277">
        <f>K30</f>
        <v>44460.499999998137</v>
      </c>
      <c r="K8" s="277">
        <f t="shared" ref="K8:N8" si="0">L30</f>
        <v>48929.599999999627</v>
      </c>
      <c r="L8" s="277">
        <f t="shared" si="0"/>
        <v>53398.699999999255</v>
      </c>
      <c r="M8" s="277">
        <f t="shared" si="0"/>
        <v>57867.799999998882</v>
      </c>
      <c r="N8" s="279">
        <f t="shared" si="0"/>
        <v>62336.89999999851</v>
      </c>
    </row>
    <row r="9" spans="2:14" x14ac:dyDescent="0.35">
      <c r="B9" s="280" t="s">
        <v>220</v>
      </c>
      <c r="C9" s="275" t="s">
        <v>133</v>
      </c>
      <c r="D9" s="281"/>
      <c r="E9" s="277">
        <v>9012</v>
      </c>
      <c r="F9" s="277">
        <v>11902</v>
      </c>
      <c r="G9" s="277">
        <v>14011</v>
      </c>
      <c r="H9" s="277">
        <v>15186</v>
      </c>
      <c r="I9" s="278">
        <v>16288</v>
      </c>
      <c r="J9" s="277" cm="1">
        <f t="array" ref="J9:N9">TREND(E9:I9,E7:I7,J7:N7)</f>
        <v>18630.600000000093</v>
      </c>
      <c r="K9" s="277">
        <v>20414.199999999721</v>
      </c>
      <c r="L9" s="277">
        <v>22197.799999999814</v>
      </c>
      <c r="M9" s="277">
        <v>23981.399999999907</v>
      </c>
      <c r="N9" s="279">
        <v>25765</v>
      </c>
    </row>
    <row r="10" spans="2:14" x14ac:dyDescent="0.35">
      <c r="B10" s="280" t="s">
        <v>221</v>
      </c>
      <c r="C10" s="275"/>
      <c r="D10" s="281"/>
      <c r="E10" s="277">
        <f>E8-E9</f>
        <v>11390</v>
      </c>
      <c r="F10" s="277">
        <f t="shared" ref="F10:I10" si="1">F8-F9</f>
        <v>15814</v>
      </c>
      <c r="G10" s="277">
        <f t="shared" si="1"/>
        <v>18558</v>
      </c>
      <c r="H10" s="277">
        <f t="shared" si="1"/>
        <v>20761</v>
      </c>
      <c r="I10" s="278">
        <f t="shared" si="1"/>
        <v>22344</v>
      </c>
      <c r="J10" s="277">
        <f>J8-J9</f>
        <v>25829.899999998044</v>
      </c>
      <c r="K10" s="277">
        <f t="shared" ref="K10" si="2">K8-K9</f>
        <v>28515.399999999907</v>
      </c>
      <c r="L10" s="277">
        <f t="shared" ref="L10" si="3">L8-L9</f>
        <v>31200.899999999441</v>
      </c>
      <c r="M10" s="277">
        <f t="shared" ref="M10" si="4">M8-M9</f>
        <v>33886.399999998976</v>
      </c>
      <c r="N10" s="279">
        <f t="shared" ref="N10" si="5">N8-N9</f>
        <v>36571.89999999851</v>
      </c>
    </row>
    <row r="11" spans="2:14" x14ac:dyDescent="0.35">
      <c r="B11" s="280" t="s">
        <v>107</v>
      </c>
      <c r="C11" s="275" t="s">
        <v>133</v>
      </c>
      <c r="D11" s="281"/>
      <c r="E11" s="277">
        <v>6807</v>
      </c>
      <c r="F11" s="277">
        <v>8596</v>
      </c>
      <c r="G11" s="277">
        <v>9867</v>
      </c>
      <c r="H11" s="277">
        <v>10853</v>
      </c>
      <c r="I11" s="278">
        <v>11555</v>
      </c>
      <c r="J11" s="277" cm="1">
        <f t="array" ref="J11:N11">TREND(E11:I11,$E$7:$I$7,$J$7:$N$7)</f>
        <v>13061.5</v>
      </c>
      <c r="K11" s="277">
        <v>14236.799999999814</v>
      </c>
      <c r="L11" s="277">
        <v>15412.100000000093</v>
      </c>
      <c r="M11" s="277">
        <v>16587.399999999907</v>
      </c>
      <c r="N11" s="279">
        <v>17762.699999999721</v>
      </c>
    </row>
    <row r="12" spans="2:14" ht="29" x14ac:dyDescent="0.35">
      <c r="B12" s="280" t="s">
        <v>222</v>
      </c>
      <c r="C12" s="275" t="s">
        <v>133</v>
      </c>
      <c r="D12" s="281"/>
      <c r="E12" s="277">
        <v>31</v>
      </c>
      <c r="F12" s="277">
        <v>35</v>
      </c>
      <c r="G12" s="277">
        <v>42</v>
      </c>
      <c r="H12" s="277">
        <v>58</v>
      </c>
      <c r="I12" s="278">
        <v>60</v>
      </c>
      <c r="J12" s="277" cm="1">
        <f t="array" ref="J12:N12">TREND(E12:I12,$E$7:$I$7,$J$7:$N$7)</f>
        <v>69.500000000001819</v>
      </c>
      <c r="K12" s="277">
        <v>77.600000000000364</v>
      </c>
      <c r="L12" s="277">
        <v>85.700000000002547</v>
      </c>
      <c r="M12" s="277">
        <v>93.800000000001091</v>
      </c>
      <c r="N12" s="279">
        <v>101.89999999999964</v>
      </c>
    </row>
    <row r="13" spans="2:14" x14ac:dyDescent="0.35">
      <c r="B13" s="280" t="s">
        <v>108</v>
      </c>
      <c r="C13" s="275"/>
      <c r="D13" s="281"/>
      <c r="E13" s="277">
        <f>E10-E11-E12</f>
        <v>4552</v>
      </c>
      <c r="F13" s="277">
        <f t="shared" ref="F13:N13" si="6">F10-F11-F12</f>
        <v>7183</v>
      </c>
      <c r="G13" s="277">
        <f t="shared" si="6"/>
        <v>8649</v>
      </c>
      <c r="H13" s="277">
        <f t="shared" si="6"/>
        <v>9850</v>
      </c>
      <c r="I13" s="278">
        <f t="shared" si="6"/>
        <v>10729</v>
      </c>
      <c r="J13" s="277">
        <f t="shared" si="6"/>
        <v>12698.899999998042</v>
      </c>
      <c r="K13" s="277">
        <f t="shared" si="6"/>
        <v>14201.000000000093</v>
      </c>
      <c r="L13" s="277">
        <f t="shared" si="6"/>
        <v>15703.099999999346</v>
      </c>
      <c r="M13" s="277">
        <f t="shared" si="6"/>
        <v>17205.199999999066</v>
      </c>
      <c r="N13" s="279">
        <f t="shared" si="6"/>
        <v>18707.299999998788</v>
      </c>
    </row>
    <row r="14" spans="2:14" ht="29" x14ac:dyDescent="0.35">
      <c r="B14" s="280" t="s">
        <v>223</v>
      </c>
      <c r="C14" s="275" t="s">
        <v>232</v>
      </c>
      <c r="D14" s="281"/>
      <c r="E14" s="277">
        <v>0</v>
      </c>
      <c r="F14" s="277">
        <v>0</v>
      </c>
      <c r="G14" s="277">
        <v>231</v>
      </c>
      <c r="H14" s="277">
        <v>0</v>
      </c>
      <c r="I14" s="278">
        <v>0</v>
      </c>
      <c r="J14" s="277">
        <v>0</v>
      </c>
      <c r="K14" s="277">
        <v>0</v>
      </c>
      <c r="L14" s="277">
        <v>0</v>
      </c>
      <c r="M14" s="277">
        <v>0</v>
      </c>
      <c r="N14" s="279">
        <v>0</v>
      </c>
    </row>
    <row r="15" spans="2:14" ht="29" x14ac:dyDescent="0.35">
      <c r="B15" s="280" t="s">
        <v>224</v>
      </c>
      <c r="C15" s="275" t="s">
        <v>237</v>
      </c>
      <c r="D15" s="281"/>
      <c r="E15" s="277">
        <v>3045</v>
      </c>
      <c r="F15" s="277">
        <v>2901</v>
      </c>
      <c r="G15" s="277">
        <v>2898</v>
      </c>
      <c r="H15" s="277">
        <v>3041</v>
      </c>
      <c r="I15" s="278">
        <v>3174</v>
      </c>
      <c r="J15" s="277">
        <f>I15</f>
        <v>3174</v>
      </c>
      <c r="K15" s="277">
        <f t="shared" ref="K15:N15" si="7">J15</f>
        <v>3174</v>
      </c>
      <c r="L15" s="277">
        <f t="shared" si="7"/>
        <v>3174</v>
      </c>
      <c r="M15" s="277">
        <f t="shared" si="7"/>
        <v>3174</v>
      </c>
      <c r="N15" s="279">
        <f t="shared" si="7"/>
        <v>3174</v>
      </c>
    </row>
    <row r="16" spans="2:14" x14ac:dyDescent="0.35">
      <c r="B16" s="280" t="s">
        <v>125</v>
      </c>
      <c r="C16" s="275"/>
      <c r="D16" s="281"/>
      <c r="E16" s="277">
        <f>E13-E14-E15</f>
        <v>1507</v>
      </c>
      <c r="F16" s="277">
        <f t="shared" ref="F16:I16" si="8">F13-F14-F15</f>
        <v>4282</v>
      </c>
      <c r="G16" s="277">
        <f t="shared" si="8"/>
        <v>5520</v>
      </c>
      <c r="H16" s="277">
        <f t="shared" si="8"/>
        <v>6809</v>
      </c>
      <c r="I16" s="278">
        <f t="shared" si="8"/>
        <v>7555</v>
      </c>
      <c r="J16" s="277">
        <f>J13-J14-J15</f>
        <v>9524.8999999980424</v>
      </c>
      <c r="K16" s="277">
        <f t="shared" ref="K16" si="9">K13-K14-K15</f>
        <v>11027.000000000093</v>
      </c>
      <c r="L16" s="277">
        <f t="shared" ref="L16" si="10">L13-L14-L15</f>
        <v>12529.099999999346</v>
      </c>
      <c r="M16" s="277">
        <f t="shared" ref="M16" si="11">M13-M14-M15</f>
        <v>14031.199999999066</v>
      </c>
      <c r="N16" s="279">
        <f t="shared" ref="N16" si="12">N13-N14-N15</f>
        <v>15533.299999998788</v>
      </c>
    </row>
    <row r="17" spans="2:15" x14ac:dyDescent="0.35">
      <c r="B17" s="280" t="s">
        <v>225</v>
      </c>
      <c r="C17" s="275" t="s">
        <v>133</v>
      </c>
      <c r="D17" s="281"/>
      <c r="E17" s="277">
        <v>139</v>
      </c>
      <c r="F17" s="277">
        <v>142</v>
      </c>
      <c r="G17" s="277">
        <v>214</v>
      </c>
      <c r="H17" s="277">
        <v>11</v>
      </c>
      <c r="I17" s="278">
        <v>77</v>
      </c>
      <c r="J17" s="277" cm="1">
        <f t="array" ref="J17:N17">TREND(E17:I17,$E$7:$I$7,$J$7:$N$7)</f>
        <v>40.099999999998545</v>
      </c>
      <c r="K17" s="277">
        <v>14.599999999998545</v>
      </c>
      <c r="L17" s="277">
        <v>-10.900000000001455</v>
      </c>
      <c r="M17" s="277">
        <v>-36.400000000001455</v>
      </c>
      <c r="N17" s="279">
        <v>-61.900000000001455</v>
      </c>
    </row>
    <row r="18" spans="2:15" ht="43.5" x14ac:dyDescent="0.35">
      <c r="B18" s="280" t="s">
        <v>226</v>
      </c>
      <c r="C18" s="275" t="s">
        <v>133</v>
      </c>
      <c r="D18" s="281"/>
      <c r="E18" s="277">
        <v>33</v>
      </c>
      <c r="F18" s="277">
        <v>59</v>
      </c>
      <c r="G18" s="277">
        <v>52</v>
      </c>
      <c r="H18" s="277">
        <v>72</v>
      </c>
      <c r="I18" s="278">
        <v>99</v>
      </c>
      <c r="J18" s="277" cm="1">
        <f t="array" ref="J18:N18">TREND(E18:I18,$E$7:$I$7,$J$7:$N$7)</f>
        <v>106.5</v>
      </c>
      <c r="K18" s="277">
        <v>121</v>
      </c>
      <c r="L18" s="277">
        <v>135.5</v>
      </c>
      <c r="M18" s="277">
        <v>150</v>
      </c>
      <c r="N18" s="279">
        <v>164.5</v>
      </c>
    </row>
    <row r="19" spans="2:15" ht="29" x14ac:dyDescent="0.35">
      <c r="B19" s="280" t="s">
        <v>227</v>
      </c>
      <c r="C19" s="275"/>
      <c r="D19" s="281"/>
      <c r="E19" s="277">
        <f>E16-E17+E18</f>
        <v>1401</v>
      </c>
      <c r="F19" s="277">
        <f t="shared" ref="F19:I19" si="13">F16-F17+F18</f>
        <v>4199</v>
      </c>
      <c r="G19" s="277">
        <f t="shared" si="13"/>
        <v>5358</v>
      </c>
      <c r="H19" s="277">
        <f t="shared" si="13"/>
        <v>6870</v>
      </c>
      <c r="I19" s="278">
        <f t="shared" si="13"/>
        <v>7577</v>
      </c>
      <c r="J19" s="277">
        <f t="shared" ref="J19" si="14">J16-J17+J18</f>
        <v>9591.2999999980439</v>
      </c>
      <c r="K19" s="277">
        <f t="shared" ref="K19" si="15">K16-K17+K18</f>
        <v>11133.400000000094</v>
      </c>
      <c r="L19" s="277">
        <f t="shared" ref="L19" si="16">L16-L17+L18</f>
        <v>12675.499999999347</v>
      </c>
      <c r="M19" s="277">
        <f t="shared" ref="M19" si="17">M16-M17+M18</f>
        <v>14217.599999999067</v>
      </c>
      <c r="N19" s="279">
        <f t="shared" ref="N19" si="18">N16-N17+N18</f>
        <v>15759.699999998789</v>
      </c>
    </row>
    <row r="20" spans="2:15" ht="29" x14ac:dyDescent="0.35">
      <c r="B20" s="280" t="s">
        <v>228</v>
      </c>
      <c r="C20" s="275" t="s">
        <v>238</v>
      </c>
      <c r="D20" s="281">
        <f>AVERAGE(E20/E19,F20/F19,G20/G19,H20/H19,I20/I19)</f>
        <v>0.22061592056499349</v>
      </c>
      <c r="E20" s="277">
        <v>297</v>
      </c>
      <c r="F20" s="277">
        <v>949</v>
      </c>
      <c r="G20" s="277">
        <v>1211</v>
      </c>
      <c r="H20" s="277">
        <v>1475</v>
      </c>
      <c r="I20" s="278">
        <v>1700</v>
      </c>
      <c r="J20" s="277">
        <f>J19*$D$20</f>
        <v>2115.9934789145905</v>
      </c>
      <c r="K20" s="277">
        <f>K19*$D$20</f>
        <v>2456.2052900183194</v>
      </c>
      <c r="L20" s="277">
        <f>L19*$D$20</f>
        <v>2796.4171011214307</v>
      </c>
      <c r="M20" s="277">
        <f>M19*$D$20</f>
        <v>3136.6289122246458</v>
      </c>
      <c r="N20" s="279">
        <f>N19*$D$20</f>
        <v>3476.8407233278608</v>
      </c>
    </row>
    <row r="21" spans="2:15" ht="15" thickBot="1" x14ac:dyDescent="0.4">
      <c r="B21" s="282" t="s">
        <v>229</v>
      </c>
      <c r="C21" s="283"/>
      <c r="D21" s="284"/>
      <c r="E21" s="285">
        <f>E19-E20</f>
        <v>1104</v>
      </c>
      <c r="F21" s="285">
        <f t="shared" ref="F21:I21" si="19">F19-F20</f>
        <v>3250</v>
      </c>
      <c r="G21" s="285">
        <f t="shared" si="19"/>
        <v>4147</v>
      </c>
      <c r="H21" s="285">
        <f t="shared" si="19"/>
        <v>5395</v>
      </c>
      <c r="I21" s="286">
        <f t="shared" si="19"/>
        <v>5877</v>
      </c>
      <c r="J21" s="285">
        <f>J19-J20</f>
        <v>7475.3065210834538</v>
      </c>
      <c r="K21" s="285">
        <f t="shared" ref="K21" si="20">K19-K20</f>
        <v>8677.1947099817753</v>
      </c>
      <c r="L21" s="285">
        <f t="shared" ref="L21" si="21">L19-L20</f>
        <v>9879.0828988779158</v>
      </c>
      <c r="M21" s="285">
        <f t="shared" ref="M21" si="22">M19-M20</f>
        <v>11080.971087774422</v>
      </c>
      <c r="N21" s="287">
        <f t="shared" ref="N21" si="23">N19-N20</f>
        <v>12282.859276670928</v>
      </c>
    </row>
    <row r="22" spans="2:15" ht="15" thickBot="1" x14ac:dyDescent="0.4">
      <c r="B22" s="144"/>
      <c r="C22" s="144"/>
    </row>
    <row r="23" spans="2:15" ht="15" thickBot="1" x14ac:dyDescent="0.4">
      <c r="B23" s="268" t="s">
        <v>243</v>
      </c>
      <c r="C23" s="292"/>
      <c r="D23" s="292"/>
      <c r="E23" s="293">
        <f t="shared" ref="E23:N23" si="24">E20/E19</f>
        <v>0.21199143468950749</v>
      </c>
      <c r="F23" s="294">
        <f t="shared" si="24"/>
        <v>0.2260061919504644</v>
      </c>
      <c r="G23" s="294">
        <f t="shared" si="24"/>
        <v>0.22601717058603957</v>
      </c>
      <c r="H23" s="294">
        <f t="shared" si="24"/>
        <v>0.21470160116448325</v>
      </c>
      <c r="I23" s="295">
        <f t="shared" si="24"/>
        <v>0.22436320443447275</v>
      </c>
      <c r="J23" s="293">
        <f t="shared" si="24"/>
        <v>0.22061592056499349</v>
      </c>
      <c r="K23" s="294">
        <f t="shared" si="24"/>
        <v>0.22061592056499349</v>
      </c>
      <c r="L23" s="294">
        <f t="shared" si="24"/>
        <v>0.22061592056499346</v>
      </c>
      <c r="M23" s="294">
        <f t="shared" si="24"/>
        <v>0.22061592056499349</v>
      </c>
      <c r="N23" s="295">
        <f t="shared" si="24"/>
        <v>0.22061592056499349</v>
      </c>
    </row>
    <row r="24" spans="2:15" ht="15" thickBot="1" x14ac:dyDescent="0.4"/>
    <row r="25" spans="2:15" ht="29.5" thickBot="1" x14ac:dyDescent="0.4">
      <c r="B25" s="268" t="s">
        <v>218</v>
      </c>
      <c r="C25" s="269" t="s">
        <v>94</v>
      </c>
      <c r="D25" s="270" t="s">
        <v>0</v>
      </c>
      <c r="E25" s="271">
        <v>2019</v>
      </c>
      <c r="F25" s="271">
        <v>2020</v>
      </c>
      <c r="G25" s="271">
        <v>2021</v>
      </c>
      <c r="H25" s="271">
        <v>2022</v>
      </c>
      <c r="I25" s="271">
        <v>2023</v>
      </c>
      <c r="J25" s="272">
        <v>2024</v>
      </c>
      <c r="K25" s="271">
        <v>2025</v>
      </c>
      <c r="L25" s="271">
        <v>2026</v>
      </c>
      <c r="M25" s="271">
        <v>2027</v>
      </c>
      <c r="N25" s="271">
        <v>2028</v>
      </c>
      <c r="O25" s="273">
        <v>2029</v>
      </c>
    </row>
    <row r="26" spans="2:15" x14ac:dyDescent="0.35">
      <c r="B26" s="288" t="s">
        <v>208</v>
      </c>
      <c r="C26" s="289" t="s">
        <v>133</v>
      </c>
      <c r="D26" s="276"/>
      <c r="E26" s="277">
        <v>19685</v>
      </c>
      <c r="F26" s="277">
        <v>14234</v>
      </c>
      <c r="G26" s="277">
        <v>19714</v>
      </c>
      <c r="H26" s="277">
        <v>23902</v>
      </c>
      <c r="I26" s="277">
        <v>26208</v>
      </c>
      <c r="J26" s="278">
        <v>27959</v>
      </c>
      <c r="K26" s="277" cm="1">
        <f t="array" ref="K26:O26">TREND(F26:J26,$F$25:$J$25,$K$25:$O$25)</f>
        <v>32586.600000000559</v>
      </c>
      <c r="L26" s="277">
        <v>35981.000000000931</v>
      </c>
      <c r="M26" s="277">
        <v>39375.400000000373</v>
      </c>
      <c r="N26" s="277">
        <v>42769.800000000745</v>
      </c>
      <c r="O26" s="279">
        <v>46164.200000001118</v>
      </c>
    </row>
    <row r="27" spans="2:15" x14ac:dyDescent="0.35">
      <c r="B27" s="288" t="s">
        <v>209</v>
      </c>
      <c r="C27" s="289" t="s">
        <v>133</v>
      </c>
      <c r="D27" s="281"/>
      <c r="E27" s="277">
        <v>2385</v>
      </c>
      <c r="F27" s="277">
        <v>1773</v>
      </c>
      <c r="G27" s="277">
        <v>2178</v>
      </c>
      <c r="H27" s="277">
        <v>2396</v>
      </c>
      <c r="I27" s="277">
        <v>2634</v>
      </c>
      <c r="J27" s="278">
        <v>2941</v>
      </c>
      <c r="K27" s="277" cm="1">
        <f t="array" ref="K27:O27">TREND(F27:J27,$F$25:$J$25,$K$25:$O$25)</f>
        <v>3222</v>
      </c>
      <c r="L27" s="277">
        <v>3501.1999999999534</v>
      </c>
      <c r="M27" s="277">
        <v>3780.4000000000233</v>
      </c>
      <c r="N27" s="277">
        <v>4059.5999999999767</v>
      </c>
      <c r="O27" s="279">
        <v>4338.7999999999302</v>
      </c>
    </row>
    <row r="28" spans="2:15" x14ac:dyDescent="0.35">
      <c r="B28" s="288" t="s">
        <v>210</v>
      </c>
      <c r="C28" s="289" t="s">
        <v>133</v>
      </c>
      <c r="D28" s="281"/>
      <c r="E28" s="277">
        <v>6340</v>
      </c>
      <c r="F28" s="277">
        <v>4503</v>
      </c>
      <c r="G28" s="277">
        <v>5955</v>
      </c>
      <c r="H28" s="277">
        <v>6451</v>
      </c>
      <c r="I28" s="277">
        <v>7303</v>
      </c>
      <c r="J28" s="278">
        <v>7948</v>
      </c>
      <c r="K28" s="277" cm="1">
        <f t="array" ref="K28:O28">TREND(F28:J28,$F$25:$J$25,$K$25:$O$25)</f>
        <v>8903.4000000001397</v>
      </c>
      <c r="L28" s="277">
        <v>9727.1999999999534</v>
      </c>
      <c r="M28" s="277">
        <v>10551</v>
      </c>
      <c r="N28" s="277">
        <v>11374.800000000047</v>
      </c>
      <c r="O28" s="279">
        <v>12198.600000000093</v>
      </c>
    </row>
    <row r="29" spans="2:15" x14ac:dyDescent="0.35">
      <c r="B29" s="288" t="s">
        <v>211</v>
      </c>
      <c r="C29" s="289" t="s">
        <v>133</v>
      </c>
      <c r="D29" s="281"/>
      <c r="E29" s="277">
        <v>-124</v>
      </c>
      <c r="F29" s="277">
        <v>-108</v>
      </c>
      <c r="G29" s="277">
        <v>-131</v>
      </c>
      <c r="H29" s="277">
        <v>-180</v>
      </c>
      <c r="I29" s="277">
        <v>-198</v>
      </c>
      <c r="J29" s="278">
        <v>-216</v>
      </c>
      <c r="K29" s="277" cm="1">
        <f t="array" ref="K29:O29">TREND(F29:J29,$F$25:$J$25,$K$25:$O$25)</f>
        <v>-251.5</v>
      </c>
      <c r="L29" s="277">
        <v>-279.80000000000291</v>
      </c>
      <c r="M29" s="277">
        <v>-308.09999999999854</v>
      </c>
      <c r="N29" s="277">
        <v>-336.40000000000146</v>
      </c>
      <c r="O29" s="279">
        <v>-364.70000000000437</v>
      </c>
    </row>
    <row r="30" spans="2:15" ht="15" thickBot="1" x14ac:dyDescent="0.4">
      <c r="B30" s="290" t="s">
        <v>212</v>
      </c>
      <c r="C30" s="291" t="s">
        <v>213</v>
      </c>
      <c r="D30" s="284"/>
      <c r="E30" s="285">
        <f t="shared" ref="E30:J30" si="25">SUM(E26:E29)</f>
        <v>28286</v>
      </c>
      <c r="F30" s="285">
        <f t="shared" si="25"/>
        <v>20402</v>
      </c>
      <c r="G30" s="285">
        <f t="shared" si="25"/>
        <v>27716</v>
      </c>
      <c r="H30" s="285">
        <f t="shared" si="25"/>
        <v>32569</v>
      </c>
      <c r="I30" s="285">
        <f t="shared" si="25"/>
        <v>35947</v>
      </c>
      <c r="J30" s="286">
        <f t="shared" si="25"/>
        <v>38632</v>
      </c>
      <c r="K30" s="285" cm="1">
        <f t="array" ref="K30:O30">TREND(F30:J30,$F$25:$J$25,$K$25:$O$25)</f>
        <v>44460.499999998137</v>
      </c>
      <c r="L30" s="285">
        <v>48929.599999999627</v>
      </c>
      <c r="M30" s="285">
        <v>53398.699999999255</v>
      </c>
      <c r="N30" s="285">
        <v>57867.799999998882</v>
      </c>
      <c r="O30" s="287">
        <v>62336.89999999851</v>
      </c>
    </row>
  </sheetData>
  <mergeCells count="3">
    <mergeCell ref="C2:L4"/>
    <mergeCell ref="E6:I6"/>
    <mergeCell ref="J6:N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57BC0-9AC5-4440-9230-C19A64EADE89}">
  <dimension ref="A1:N30"/>
  <sheetViews>
    <sheetView workbookViewId="0">
      <selection activeCell="G28" sqref="G28"/>
    </sheetView>
  </sheetViews>
  <sheetFormatPr defaultRowHeight="14.5" x14ac:dyDescent="0.35"/>
  <cols>
    <col min="2" max="2" width="11.54296875" customWidth="1"/>
    <col min="3" max="3" width="13.90625" customWidth="1"/>
    <col min="11" max="11" width="14.08984375" customWidth="1"/>
    <col min="12" max="12" width="12.81640625" customWidth="1"/>
    <col min="13" max="13" width="13.54296875" customWidth="1"/>
  </cols>
  <sheetData>
    <row r="1" spans="1:14" x14ac:dyDescent="0.35">
      <c r="A1" s="13" t="s">
        <v>42</v>
      </c>
      <c r="B1" s="9"/>
      <c r="C1" s="9"/>
      <c r="D1" s="9"/>
      <c r="E1" s="9"/>
      <c r="F1" s="9"/>
      <c r="G1" s="9"/>
      <c r="H1" s="9"/>
      <c r="I1" s="9"/>
      <c r="J1" s="9"/>
      <c r="K1" s="9"/>
      <c r="L1" s="9"/>
      <c r="M1" s="9"/>
      <c r="N1" s="10"/>
    </row>
    <row r="2" spans="1:14" ht="19.5" thickBot="1" x14ac:dyDescent="0.4">
      <c r="A2" s="149" t="s">
        <v>9</v>
      </c>
      <c r="N2" s="6"/>
    </row>
    <row r="3" spans="1:14" ht="28" x14ac:dyDescent="0.35">
      <c r="A3" s="551" t="s">
        <v>10</v>
      </c>
      <c r="B3" s="554" t="s">
        <v>3</v>
      </c>
      <c r="C3" s="150" t="s">
        <v>44</v>
      </c>
      <c r="D3" s="150" t="s">
        <v>11</v>
      </c>
      <c r="E3" s="150" t="s">
        <v>13</v>
      </c>
      <c r="F3" s="150" t="s">
        <v>14</v>
      </c>
      <c r="G3" s="150" t="s">
        <v>16</v>
      </c>
      <c r="H3" s="150" t="s">
        <v>18</v>
      </c>
      <c r="I3" s="150" t="s">
        <v>20</v>
      </c>
      <c r="J3" s="150" t="s">
        <v>22</v>
      </c>
      <c r="K3" s="150" t="s">
        <v>22</v>
      </c>
      <c r="L3" s="150" t="s">
        <v>24</v>
      </c>
      <c r="M3" s="150" t="s">
        <v>27</v>
      </c>
      <c r="N3" s="151" t="s">
        <v>28</v>
      </c>
    </row>
    <row r="4" spans="1:14" x14ac:dyDescent="0.35">
      <c r="A4" s="552"/>
      <c r="B4" s="555"/>
      <c r="C4" s="152"/>
      <c r="D4" s="152" t="s">
        <v>12</v>
      </c>
      <c r="E4" s="152" t="s">
        <v>12</v>
      </c>
      <c r="F4" s="152" t="s">
        <v>15</v>
      </c>
      <c r="G4" s="152" t="s">
        <v>17</v>
      </c>
      <c r="H4" s="152" t="s">
        <v>19</v>
      </c>
      <c r="I4" s="152" t="s">
        <v>21</v>
      </c>
      <c r="J4" s="152" t="s">
        <v>23</v>
      </c>
      <c r="K4" s="152" t="s">
        <v>3</v>
      </c>
      <c r="L4" s="152" t="s">
        <v>25</v>
      </c>
      <c r="M4" s="152" t="s">
        <v>3</v>
      </c>
      <c r="N4" s="153" t="s">
        <v>29</v>
      </c>
    </row>
    <row r="5" spans="1:14" ht="15" thickBot="1" x14ac:dyDescent="0.4">
      <c r="A5" s="553"/>
      <c r="B5" s="556"/>
      <c r="C5" s="154"/>
      <c r="D5" s="154"/>
      <c r="E5" s="154"/>
      <c r="F5" s="154"/>
      <c r="G5" s="154"/>
      <c r="H5" s="154"/>
      <c r="I5" s="154"/>
      <c r="J5" s="154"/>
      <c r="K5" s="154"/>
      <c r="L5" s="154" t="s">
        <v>26</v>
      </c>
      <c r="M5" s="154"/>
      <c r="N5" s="155" t="s">
        <v>30</v>
      </c>
    </row>
    <row r="6" spans="1:14" ht="28.5" thickBot="1" x14ac:dyDescent="0.4">
      <c r="A6" s="146">
        <v>2025</v>
      </c>
      <c r="B6" s="2">
        <v>255219554</v>
      </c>
      <c r="C6" s="2">
        <f>B6/1000000</f>
        <v>255.21955399999999</v>
      </c>
      <c r="D6" s="3">
        <v>1.5699999999999999E-2</v>
      </c>
      <c r="E6" s="4">
        <v>3950390</v>
      </c>
      <c r="F6" s="1" t="s">
        <v>31</v>
      </c>
      <c r="G6" s="1">
        <v>20.6</v>
      </c>
      <c r="H6" s="1">
        <v>3.5</v>
      </c>
      <c r="I6" s="1">
        <v>331</v>
      </c>
      <c r="J6" s="3">
        <v>0.34399999999999997</v>
      </c>
      <c r="K6" s="4">
        <v>87777053</v>
      </c>
      <c r="L6" s="3">
        <v>3.1E-2</v>
      </c>
      <c r="M6" s="4">
        <v>8231613070</v>
      </c>
      <c r="N6" s="147">
        <v>5</v>
      </c>
    </row>
    <row r="7" spans="1:14" ht="28.5" thickBot="1" x14ac:dyDescent="0.4">
      <c r="A7" s="146">
        <v>2024</v>
      </c>
      <c r="B7" s="2">
        <v>251269164</v>
      </c>
      <c r="C7" s="2">
        <f t="shared" ref="C7:C23" si="0">B7/1000000</f>
        <v>251.26916399999999</v>
      </c>
      <c r="D7" s="3">
        <v>1.52E-2</v>
      </c>
      <c r="E7" s="4">
        <v>3764669</v>
      </c>
      <c r="F7" s="1" t="s">
        <v>32</v>
      </c>
      <c r="G7" s="1">
        <v>20.399999999999999</v>
      </c>
      <c r="H7" s="1">
        <v>3.55</v>
      </c>
      <c r="I7" s="1">
        <v>326</v>
      </c>
      <c r="J7" s="3">
        <v>0.34100000000000003</v>
      </c>
      <c r="K7" s="4">
        <v>85615064</v>
      </c>
      <c r="L7" s="3">
        <v>3.0800000000000001E-2</v>
      </c>
      <c r="M7" s="4">
        <v>8161972572</v>
      </c>
      <c r="N7" s="147">
        <v>5</v>
      </c>
    </row>
    <row r="8" spans="1:14" ht="28.5" thickBot="1" x14ac:dyDescent="0.4">
      <c r="A8" s="146">
        <v>2023</v>
      </c>
      <c r="B8" s="2">
        <v>247504495</v>
      </c>
      <c r="C8" s="2">
        <f t="shared" si="0"/>
        <v>247.50449499999999</v>
      </c>
      <c r="D8" s="3">
        <v>1.5599999999999999E-2</v>
      </c>
      <c r="E8" s="4">
        <v>3803828</v>
      </c>
      <c r="F8" s="1" t="s">
        <v>33</v>
      </c>
      <c r="G8" s="1">
        <v>20.3</v>
      </c>
      <c r="H8" s="1">
        <v>3.6</v>
      </c>
      <c r="I8" s="1">
        <v>321</v>
      </c>
      <c r="J8" s="3">
        <v>0.33700000000000002</v>
      </c>
      <c r="K8" s="4">
        <v>83500516</v>
      </c>
      <c r="L8" s="3">
        <v>3.0599999999999999E-2</v>
      </c>
      <c r="M8" s="4">
        <v>8091734930</v>
      </c>
      <c r="N8" s="147">
        <v>5</v>
      </c>
    </row>
    <row r="9" spans="1:14" ht="28.5" thickBot="1" x14ac:dyDescent="0.4">
      <c r="A9" s="146">
        <v>2022</v>
      </c>
      <c r="B9" s="2">
        <v>243700667</v>
      </c>
      <c r="C9" s="2">
        <f t="shared" si="0"/>
        <v>243.70066700000001</v>
      </c>
      <c r="D9" s="3">
        <v>1.83E-2</v>
      </c>
      <c r="E9" s="4">
        <v>4349461</v>
      </c>
      <c r="F9" s="1" t="s">
        <v>34</v>
      </c>
      <c r="G9" s="1">
        <v>20.100000000000001</v>
      </c>
      <c r="H9" s="1">
        <v>3.66</v>
      </c>
      <c r="I9" s="1">
        <v>316</v>
      </c>
      <c r="J9" s="3">
        <v>0.33400000000000002</v>
      </c>
      <c r="K9" s="4">
        <v>81432849</v>
      </c>
      <c r="L9" s="3">
        <v>3.04E-2</v>
      </c>
      <c r="M9" s="4">
        <v>8021407192</v>
      </c>
      <c r="N9" s="147">
        <v>5</v>
      </c>
    </row>
    <row r="10" spans="1:14" ht="15" thickBot="1" x14ac:dyDescent="0.4">
      <c r="A10" s="146">
        <v>2020</v>
      </c>
      <c r="B10" s="2">
        <v>235001746</v>
      </c>
      <c r="C10" s="2">
        <f t="shared" si="0"/>
        <v>235.001746</v>
      </c>
      <c r="D10" s="3">
        <v>1.5800000000000002E-2</v>
      </c>
      <c r="E10" s="4">
        <v>3542173</v>
      </c>
      <c r="F10" s="1" t="s">
        <v>35</v>
      </c>
      <c r="G10" s="1">
        <v>19.8</v>
      </c>
      <c r="H10" s="1">
        <v>3.77</v>
      </c>
      <c r="I10" s="1">
        <v>305</v>
      </c>
      <c r="J10" s="5">
        <v>0.33</v>
      </c>
      <c r="K10" s="4">
        <v>77437729</v>
      </c>
      <c r="L10" s="3">
        <v>2.98E-2</v>
      </c>
      <c r="M10" s="4">
        <v>7887001292</v>
      </c>
      <c r="N10" s="147">
        <v>5</v>
      </c>
    </row>
    <row r="11" spans="1:14" ht="28.5" thickBot="1" x14ac:dyDescent="0.4">
      <c r="A11" s="146">
        <v>2015</v>
      </c>
      <c r="B11" s="2">
        <v>217290883</v>
      </c>
      <c r="C11" s="2">
        <f t="shared" si="0"/>
        <v>217.29088300000001</v>
      </c>
      <c r="D11" s="3">
        <v>1.7500000000000002E-2</v>
      </c>
      <c r="E11" s="4">
        <v>3610367</v>
      </c>
      <c r="F11" s="1" t="s">
        <v>36</v>
      </c>
      <c r="G11" s="1">
        <v>19.2</v>
      </c>
      <c r="H11" s="1">
        <v>3.99</v>
      </c>
      <c r="I11" s="1">
        <v>282</v>
      </c>
      <c r="J11" s="3">
        <v>0.314</v>
      </c>
      <c r="K11" s="4">
        <v>68226783</v>
      </c>
      <c r="L11" s="3">
        <v>2.9100000000000001E-2</v>
      </c>
      <c r="M11" s="4">
        <v>7470491872</v>
      </c>
      <c r="N11" s="147">
        <v>5</v>
      </c>
    </row>
    <row r="12" spans="1:14" ht="15" thickBot="1" x14ac:dyDescent="0.4">
      <c r="A12" s="146">
        <v>2010</v>
      </c>
      <c r="B12" s="2">
        <v>199239047</v>
      </c>
      <c r="C12" s="2">
        <f t="shared" si="0"/>
        <v>199.239047</v>
      </c>
      <c r="D12" s="3">
        <v>2.58E-2</v>
      </c>
      <c r="E12" s="4">
        <v>4757167</v>
      </c>
      <c r="F12" s="1" t="s">
        <v>37</v>
      </c>
      <c r="G12" s="1">
        <v>18.8</v>
      </c>
      <c r="H12" s="1">
        <v>4.4000000000000004</v>
      </c>
      <c r="I12" s="1">
        <v>258</v>
      </c>
      <c r="J12" s="5">
        <v>0.3</v>
      </c>
      <c r="K12" s="4">
        <v>59691513</v>
      </c>
      <c r="L12" s="3">
        <v>2.8400000000000002E-2</v>
      </c>
      <c r="M12" s="4">
        <v>7021732148</v>
      </c>
      <c r="N12" s="147">
        <v>5</v>
      </c>
    </row>
    <row r="13" spans="1:14" ht="15" thickBot="1" x14ac:dyDescent="0.4">
      <c r="A13" s="146">
        <v>2005</v>
      </c>
      <c r="B13" s="2">
        <v>175453212</v>
      </c>
      <c r="C13" s="2">
        <f t="shared" si="0"/>
        <v>175.45321200000001</v>
      </c>
      <c r="D13" s="3">
        <v>2.53E-2</v>
      </c>
      <c r="E13" s="4">
        <v>4114817</v>
      </c>
      <c r="F13" s="1" t="s">
        <v>38</v>
      </c>
      <c r="G13" s="1">
        <v>17.8</v>
      </c>
      <c r="H13" s="1">
        <v>4.59</v>
      </c>
      <c r="I13" s="1">
        <v>228</v>
      </c>
      <c r="J13" s="3">
        <v>0.29799999999999999</v>
      </c>
      <c r="K13" s="4">
        <v>52301807</v>
      </c>
      <c r="L13" s="3">
        <v>2.6599999999999999E-2</v>
      </c>
      <c r="M13" s="4">
        <v>6586970132</v>
      </c>
      <c r="N13" s="147">
        <v>6</v>
      </c>
    </row>
    <row r="14" spans="1:14" ht="15" thickBot="1" x14ac:dyDescent="0.4">
      <c r="A14" s="146">
        <v>2000</v>
      </c>
      <c r="B14" s="2">
        <v>154879127</v>
      </c>
      <c r="C14" s="2">
        <f t="shared" si="0"/>
        <v>154.87912700000001</v>
      </c>
      <c r="D14" s="3">
        <v>2.8500000000000001E-2</v>
      </c>
      <c r="E14" s="4">
        <v>4059375</v>
      </c>
      <c r="F14" s="4">
        <v>252869</v>
      </c>
      <c r="G14" s="1">
        <v>17</v>
      </c>
      <c r="H14" s="1">
        <v>5.35</v>
      </c>
      <c r="I14" s="1">
        <v>201</v>
      </c>
      <c r="J14" s="3">
        <v>0.29499999999999998</v>
      </c>
      <c r="K14" s="4">
        <v>45687389</v>
      </c>
      <c r="L14" s="3">
        <v>2.5100000000000001E-2</v>
      </c>
      <c r="M14" s="4">
        <v>6171702993</v>
      </c>
      <c r="N14" s="147">
        <v>6</v>
      </c>
    </row>
    <row r="15" spans="1:14" ht="15" thickBot="1" x14ac:dyDescent="0.4">
      <c r="A15" s="146">
        <v>1995</v>
      </c>
      <c r="B15" s="2">
        <v>134582253</v>
      </c>
      <c r="C15" s="2">
        <f t="shared" si="0"/>
        <v>134.58225300000001</v>
      </c>
      <c r="D15" s="3">
        <v>2.9899999999999999E-2</v>
      </c>
      <c r="E15" s="4">
        <v>3685335</v>
      </c>
      <c r="F15" s="4">
        <v>11534</v>
      </c>
      <c r="G15" s="1">
        <v>16.600000000000001</v>
      </c>
      <c r="H15" s="1">
        <v>5.89</v>
      </c>
      <c r="I15" s="1">
        <v>175</v>
      </c>
      <c r="J15" s="3">
        <v>0.29099999999999998</v>
      </c>
      <c r="K15" s="4">
        <v>39104110</v>
      </c>
      <c r="L15" s="3">
        <v>2.3400000000000001E-2</v>
      </c>
      <c r="M15" s="4">
        <v>5758878982</v>
      </c>
      <c r="N15" s="147">
        <v>7</v>
      </c>
    </row>
    <row r="16" spans="1:14" ht="15" thickBot="1" x14ac:dyDescent="0.4">
      <c r="A16" s="146">
        <v>1990</v>
      </c>
      <c r="B16" s="2">
        <v>116155576</v>
      </c>
      <c r="C16" s="2">
        <f t="shared" si="0"/>
        <v>116.155576</v>
      </c>
      <c r="D16" s="3">
        <v>3.4099999999999998E-2</v>
      </c>
      <c r="E16" s="4">
        <v>3585258</v>
      </c>
      <c r="F16" s="4">
        <v>275242</v>
      </c>
      <c r="G16" s="1">
        <v>16.899999999999999</v>
      </c>
      <c r="H16" s="1">
        <v>6.36</v>
      </c>
      <c r="I16" s="1">
        <v>151</v>
      </c>
      <c r="J16" s="3">
        <v>0.28299999999999997</v>
      </c>
      <c r="K16" s="4">
        <v>32923693</v>
      </c>
      <c r="L16" s="3">
        <v>2.18E-2</v>
      </c>
      <c r="M16" s="4">
        <v>5327803110</v>
      </c>
      <c r="N16" s="147">
        <v>8</v>
      </c>
    </row>
    <row r="17" spans="1:14" ht="15" thickBot="1" x14ac:dyDescent="0.4">
      <c r="A17" s="146">
        <v>1985</v>
      </c>
      <c r="B17" s="2">
        <v>98229285</v>
      </c>
      <c r="C17" s="2">
        <f t="shared" si="0"/>
        <v>98.229285000000004</v>
      </c>
      <c r="D17" s="3">
        <v>3.5999999999999997E-2</v>
      </c>
      <c r="E17" s="4">
        <v>3187655</v>
      </c>
      <c r="F17" s="4">
        <v>68860</v>
      </c>
      <c r="G17" s="1">
        <v>17.100000000000001</v>
      </c>
      <c r="H17" s="1">
        <v>6.58</v>
      </c>
      <c r="I17" s="1">
        <v>127</v>
      </c>
      <c r="J17" s="3">
        <v>0.27500000000000002</v>
      </c>
      <c r="K17" s="4">
        <v>27060895</v>
      </c>
      <c r="L17" s="3">
        <v>2.0199999999999999E-2</v>
      </c>
      <c r="M17" s="4">
        <v>4868943465</v>
      </c>
      <c r="N17" s="147">
        <v>9</v>
      </c>
    </row>
    <row r="18" spans="1:14" ht="15" thickBot="1" x14ac:dyDescent="0.4">
      <c r="A18" s="146">
        <v>1980</v>
      </c>
      <c r="B18" s="2">
        <v>82291010</v>
      </c>
      <c r="C18" s="2">
        <f t="shared" si="0"/>
        <v>82.29101</v>
      </c>
      <c r="D18" s="3">
        <v>3.4500000000000003E-2</v>
      </c>
      <c r="E18" s="4">
        <v>2565967</v>
      </c>
      <c r="F18" s="4">
        <v>1078229</v>
      </c>
      <c r="G18" s="1">
        <v>17.100000000000001</v>
      </c>
      <c r="H18" s="1">
        <v>6.73</v>
      </c>
      <c r="I18" s="1">
        <v>107</v>
      </c>
      <c r="J18" s="3">
        <v>0.26600000000000001</v>
      </c>
      <c r="K18" s="4">
        <v>21910455</v>
      </c>
      <c r="L18" s="3">
        <v>1.8499999999999999E-2</v>
      </c>
      <c r="M18" s="4">
        <v>4447606236</v>
      </c>
      <c r="N18" s="147">
        <v>9</v>
      </c>
    </row>
    <row r="19" spans="1:14" ht="15" thickBot="1" x14ac:dyDescent="0.4">
      <c r="A19" s="146">
        <v>1975</v>
      </c>
      <c r="B19" s="2">
        <v>69461175</v>
      </c>
      <c r="C19" s="2">
        <f t="shared" si="0"/>
        <v>69.461174999999997</v>
      </c>
      <c r="D19" s="3">
        <v>2.9100000000000001E-2</v>
      </c>
      <c r="E19" s="4">
        <v>1858891</v>
      </c>
      <c r="F19" s="1" t="s">
        <v>39</v>
      </c>
      <c r="G19" s="1">
        <v>16.8</v>
      </c>
      <c r="H19" s="1">
        <v>6.81</v>
      </c>
      <c r="I19" s="1">
        <v>90</v>
      </c>
      <c r="J19" s="3">
        <v>0.253</v>
      </c>
      <c r="K19" s="4">
        <v>17592808</v>
      </c>
      <c r="L19" s="3">
        <v>1.7100000000000001E-2</v>
      </c>
      <c r="M19" s="4">
        <v>4070735277</v>
      </c>
      <c r="N19" s="147">
        <v>10</v>
      </c>
    </row>
    <row r="20" spans="1:14" ht="15" thickBot="1" x14ac:dyDescent="0.4">
      <c r="A20" s="146">
        <v>1970</v>
      </c>
      <c r="B20" s="2">
        <v>60166719</v>
      </c>
      <c r="C20" s="2">
        <f t="shared" si="0"/>
        <v>60.166719000000001</v>
      </c>
      <c r="D20" s="3">
        <v>2.8799999999999999E-2</v>
      </c>
      <c r="E20" s="4">
        <v>1591542</v>
      </c>
      <c r="F20" s="1" t="s">
        <v>40</v>
      </c>
      <c r="G20" s="1">
        <v>17.100000000000001</v>
      </c>
      <c r="H20" s="1">
        <v>6.8</v>
      </c>
      <c r="I20" s="1">
        <v>78</v>
      </c>
      <c r="J20" s="5">
        <v>0.24</v>
      </c>
      <c r="K20" s="4">
        <v>14416426</v>
      </c>
      <c r="L20" s="3">
        <v>1.6299999999999999E-2</v>
      </c>
      <c r="M20" s="4">
        <v>3694683794</v>
      </c>
      <c r="N20" s="147">
        <v>10</v>
      </c>
    </row>
    <row r="21" spans="1:14" ht="15" thickBot="1" x14ac:dyDescent="0.4">
      <c r="A21" s="146">
        <v>1965</v>
      </c>
      <c r="B21" s="2">
        <v>52209010</v>
      </c>
      <c r="C21" s="2">
        <f t="shared" si="0"/>
        <v>52.209009999999999</v>
      </c>
      <c r="D21" s="3">
        <v>2.69E-2</v>
      </c>
      <c r="E21" s="4">
        <v>1299940</v>
      </c>
      <c r="F21" s="1" t="s">
        <v>41</v>
      </c>
      <c r="G21" s="1">
        <v>17.8</v>
      </c>
      <c r="H21" s="1">
        <v>6.8</v>
      </c>
      <c r="I21" s="1">
        <v>68</v>
      </c>
      <c r="J21" s="3">
        <v>0.22900000000000001</v>
      </c>
      <c r="K21" s="4">
        <v>11954323</v>
      </c>
      <c r="L21" s="3">
        <v>1.5699999999999999E-2</v>
      </c>
      <c r="M21" s="4">
        <v>3334533703</v>
      </c>
      <c r="N21" s="147">
        <v>11</v>
      </c>
    </row>
    <row r="22" spans="1:14" ht="15" thickBot="1" x14ac:dyDescent="0.4">
      <c r="A22" s="146">
        <v>1960</v>
      </c>
      <c r="B22" s="2">
        <v>45709310</v>
      </c>
      <c r="C22" s="2">
        <f t="shared" si="0"/>
        <v>45.709310000000002</v>
      </c>
      <c r="D22" s="3">
        <v>2.6499999999999999E-2</v>
      </c>
      <c r="E22" s="4">
        <v>1122248</v>
      </c>
      <c r="F22" s="1">
        <v>0</v>
      </c>
      <c r="G22" s="1">
        <v>18</v>
      </c>
      <c r="H22" s="1">
        <v>6.8</v>
      </c>
      <c r="I22" s="1">
        <v>59</v>
      </c>
      <c r="J22" s="3">
        <v>0.217</v>
      </c>
      <c r="K22" s="4">
        <v>9926658</v>
      </c>
      <c r="L22" s="3">
        <v>1.52E-2</v>
      </c>
      <c r="M22" s="4">
        <v>3015470894</v>
      </c>
      <c r="N22" s="147">
        <v>13</v>
      </c>
    </row>
    <row r="23" spans="1:14" ht="15" thickBot="1" x14ac:dyDescent="0.4">
      <c r="A23" s="146">
        <v>1955</v>
      </c>
      <c r="B23" s="2">
        <v>40098069</v>
      </c>
      <c r="C23" s="2">
        <f t="shared" si="0"/>
        <v>40.098069000000002</v>
      </c>
      <c r="D23" s="3">
        <v>2.2700000000000001E-2</v>
      </c>
      <c r="E23" s="4">
        <v>849762</v>
      </c>
      <c r="F23" s="4">
        <v>50005</v>
      </c>
      <c r="G23" s="1">
        <v>17.899999999999999</v>
      </c>
      <c r="H23" s="1">
        <v>6.8</v>
      </c>
      <c r="I23" s="1">
        <v>52</v>
      </c>
      <c r="J23" s="3">
        <v>0.19900000000000001</v>
      </c>
      <c r="K23" s="4">
        <v>7968418</v>
      </c>
      <c r="L23" s="3">
        <v>1.46E-2</v>
      </c>
      <c r="M23" s="4">
        <v>2740213792</v>
      </c>
      <c r="N23" s="147">
        <v>14</v>
      </c>
    </row>
    <row r="24" spans="1:14" ht="15" thickBot="1" x14ac:dyDescent="0.4">
      <c r="A24" s="557" t="s">
        <v>43</v>
      </c>
      <c r="B24" s="558"/>
      <c r="C24" s="148"/>
      <c r="D24" s="156">
        <f>AVERAGE(D6:D23)</f>
        <v>2.4788888888888892E-2</v>
      </c>
      <c r="E24" s="7"/>
      <c r="F24" s="7"/>
      <c r="G24" s="7"/>
      <c r="H24" s="7"/>
      <c r="I24" s="7"/>
      <c r="J24" s="7"/>
      <c r="K24" s="7"/>
      <c r="L24" s="7"/>
      <c r="M24" s="7"/>
      <c r="N24" s="8"/>
    </row>
    <row r="26" spans="1:14" ht="15" thickBot="1" x14ac:dyDescent="0.4"/>
    <row r="27" spans="1:14" x14ac:dyDescent="0.35">
      <c r="B27" s="111">
        <v>2023</v>
      </c>
      <c r="C27" s="101">
        <v>100</v>
      </c>
      <c r="D27" s="69" t="s">
        <v>74</v>
      </c>
    </row>
    <row r="28" spans="1:14" ht="203" x14ac:dyDescent="0.35">
      <c r="B28" s="70" t="s">
        <v>155</v>
      </c>
      <c r="C28" s="157" t="s">
        <v>123</v>
      </c>
      <c r="D28" s="74"/>
    </row>
    <row r="29" spans="1:14" x14ac:dyDescent="0.35">
      <c r="B29" s="70" t="s">
        <v>19</v>
      </c>
      <c r="C29" s="158">
        <v>0.05</v>
      </c>
      <c r="D29" s="74"/>
    </row>
    <row r="30" spans="1:14" ht="15" thickBot="1" x14ac:dyDescent="0.4">
      <c r="B30" s="79"/>
      <c r="C30" s="78">
        <f>C27*(1+C29)^5</f>
        <v>127.62815625000002</v>
      </c>
      <c r="D30" s="80" t="str">
        <f>D27</f>
        <v>million litres</v>
      </c>
    </row>
  </sheetData>
  <mergeCells count="3">
    <mergeCell ref="A3:A5"/>
    <mergeCell ref="B3:B5"/>
    <mergeCell ref="A24: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Quick Answer View </vt:lpstr>
      <vt:lpstr>Q1</vt:lpstr>
      <vt:lpstr>Q2</vt:lpstr>
      <vt:lpstr>Q3</vt:lpstr>
      <vt:lpstr>Inditex IS</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RAHIM SHAIKH - 26570</dc:creator>
  <cp:lastModifiedBy>ABDUL RAHIM SHAIKH - 26570</cp:lastModifiedBy>
  <dcterms:created xsi:type="dcterms:W3CDTF">2025-06-05T09:59:44Z</dcterms:created>
  <dcterms:modified xsi:type="dcterms:W3CDTF">2025-08-11T11:43:44Z</dcterms:modified>
</cp:coreProperties>
</file>