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Zainab\Desktop\"/>
    </mc:Choice>
  </mc:AlternateContent>
  <xr:revisionPtr revIDLastSave="0" documentId="13_ncr:1_{F8D2BE49-4B2A-4557-AA5C-7E835ABE0DA2}" xr6:coauthVersionLast="47" xr6:coauthVersionMax="47" xr10:uidLastSave="{00000000-0000-0000-0000-000000000000}"/>
  <bookViews>
    <workbookView xWindow="-110" yWindow="-110" windowWidth="19420" windowHeight="10300" firstSheet="8" activeTab="10" xr2:uid="{00000000-000D-0000-FFFF-FFFF00000000}"/>
  </bookViews>
  <sheets>
    <sheet name="Cover page" sheetId="13" r:id="rId1"/>
    <sheet name="Contribution" sheetId="15" r:id="rId2"/>
    <sheet name="Pre-Period" sheetId="8" r:id="rId3"/>
    <sheet name="Post-Period" sheetId="9" r:id="rId4"/>
    <sheet name="T-Test" sheetId="19" r:id="rId5"/>
    <sheet name="Regression 1 Result" sheetId="25" r:id="rId6"/>
    <sheet name="Regressions(RSQ)" sheetId="21" r:id="rId7"/>
    <sheet name="Regresion 2" sheetId="22" r:id="rId8"/>
    <sheet name="Regression 2 Results" sheetId="26" r:id="rId9"/>
    <sheet name="comment on overall project" sheetId="27" r:id="rId10"/>
    <sheet name="3-month t bill" sheetId="23" r:id="rId11"/>
    <sheet name="Pre-period(stats)" sheetId="10" r:id="rId12"/>
    <sheet name="Post-period(stats) " sheetId="12" r:id="rId13"/>
    <sheet name="KSE 100" sheetId="20" r:id="rId14"/>
    <sheet name="Rough" sheetId="17" r:id="rId15"/>
  </sheets>
  <externalReferences>
    <externalReference r:id="rId16"/>
  </externalReferences>
  <definedNames>
    <definedName name="ASK" localSheetId="12">#REF!</definedName>
    <definedName name="ASK" localSheetId="7">#REF!</definedName>
    <definedName name="ASK">#REF!</definedName>
    <definedName name="BID" localSheetId="12">#REF!</definedName>
    <definedName name="BID" localSheetId="7">#REF!</definedName>
    <definedName name="BID">#REF!</definedName>
    <definedName name="chartTableData" localSheetId="12">#REF!</definedName>
    <definedName name="chartTableData" localSheetId="7">#REF!</definedName>
    <definedName name="chartTableData">#REF!</definedName>
    <definedName name="chartTableHeader" localSheetId="12">#REF!</definedName>
    <definedName name="chartTableHeader" localSheetId="7">#REF!</definedName>
    <definedName name="chartTableHeader">#REF!</definedName>
    <definedName name="chartTableName" localSheetId="12">#REF!</definedName>
    <definedName name="chartTableName" localSheetId="7">#REF!</definedName>
    <definedName name="chartTableName">#REF!</definedName>
    <definedName name="chartTableTotal" localSheetId="12">#REF!</definedName>
    <definedName name="chartTableTotal" localSheetId="7">#REF!</definedName>
    <definedName name="chartTableTotal">#REF!</definedName>
    <definedName name="CLS" localSheetId="12">#REF!</definedName>
    <definedName name="CLS" localSheetId="7">#REF!</definedName>
    <definedName name="CLS">#REF!</definedName>
    <definedName name="DAT" localSheetId="12">#REF!</definedName>
    <definedName name="DAT" localSheetId="7">#REF!</definedName>
    <definedName name="DAT">#REF!</definedName>
    <definedName name="filterValues" localSheetId="12">#REF!</definedName>
    <definedName name="filterValues" localSheetId="7">#REF!</definedName>
    <definedName name="filterValues">#REF!</definedName>
    <definedName name="HIG" localSheetId="12">#REF!</definedName>
    <definedName name="HIG" localSheetId="7">#REF!</definedName>
    <definedName name="HIG">#REF!</definedName>
    <definedName name="HLR" localSheetId="12">#REF!</definedName>
    <definedName name="HLR" localSheetId="7">#REF!</definedName>
    <definedName name="HLR">#REF!</definedName>
    <definedName name="LOW" localSheetId="12">#REF!</definedName>
    <definedName name="LOW" localSheetId="7">#REF!</definedName>
    <definedName name="LOW">#REF!</definedName>
    <definedName name="LTR" localSheetId="12">#REF!</definedName>
    <definedName name="LTR" localSheetId="7">#REF!</definedName>
    <definedName name="LTR">#REF!</definedName>
    <definedName name="NET" localSheetId="12">#REF!</definedName>
    <definedName name="NET" localSheetId="7">#REF!</definedName>
    <definedName name="NET">#REF!</definedName>
    <definedName name="OCR" localSheetId="12">#REF!</definedName>
    <definedName name="OCR" localSheetId="7">#REF!</definedName>
    <definedName name="OCR">#REF!</definedName>
    <definedName name="OPN" localSheetId="12">#REF!</definedName>
    <definedName name="OPN" localSheetId="7">#REF!</definedName>
    <definedName name="OPN">#REF!</definedName>
    <definedName name="PCC" localSheetId="12">#REF!</definedName>
    <definedName name="PCC" localSheetId="7">#REF!</definedName>
    <definedName name="PCC">#REF!</definedName>
    <definedName name="PCV" localSheetId="12">#REF!</definedName>
    <definedName name="PCV" localSheetId="7">#REF!</definedName>
    <definedName name="PCV">#REF!</definedName>
    <definedName name="phTableData" localSheetId="12">#REF!</definedName>
    <definedName name="phTableData" localSheetId="7">#REF!</definedName>
    <definedName name="phTableData">#REF!</definedName>
    <definedName name="phTableHeader" localSheetId="12">#REF!</definedName>
    <definedName name="phTableHeader" localSheetId="7">#REF!</definedName>
    <definedName name="phTableHeader">#REF!</definedName>
    <definedName name="phTableName" localSheetId="12">#REF!</definedName>
    <definedName name="phTableName" localSheetId="7">#REF!</definedName>
    <definedName name="phTableName">#REF!</definedName>
    <definedName name="sheetHeader" localSheetId="12">#REF!</definedName>
    <definedName name="sheetHeader" localSheetId="7">#REF!</definedName>
    <definedName name="sheetHeader">#REF!</definedName>
    <definedName name="solver_eng" localSheetId="3" hidden="1">1</definedName>
    <definedName name="solver_neg" localSheetId="3" hidden="1">1</definedName>
    <definedName name="solver_num" localSheetId="3" hidden="1">0</definedName>
    <definedName name="solver_opt" localSheetId="3" hidden="1">'Post-Period'!$D$49</definedName>
    <definedName name="solver_typ" localSheetId="3" hidden="1">1</definedName>
    <definedName name="solver_val" localSheetId="3" hidden="1">0</definedName>
    <definedName name="solver_ver" localSheetId="3" hidden="1">3</definedName>
    <definedName name="statPriceChangeTableData" localSheetId="12">#REF!</definedName>
    <definedName name="statPriceChangeTableData" localSheetId="7">#REF!</definedName>
    <definedName name="statPriceChangeTableData">#REF!</definedName>
    <definedName name="statPriceChangeTableHeader" localSheetId="12">#REF!</definedName>
    <definedName name="statPriceChangeTableHeader" localSheetId="7">#REF!</definedName>
    <definedName name="statPriceChangeTableHeader">#REF!</definedName>
    <definedName name="statPriceTableData" localSheetId="12">#REF!</definedName>
    <definedName name="statPriceTableData" localSheetId="7">#REF!</definedName>
    <definedName name="statPriceTableData">#REF!</definedName>
    <definedName name="statPriceTableHeader" localSheetId="12">#REF!</definedName>
    <definedName name="statPriceTableHeader" localSheetId="7">#REF!</definedName>
    <definedName name="statPriceTableHeader">#REF!</definedName>
    <definedName name="statTableName" localSheetId="12">#REF!</definedName>
    <definedName name="statTableName" localSheetId="7">#REF!</definedName>
    <definedName name="statTableName">#REF!</definedName>
    <definedName name="statUpDownTableData" localSheetId="12">#REF!</definedName>
    <definedName name="statUpDownTableData" localSheetId="7">#REF!</definedName>
    <definedName name="statUpDownTableData">#REF!</definedName>
    <definedName name="statUpDownTableHeader" localSheetId="12">#REF!</definedName>
    <definedName name="statUpDownTableHeader" localSheetId="7">#REF!</definedName>
    <definedName name="statUpDownTableHeader">#REF!</definedName>
    <definedName name="statVolumeTableData" localSheetId="12">#REF!</definedName>
    <definedName name="statVolumeTableData" localSheetId="7">#REF!</definedName>
    <definedName name="statVolumeTableData">#REF!</definedName>
    <definedName name="statVolumeTableHeader" localSheetId="12">#REF!</definedName>
    <definedName name="statVolumeTableHeader" localSheetId="7">#REF!</definedName>
    <definedName name="statVolumeTableHeader">#REF!</definedName>
    <definedName name="TRDPRC_1" localSheetId="12">#REF!</definedName>
    <definedName name="TRDPRC_1" localSheetId="7">#REF!</definedName>
    <definedName name="TRDPRC_1">#REF!</definedName>
    <definedName name="VOL" localSheetId="12">#REF!</definedName>
    <definedName name="VOL" localSheetId="7">#REF!</definedName>
    <definedName name="VOL">#REF!</definedName>
    <definedName name="VWAP" localSheetId="12">#REF!</definedName>
    <definedName name="VWAP" localSheetId="7">#REF!</definedName>
    <definedName name="VWA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4" i="25" l="1"/>
  <c r="M5" i="25"/>
  <c r="M6" i="25"/>
  <c r="M7" i="25"/>
  <c r="M8" i="25"/>
  <c r="M9" i="25"/>
  <c r="M10" i="25"/>
  <c r="M11" i="25"/>
  <c r="M12" i="25"/>
  <c r="M13" i="25"/>
  <c r="M14" i="25"/>
  <c r="M15" i="25"/>
  <c r="M16" i="25"/>
  <c r="M17" i="25"/>
  <c r="M18" i="25"/>
  <c r="L5" i="25"/>
  <c r="L6" i="25"/>
  <c r="L7" i="25"/>
  <c r="L8" i="25"/>
  <c r="L9" i="25"/>
  <c r="L10" i="25"/>
  <c r="L11" i="25"/>
  <c r="L12" i="25"/>
  <c r="L13" i="25"/>
  <c r="L14" i="25"/>
  <c r="L15" i="25"/>
  <c r="L16" i="25"/>
  <c r="L17" i="25"/>
  <c r="L18" i="25"/>
  <c r="L4" i="25"/>
  <c r="E4" i="25"/>
  <c r="E5" i="25"/>
  <c r="E6" i="25"/>
  <c r="E7" i="25"/>
  <c r="E8" i="25"/>
  <c r="E9" i="25"/>
  <c r="E10" i="25"/>
  <c r="E11" i="25"/>
  <c r="E12" i="25"/>
  <c r="E13" i="25"/>
  <c r="E14" i="25"/>
  <c r="E15" i="25"/>
  <c r="E16" i="25"/>
  <c r="E17" i="25"/>
  <c r="E18" i="25"/>
  <c r="D5" i="25"/>
  <c r="D6" i="25"/>
  <c r="D7" i="25"/>
  <c r="D8" i="25"/>
  <c r="D9" i="25"/>
  <c r="D10" i="25"/>
  <c r="D11" i="25"/>
  <c r="D12" i="25"/>
  <c r="D13" i="25"/>
  <c r="D14" i="25"/>
  <c r="D15" i="25"/>
  <c r="D16" i="25"/>
  <c r="D17" i="25"/>
  <c r="D18" i="25"/>
  <c r="D4" i="25"/>
  <c r="S363" i="9" l="1"/>
  <c r="R363" i="9"/>
  <c r="H26" i="22" s="1"/>
  <c r="R364" i="9"/>
  <c r="S273" i="9"/>
  <c r="R273" i="9"/>
  <c r="S360" i="8"/>
  <c r="R360" i="8"/>
  <c r="R272" i="8"/>
  <c r="I26" i="22"/>
  <c r="I25" i="22"/>
  <c r="I24" i="22"/>
  <c r="H25" i="22"/>
  <c r="H24" i="22"/>
  <c r="G26" i="22" l="1"/>
  <c r="G25" i="22"/>
  <c r="G24" i="22"/>
  <c r="E18" i="22"/>
  <c r="F26" i="22"/>
  <c r="F25" i="22"/>
  <c r="F24" i="22"/>
  <c r="E26" i="22"/>
  <c r="E25" i="22"/>
  <c r="E24" i="22"/>
  <c r="I18" i="22" l="1"/>
  <c r="I3" i="22"/>
  <c r="H3" i="22"/>
  <c r="E3" i="22"/>
  <c r="S4" i="9" l="1"/>
  <c r="S5" i="9"/>
  <c r="S6" i="9"/>
  <c r="S7" i="9"/>
  <c r="S8" i="9"/>
  <c r="S9" i="9"/>
  <c r="S10" i="9"/>
  <c r="S11" i="9"/>
  <c r="S12" i="9"/>
  <c r="S13" i="9"/>
  <c r="S14" i="9"/>
  <c r="S15" i="9"/>
  <c r="S16" i="9"/>
  <c r="S17" i="9"/>
  <c r="S18" i="9"/>
  <c r="S19" i="9"/>
  <c r="S20" i="9"/>
  <c r="S21" i="9"/>
  <c r="S22" i="9"/>
  <c r="S23" i="9"/>
  <c r="S24" i="9"/>
  <c r="S25" i="9"/>
  <c r="S26" i="9"/>
  <c r="S27" i="9"/>
  <c r="S28" i="9"/>
  <c r="S29" i="9"/>
  <c r="S30" i="9"/>
  <c r="S31" i="9"/>
  <c r="S32" i="9"/>
  <c r="S33" i="9"/>
  <c r="S34" i="9"/>
  <c r="S35" i="9"/>
  <c r="S36" i="9"/>
  <c r="S37" i="9"/>
  <c r="S38" i="9"/>
  <c r="S39" i="9"/>
  <c r="S40" i="9"/>
  <c r="S41" i="9"/>
  <c r="S42" i="9"/>
  <c r="S43" i="9"/>
  <c r="S44" i="9"/>
  <c r="S45" i="9"/>
  <c r="S3" i="9"/>
  <c r="T625" i="8"/>
  <c r="T626" i="8"/>
  <c r="T627" i="8"/>
  <c r="T628" i="8"/>
  <c r="T629" i="8"/>
  <c r="T630" i="8"/>
  <c r="T631" i="8"/>
  <c r="T632" i="8"/>
  <c r="T633" i="8"/>
  <c r="T634" i="8"/>
  <c r="T635" i="8"/>
  <c r="T636" i="8"/>
  <c r="T637" i="8"/>
  <c r="T638" i="8"/>
  <c r="T639" i="8"/>
  <c r="T640" i="8"/>
  <c r="T641" i="8"/>
  <c r="T642" i="8"/>
  <c r="T643" i="8"/>
  <c r="T644" i="8"/>
  <c r="T645" i="8"/>
  <c r="T646" i="8"/>
  <c r="T647" i="8"/>
  <c r="T648" i="8"/>
  <c r="T649" i="8"/>
  <c r="T650" i="8"/>
  <c r="T651" i="8"/>
  <c r="T652" i="8"/>
  <c r="T653" i="8"/>
  <c r="T654" i="8"/>
  <c r="T655" i="8"/>
  <c r="T656" i="8"/>
  <c r="T657" i="8"/>
  <c r="T658" i="8"/>
  <c r="T659" i="8"/>
  <c r="T660" i="8"/>
  <c r="T661" i="8"/>
  <c r="T662" i="8"/>
  <c r="T663" i="8"/>
  <c r="T624" i="8"/>
  <c r="T537" i="8"/>
  <c r="T538" i="8"/>
  <c r="T539" i="8"/>
  <c r="T540" i="8"/>
  <c r="T541" i="8"/>
  <c r="T542" i="8"/>
  <c r="T543" i="8"/>
  <c r="T544" i="8"/>
  <c r="T545" i="8"/>
  <c r="T546" i="8"/>
  <c r="T547" i="8"/>
  <c r="T548" i="8"/>
  <c r="T549" i="8"/>
  <c r="T550" i="8"/>
  <c r="T551" i="8"/>
  <c r="T552" i="8"/>
  <c r="T553" i="8"/>
  <c r="T554" i="8"/>
  <c r="T555" i="8"/>
  <c r="T556" i="8"/>
  <c r="T557" i="8"/>
  <c r="T558" i="8"/>
  <c r="T559" i="8"/>
  <c r="T560" i="8"/>
  <c r="T561" i="8"/>
  <c r="T562" i="8"/>
  <c r="T563" i="8"/>
  <c r="T564" i="8"/>
  <c r="T565" i="8"/>
  <c r="T566" i="8"/>
  <c r="T567" i="8"/>
  <c r="T568" i="8"/>
  <c r="T569" i="8"/>
  <c r="T570" i="8"/>
  <c r="T571" i="8"/>
  <c r="T572" i="8"/>
  <c r="T573" i="8"/>
  <c r="T574" i="8"/>
  <c r="T575" i="8"/>
  <c r="T536" i="8"/>
  <c r="T405" i="8"/>
  <c r="T406" i="8"/>
  <c r="T407" i="8"/>
  <c r="T408" i="8"/>
  <c r="T409" i="8"/>
  <c r="T410" i="8"/>
  <c r="T411" i="8"/>
  <c r="T412" i="8"/>
  <c r="T413" i="8"/>
  <c r="T414" i="8"/>
  <c r="T415" i="8"/>
  <c r="T416" i="8"/>
  <c r="T417" i="8"/>
  <c r="T418" i="8"/>
  <c r="T419" i="8"/>
  <c r="T420" i="8"/>
  <c r="T421" i="8"/>
  <c r="T422" i="8"/>
  <c r="T423" i="8"/>
  <c r="T424" i="8"/>
  <c r="T425" i="8"/>
  <c r="T426" i="8"/>
  <c r="T427" i="8"/>
  <c r="T428" i="8"/>
  <c r="T429" i="8"/>
  <c r="T430" i="8"/>
  <c r="T431" i="8"/>
  <c r="T432" i="8"/>
  <c r="T433" i="8"/>
  <c r="T434" i="8"/>
  <c r="T435" i="8"/>
  <c r="T436" i="8"/>
  <c r="T437" i="8"/>
  <c r="T438" i="8"/>
  <c r="T439" i="8"/>
  <c r="T440" i="8"/>
  <c r="T441" i="8"/>
  <c r="T442" i="8"/>
  <c r="T443" i="8"/>
  <c r="T404" i="8"/>
  <c r="U317" i="8"/>
  <c r="U318" i="8"/>
  <c r="U319" i="8"/>
  <c r="U320" i="8"/>
  <c r="U321" i="8"/>
  <c r="U322" i="8"/>
  <c r="U323" i="8"/>
  <c r="U324" i="8"/>
  <c r="U325" i="8"/>
  <c r="U326" i="8"/>
  <c r="U327" i="8"/>
  <c r="U328" i="8"/>
  <c r="U329" i="8"/>
  <c r="U330" i="8"/>
  <c r="U331" i="8"/>
  <c r="U332" i="8"/>
  <c r="U333" i="8"/>
  <c r="U334" i="8"/>
  <c r="U335" i="8"/>
  <c r="U336" i="8"/>
  <c r="U337" i="8"/>
  <c r="U338" i="8"/>
  <c r="U339" i="8"/>
  <c r="U340" i="8"/>
  <c r="U341" i="8"/>
  <c r="U342" i="8"/>
  <c r="U343" i="8"/>
  <c r="U344" i="8"/>
  <c r="U345" i="8"/>
  <c r="U346" i="8"/>
  <c r="U347" i="8"/>
  <c r="U348" i="8"/>
  <c r="U349" i="8"/>
  <c r="U350" i="8"/>
  <c r="U351" i="8"/>
  <c r="U352" i="8"/>
  <c r="U353" i="8"/>
  <c r="U354" i="8"/>
  <c r="U355" i="8"/>
  <c r="U316" i="8"/>
  <c r="H10" i="22" s="1"/>
  <c r="T317" i="8"/>
  <c r="T318" i="8"/>
  <c r="T319" i="8"/>
  <c r="T320" i="8"/>
  <c r="T321" i="8"/>
  <c r="T322" i="8"/>
  <c r="T323" i="8"/>
  <c r="T324" i="8"/>
  <c r="T325" i="8"/>
  <c r="T326" i="8"/>
  <c r="T327" i="8"/>
  <c r="T328" i="8"/>
  <c r="T329" i="8"/>
  <c r="T330" i="8"/>
  <c r="T331" i="8"/>
  <c r="T332" i="8"/>
  <c r="T333" i="8"/>
  <c r="T334" i="8"/>
  <c r="T335" i="8"/>
  <c r="T336" i="8"/>
  <c r="T337" i="8"/>
  <c r="T338" i="8"/>
  <c r="T339" i="8"/>
  <c r="T340" i="8"/>
  <c r="T341" i="8"/>
  <c r="T342" i="8"/>
  <c r="T343" i="8"/>
  <c r="T344" i="8"/>
  <c r="T345" i="8"/>
  <c r="T346" i="8"/>
  <c r="T347" i="8"/>
  <c r="T348" i="8"/>
  <c r="T349" i="8"/>
  <c r="T350" i="8"/>
  <c r="T351" i="8"/>
  <c r="T352" i="8"/>
  <c r="T353" i="8"/>
  <c r="T354" i="8"/>
  <c r="T355" i="8"/>
  <c r="T316" i="8"/>
  <c r="S317" i="8"/>
  <c r="S318" i="8"/>
  <c r="S319" i="8"/>
  <c r="S320" i="8"/>
  <c r="S321" i="8"/>
  <c r="S322" i="8"/>
  <c r="S323" i="8"/>
  <c r="S324" i="8"/>
  <c r="S325" i="8"/>
  <c r="S326" i="8"/>
  <c r="S327" i="8"/>
  <c r="S328" i="8"/>
  <c r="S329" i="8"/>
  <c r="S330" i="8"/>
  <c r="S331" i="8"/>
  <c r="S332" i="8"/>
  <c r="S333" i="8"/>
  <c r="S334" i="8"/>
  <c r="S335" i="8"/>
  <c r="S336" i="8"/>
  <c r="S337" i="8"/>
  <c r="S338" i="8"/>
  <c r="S339" i="8"/>
  <c r="S340" i="8"/>
  <c r="S341" i="8"/>
  <c r="S342" i="8"/>
  <c r="S343" i="8"/>
  <c r="S344" i="8"/>
  <c r="S345" i="8"/>
  <c r="S346" i="8"/>
  <c r="S347" i="8"/>
  <c r="S348" i="8"/>
  <c r="S349" i="8"/>
  <c r="S350" i="8"/>
  <c r="S351" i="8"/>
  <c r="S352" i="8"/>
  <c r="S353" i="8"/>
  <c r="S354" i="8"/>
  <c r="S355" i="8"/>
  <c r="G10" i="22" s="1"/>
  <c r="S316" i="8"/>
  <c r="T4" i="8"/>
  <c r="T5" i="8"/>
  <c r="T6" i="8"/>
  <c r="T7" i="8"/>
  <c r="T8" i="8"/>
  <c r="T9" i="8"/>
  <c r="T10" i="8"/>
  <c r="T11" i="8"/>
  <c r="T12" i="8"/>
  <c r="T13" i="8"/>
  <c r="T14" i="8"/>
  <c r="T15" i="8"/>
  <c r="T16" i="8"/>
  <c r="T17" i="8"/>
  <c r="T18" i="8"/>
  <c r="T19" i="8"/>
  <c r="T20" i="8"/>
  <c r="T21" i="8"/>
  <c r="T22" i="8"/>
  <c r="T23" i="8"/>
  <c r="T24" i="8"/>
  <c r="T25" i="8"/>
  <c r="T26" i="8"/>
  <c r="T27" i="8"/>
  <c r="T28" i="8"/>
  <c r="T29" i="8"/>
  <c r="T30" i="8"/>
  <c r="T31" i="8"/>
  <c r="T32" i="8"/>
  <c r="T33" i="8"/>
  <c r="T34" i="8"/>
  <c r="T35" i="8"/>
  <c r="T36" i="8"/>
  <c r="T37" i="8"/>
  <c r="T38" i="8"/>
  <c r="T39" i="8"/>
  <c r="T40" i="8"/>
  <c r="T41" i="8"/>
  <c r="T42" i="8"/>
  <c r="T3" i="8"/>
  <c r="F3" i="22" s="1"/>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3" i="8"/>
  <c r="G3" i="22" s="1"/>
  <c r="AE22" i="9"/>
  <c r="N18" i="25" s="1"/>
  <c r="AE21" i="9"/>
  <c r="N17" i="25" s="1"/>
  <c r="AE20" i="9"/>
  <c r="N16" i="25" s="1"/>
  <c r="AE19" i="9"/>
  <c r="N15" i="25" s="1"/>
  <c r="AE18" i="9"/>
  <c r="N14" i="25" s="1"/>
  <c r="AE17" i="9"/>
  <c r="N13" i="25" s="1"/>
  <c r="AE16" i="9"/>
  <c r="N12" i="25" s="1"/>
  <c r="AE15" i="9"/>
  <c r="N11" i="25" s="1"/>
  <c r="AE14" i="9"/>
  <c r="N10" i="25" s="1"/>
  <c r="AE13" i="9"/>
  <c r="N9" i="25" s="1"/>
  <c r="AE12" i="9"/>
  <c r="N8" i="25" s="1"/>
  <c r="AE11" i="9"/>
  <c r="N7" i="25" s="1"/>
  <c r="AE10" i="9"/>
  <c r="N6" i="25" s="1"/>
  <c r="AE9" i="9"/>
  <c r="N5" i="25" s="1"/>
  <c r="AE8" i="9"/>
  <c r="N4" i="25" s="1"/>
  <c r="AE22" i="8"/>
  <c r="F18" i="25" s="1"/>
  <c r="AE21" i="8"/>
  <c r="F17" i="25" s="1"/>
  <c r="AE20" i="8"/>
  <c r="F16" i="25" s="1"/>
  <c r="AE19" i="8"/>
  <c r="F15" i="25" s="1"/>
  <c r="AE18" i="8"/>
  <c r="F14" i="25" s="1"/>
  <c r="AE17" i="8"/>
  <c r="F13" i="25" s="1"/>
  <c r="AE16" i="8"/>
  <c r="F12" i="25" s="1"/>
  <c r="AE15" i="8"/>
  <c r="F11" i="25" s="1"/>
  <c r="AE14" i="8"/>
  <c r="F10" i="25" s="1"/>
  <c r="AE13" i="8"/>
  <c r="F9" i="25" s="1"/>
  <c r="AE12" i="8"/>
  <c r="F8" i="25" s="1"/>
  <c r="AE11" i="8"/>
  <c r="F7" i="25" s="1"/>
  <c r="AE10" i="8"/>
  <c r="F6" i="25" s="1"/>
  <c r="AE9" i="8"/>
  <c r="F5" i="25" s="1"/>
  <c r="AE8" i="8"/>
  <c r="F4" i="25" s="1"/>
  <c r="I11" i="22"/>
  <c r="I10" i="22"/>
  <c r="I9" i="22"/>
  <c r="H11" i="22"/>
  <c r="H9" i="22"/>
  <c r="G11" i="22"/>
  <c r="G9" i="22"/>
  <c r="F11" i="22"/>
  <c r="F10" i="22"/>
  <c r="F9" i="22"/>
  <c r="E11" i="22"/>
  <c r="E9" i="22"/>
  <c r="E10" i="22"/>
  <c r="B17" i="22"/>
  <c r="B32" i="22" s="1"/>
  <c r="B16" i="22"/>
  <c r="B31" i="22" s="1"/>
  <c r="B15" i="22"/>
  <c r="B30" i="22" s="1"/>
  <c r="B14" i="22"/>
  <c r="B29" i="22" s="1"/>
  <c r="B13" i="22"/>
  <c r="B28" i="22" s="1"/>
  <c r="B12" i="22"/>
  <c r="B27" i="22" s="1"/>
  <c r="B11" i="22"/>
  <c r="B26" i="22" s="1"/>
  <c r="B10" i="22"/>
  <c r="B25" i="22" s="1"/>
  <c r="B9" i="22"/>
  <c r="B24" i="22" s="1"/>
  <c r="B8" i="22"/>
  <c r="B23" i="22" s="1"/>
  <c r="B7" i="22"/>
  <c r="B22" i="22" s="1"/>
  <c r="B6" i="22"/>
  <c r="B21" i="22" s="1"/>
  <c r="B5" i="22"/>
  <c r="B20" i="22" s="1"/>
  <c r="B4" i="22"/>
  <c r="B19" i="22" s="1"/>
  <c r="B3" i="22"/>
  <c r="B18" i="22" s="1"/>
  <c r="AF21" i="9" l="1"/>
  <c r="AF20" i="9"/>
  <c r="AF19" i="9"/>
  <c r="AF18" i="9"/>
  <c r="AF17" i="9"/>
  <c r="AF16" i="9"/>
  <c r="AF15" i="9"/>
  <c r="AF14" i="9"/>
  <c r="AF12" i="9"/>
  <c r="AF11" i="9"/>
  <c r="AF10" i="9"/>
  <c r="AF22" i="9"/>
  <c r="AF15" i="8"/>
  <c r="AF22" i="8"/>
  <c r="AF21" i="8"/>
  <c r="AF20" i="8"/>
  <c r="AF19" i="8"/>
  <c r="AF18" i="8"/>
  <c r="AF17" i="8"/>
  <c r="AF16" i="8"/>
  <c r="AF14" i="8"/>
  <c r="AF13" i="8"/>
  <c r="AF12" i="8"/>
  <c r="AF11" i="8"/>
  <c r="AF10" i="8"/>
  <c r="AF8" i="8"/>
  <c r="AF9" i="9"/>
  <c r="AF8" i="9"/>
  <c r="C98" i="9"/>
  <c r="C24" i="22" l="1"/>
  <c r="O10" i="25"/>
  <c r="C25" i="22"/>
  <c r="O11" i="25"/>
  <c r="C10" i="22"/>
  <c r="G11" i="25"/>
  <c r="C11" i="22"/>
  <c r="G12" i="25"/>
  <c r="C32" i="22"/>
  <c r="O18" i="25"/>
  <c r="C19" i="22"/>
  <c r="O5" i="25"/>
  <c r="C12" i="22"/>
  <c r="G13" i="25"/>
  <c r="C20" i="22"/>
  <c r="O6" i="25"/>
  <c r="C29" i="22"/>
  <c r="O15" i="25"/>
  <c r="C6" i="22"/>
  <c r="G7" i="25"/>
  <c r="C7" i="22"/>
  <c r="G8" i="25"/>
  <c r="C16" i="22"/>
  <c r="G17" i="25"/>
  <c r="C17" i="22"/>
  <c r="G18" i="25"/>
  <c r="C9" i="22"/>
  <c r="G10" i="25"/>
  <c r="C18" i="22"/>
  <c r="O4" i="25"/>
  <c r="C3" i="22"/>
  <c r="G4" i="25"/>
  <c r="C13" i="22"/>
  <c r="G14" i="25"/>
  <c r="C21" i="22"/>
  <c r="O7" i="25"/>
  <c r="C30" i="22"/>
  <c r="O16" i="25"/>
  <c r="C15" i="22"/>
  <c r="G16" i="25"/>
  <c r="C8" i="22"/>
  <c r="G9" i="25"/>
  <c r="C26" i="22"/>
  <c r="O12" i="25"/>
  <c r="C27" i="22"/>
  <c r="O13" i="25"/>
  <c r="C28" i="22"/>
  <c r="O14" i="25"/>
  <c r="C5" i="22"/>
  <c r="G6" i="25"/>
  <c r="C14" i="22"/>
  <c r="G15" i="25"/>
  <c r="C22" i="22"/>
  <c r="O8" i="25"/>
  <c r="C31" i="22"/>
  <c r="O17" i="25"/>
  <c r="Z24" i="8"/>
  <c r="J72" i="20"/>
  <c r="Z45" i="9" s="1"/>
  <c r="J71" i="20"/>
  <c r="Z44" i="9" s="1"/>
  <c r="J70" i="20"/>
  <c r="Z43" i="9" s="1"/>
  <c r="V69" i="20"/>
  <c r="Z42" i="8" s="1"/>
  <c r="J69" i="20"/>
  <c r="Z42" i="9" s="1"/>
  <c r="V68" i="20"/>
  <c r="Z41" i="8" s="1"/>
  <c r="J68" i="20"/>
  <c r="Z41" i="9" s="1"/>
  <c r="V67" i="20"/>
  <c r="Z40" i="8" s="1"/>
  <c r="J67" i="20"/>
  <c r="Z40" i="9" s="1"/>
  <c r="V66" i="20"/>
  <c r="Z39" i="8" s="1"/>
  <c r="J66" i="20"/>
  <c r="Z39" i="9" s="1"/>
  <c r="V65" i="20"/>
  <c r="Z38" i="8" s="1"/>
  <c r="J65" i="20"/>
  <c r="Z38" i="9" s="1"/>
  <c r="V64" i="20"/>
  <c r="Z37" i="8" s="1"/>
  <c r="J64" i="20"/>
  <c r="Z37" i="9" s="1"/>
  <c r="V63" i="20"/>
  <c r="Z36" i="8" s="1"/>
  <c r="J63" i="20"/>
  <c r="Z36" i="9" s="1"/>
  <c r="V62" i="20"/>
  <c r="Z35" i="8" s="1"/>
  <c r="J62" i="20"/>
  <c r="Z35" i="9" s="1"/>
  <c r="V61" i="20"/>
  <c r="Z34" i="8" s="1"/>
  <c r="J61" i="20"/>
  <c r="Z34" i="9" s="1"/>
  <c r="V60" i="20"/>
  <c r="Z33" i="8" s="1"/>
  <c r="J60" i="20"/>
  <c r="Z33" i="9" s="1"/>
  <c r="V59" i="20"/>
  <c r="Z32" i="8" s="1"/>
  <c r="J59" i="20"/>
  <c r="Z32" i="9" s="1"/>
  <c r="V58" i="20"/>
  <c r="Z31" i="8" s="1"/>
  <c r="J58" i="20"/>
  <c r="Z31" i="9" s="1"/>
  <c r="V57" i="20"/>
  <c r="Z30" i="8" s="1"/>
  <c r="J57" i="20"/>
  <c r="Z30" i="9" s="1"/>
  <c r="V56" i="20"/>
  <c r="Z29" i="8" s="1"/>
  <c r="J56" i="20"/>
  <c r="Z29" i="9" s="1"/>
  <c r="V55" i="20"/>
  <c r="Z28" i="8" s="1"/>
  <c r="J55" i="20"/>
  <c r="Z28" i="9" s="1"/>
  <c r="V54" i="20"/>
  <c r="Z27" i="8" s="1"/>
  <c r="J54" i="20"/>
  <c r="Z27" i="9" s="1"/>
  <c r="V53" i="20"/>
  <c r="Z26" i="8" s="1"/>
  <c r="J53" i="20"/>
  <c r="Z26" i="9" s="1"/>
  <c r="V52" i="20"/>
  <c r="Z25" i="8" s="1"/>
  <c r="J52" i="20"/>
  <c r="Z25" i="9" s="1"/>
  <c r="V51" i="20"/>
  <c r="J51" i="20"/>
  <c r="Z24" i="9" s="1"/>
  <c r="V50" i="20"/>
  <c r="Z23" i="8" s="1"/>
  <c r="J50" i="20"/>
  <c r="Z23" i="9" s="1"/>
  <c r="V49" i="20"/>
  <c r="Z22" i="8" s="1"/>
  <c r="J49" i="20"/>
  <c r="Z22" i="9" s="1"/>
  <c r="V48" i="20"/>
  <c r="Z21" i="8" s="1"/>
  <c r="J48" i="20"/>
  <c r="Z21" i="9" s="1"/>
  <c r="V47" i="20"/>
  <c r="Z20" i="8" s="1"/>
  <c r="J47" i="20"/>
  <c r="Z20" i="9" s="1"/>
  <c r="V46" i="20"/>
  <c r="Z19" i="8" s="1"/>
  <c r="J46" i="20"/>
  <c r="Z19" i="9" s="1"/>
  <c r="V45" i="20"/>
  <c r="Z18" i="8" s="1"/>
  <c r="J45" i="20"/>
  <c r="Z18" i="9" s="1"/>
  <c r="V44" i="20"/>
  <c r="Z17" i="8" s="1"/>
  <c r="J44" i="20"/>
  <c r="Z17" i="9" s="1"/>
  <c r="V43" i="20"/>
  <c r="Z16" i="8" s="1"/>
  <c r="J43" i="20"/>
  <c r="Z16" i="9" s="1"/>
  <c r="V42" i="20"/>
  <c r="Z15" i="8" s="1"/>
  <c r="J42" i="20"/>
  <c r="Z15" i="9" s="1"/>
  <c r="V41" i="20"/>
  <c r="Z14" i="8" s="1"/>
  <c r="J41" i="20"/>
  <c r="Z14" i="9" s="1"/>
  <c r="V40" i="20"/>
  <c r="Z13" i="8" s="1"/>
  <c r="J40" i="20"/>
  <c r="Z13" i="9" s="1"/>
  <c r="V39" i="20"/>
  <c r="Z12" i="8" s="1"/>
  <c r="J39" i="20"/>
  <c r="Z12" i="9" s="1"/>
  <c r="V38" i="20"/>
  <c r="Z11" i="8" s="1"/>
  <c r="J38" i="20"/>
  <c r="Z11" i="9" s="1"/>
  <c r="V37" i="20"/>
  <c r="Z10" i="8" s="1"/>
  <c r="J37" i="20"/>
  <c r="Z10" i="9" s="1"/>
  <c r="V36" i="20"/>
  <c r="Z9" i="8" s="1"/>
  <c r="J36" i="20"/>
  <c r="Z9" i="9" s="1"/>
  <c r="V35" i="20"/>
  <c r="Z8" i="8" s="1"/>
  <c r="J35" i="20"/>
  <c r="Z8" i="9" s="1"/>
  <c r="V34" i="20"/>
  <c r="Z7" i="8" s="1"/>
  <c r="J34" i="20"/>
  <c r="Z7" i="9" s="1"/>
  <c r="V33" i="20"/>
  <c r="Z6" i="8" s="1"/>
  <c r="J33" i="20"/>
  <c r="Z6" i="9" s="1"/>
  <c r="V32" i="20"/>
  <c r="Z5" i="8" s="1"/>
  <c r="J32" i="20"/>
  <c r="Z5" i="9" s="1"/>
  <c r="V31" i="20"/>
  <c r="Z4" i="8" s="1"/>
  <c r="J31" i="20"/>
  <c r="Z4" i="9" s="1"/>
  <c r="V30" i="20"/>
  <c r="Z3" i="8" s="1"/>
  <c r="J30" i="20"/>
  <c r="Z3" i="9" l="1"/>
  <c r="G135" i="9"/>
  <c r="AB22" i="9"/>
  <c r="AB21" i="9"/>
  <c r="AB20" i="9"/>
  <c r="AB19" i="9"/>
  <c r="AB18" i="9"/>
  <c r="AB17" i="9"/>
  <c r="AB16" i="9"/>
  <c r="AB15" i="9"/>
  <c r="AB14" i="9"/>
  <c r="AB13" i="9"/>
  <c r="AB12" i="9"/>
  <c r="AB11" i="9"/>
  <c r="AB10" i="9"/>
  <c r="AB9" i="9"/>
  <c r="AB8" i="9"/>
  <c r="F20" i="19" l="1"/>
  <c r="D20" i="19"/>
  <c r="C20" i="19"/>
  <c r="V1115" i="17" l="1"/>
  <c r="V1116" i="17" s="1"/>
  <c r="V1117" i="17" s="1"/>
  <c r="V684" i="17"/>
  <c r="X684" i="17" s="1"/>
  <c r="X1260" i="17"/>
  <c r="X1259" i="17"/>
  <c r="X1258" i="17"/>
  <c r="X1257" i="17"/>
  <c r="X1256" i="17"/>
  <c r="X1255" i="17"/>
  <c r="X1254" i="17"/>
  <c r="X1253" i="17"/>
  <c r="X1252" i="17"/>
  <c r="X1251" i="17"/>
  <c r="X1250" i="17"/>
  <c r="X1249" i="17"/>
  <c r="X1248" i="17"/>
  <c r="X1247" i="17"/>
  <c r="X1246" i="17"/>
  <c r="X1245" i="17"/>
  <c r="X1244" i="17"/>
  <c r="X1243" i="17"/>
  <c r="X1242" i="17"/>
  <c r="X1241" i="17"/>
  <c r="X1240" i="17"/>
  <c r="X1239" i="17"/>
  <c r="X1238" i="17"/>
  <c r="X1237" i="17"/>
  <c r="X1236" i="17"/>
  <c r="X1235" i="17"/>
  <c r="X1234" i="17"/>
  <c r="X1233" i="17"/>
  <c r="X1232" i="17"/>
  <c r="X1231" i="17"/>
  <c r="X1230" i="17"/>
  <c r="X1229" i="17"/>
  <c r="X1228" i="17"/>
  <c r="X1227" i="17"/>
  <c r="X1226" i="17"/>
  <c r="X1225" i="17"/>
  <c r="X1224" i="17"/>
  <c r="X1223" i="17"/>
  <c r="X1222" i="17"/>
  <c r="X1221" i="17"/>
  <c r="X1220" i="17"/>
  <c r="X1219" i="17"/>
  <c r="X1218" i="17"/>
  <c r="X1217" i="17"/>
  <c r="X1216" i="17"/>
  <c r="X1215" i="17"/>
  <c r="X1214" i="17"/>
  <c r="X1213" i="17"/>
  <c r="X1212" i="17"/>
  <c r="X1211" i="17"/>
  <c r="X1210" i="17"/>
  <c r="X1209" i="17"/>
  <c r="X1208" i="17"/>
  <c r="X1207" i="17"/>
  <c r="X1206" i="17"/>
  <c r="X1205" i="17"/>
  <c r="X1204" i="17"/>
  <c r="X1203" i="17"/>
  <c r="X1202" i="17"/>
  <c r="X1201" i="17"/>
  <c r="X1200" i="17"/>
  <c r="X1199" i="17"/>
  <c r="X1198" i="17"/>
  <c r="X1197" i="17"/>
  <c r="X1196" i="17"/>
  <c r="X1195" i="17"/>
  <c r="X1194" i="17"/>
  <c r="X1193" i="17"/>
  <c r="X1192" i="17"/>
  <c r="X1191" i="17"/>
  <c r="X1190" i="17"/>
  <c r="X1189" i="17"/>
  <c r="X1188" i="17"/>
  <c r="X1187" i="17"/>
  <c r="X1186" i="17"/>
  <c r="X1185" i="17"/>
  <c r="X1184" i="17"/>
  <c r="X1183" i="17"/>
  <c r="X1182" i="17"/>
  <c r="X1181" i="17"/>
  <c r="X1180" i="17"/>
  <c r="X1179" i="17"/>
  <c r="X1178" i="17"/>
  <c r="X1177" i="17"/>
  <c r="X1176" i="17"/>
  <c r="X1175" i="17"/>
  <c r="X1174" i="17"/>
  <c r="X1173" i="17"/>
  <c r="X1172" i="17"/>
  <c r="X1171" i="17"/>
  <c r="X1170" i="17"/>
  <c r="X1169" i="17"/>
  <c r="X1168" i="17"/>
  <c r="X1167" i="17"/>
  <c r="X1166" i="17"/>
  <c r="X1165" i="17"/>
  <c r="X1164" i="17"/>
  <c r="X1163" i="17"/>
  <c r="X1162" i="17"/>
  <c r="X1161" i="17"/>
  <c r="X1160" i="17"/>
  <c r="X1159" i="17"/>
  <c r="X1158" i="17"/>
  <c r="X1157" i="17"/>
  <c r="X1156" i="17"/>
  <c r="X1155" i="17"/>
  <c r="X1154" i="17"/>
  <c r="X1153" i="17"/>
  <c r="X1152" i="17"/>
  <c r="X1151" i="17"/>
  <c r="X1150" i="17"/>
  <c r="X1149" i="17"/>
  <c r="X1148" i="17"/>
  <c r="X1147" i="17"/>
  <c r="X1146" i="17"/>
  <c r="X1145" i="17"/>
  <c r="X1144" i="17"/>
  <c r="X1143" i="17"/>
  <c r="X1142" i="17"/>
  <c r="X1141" i="17"/>
  <c r="X1140" i="17"/>
  <c r="X1139" i="17"/>
  <c r="X1138" i="17"/>
  <c r="X1137" i="17"/>
  <c r="X1136" i="17"/>
  <c r="X1135" i="17"/>
  <c r="X1134" i="17"/>
  <c r="X1133" i="17"/>
  <c r="X1132" i="17"/>
  <c r="X1131" i="17"/>
  <c r="X1130" i="17"/>
  <c r="X1129" i="17"/>
  <c r="X1128" i="17"/>
  <c r="X1127" i="17"/>
  <c r="X1126" i="17"/>
  <c r="X1125" i="17"/>
  <c r="X1124" i="17"/>
  <c r="X1123" i="17"/>
  <c r="X1122" i="17"/>
  <c r="X1121" i="17"/>
  <c r="X1120" i="17"/>
  <c r="X1119" i="17"/>
  <c r="X1118" i="17"/>
  <c r="X1114" i="17"/>
  <c r="X1113" i="17"/>
  <c r="X1112" i="17"/>
  <c r="X1111" i="17"/>
  <c r="X1110" i="17"/>
  <c r="X1109" i="17"/>
  <c r="X1108" i="17"/>
  <c r="X1107" i="17"/>
  <c r="X1106" i="17"/>
  <c r="X1105" i="17"/>
  <c r="X1104" i="17"/>
  <c r="X1103" i="17"/>
  <c r="X1102" i="17"/>
  <c r="X1101" i="17"/>
  <c r="X1100" i="17"/>
  <c r="X1099" i="17"/>
  <c r="X1098" i="17"/>
  <c r="X1097" i="17"/>
  <c r="X1096" i="17"/>
  <c r="X1095" i="17"/>
  <c r="X1094" i="17"/>
  <c r="X1093" i="17"/>
  <c r="X1092" i="17"/>
  <c r="X1091" i="17"/>
  <c r="X1090" i="17"/>
  <c r="X1089" i="17"/>
  <c r="X1088" i="17"/>
  <c r="X1087" i="17"/>
  <c r="X1086" i="17"/>
  <c r="X1085" i="17"/>
  <c r="X1084" i="17"/>
  <c r="X1083" i="17"/>
  <c r="X1082" i="17"/>
  <c r="X1081" i="17"/>
  <c r="X1080" i="17"/>
  <c r="X1079" i="17"/>
  <c r="X1078" i="17"/>
  <c r="X1077" i="17"/>
  <c r="X1076" i="17"/>
  <c r="X1075" i="17"/>
  <c r="X1074" i="17"/>
  <c r="X1073" i="17"/>
  <c r="X1072" i="17"/>
  <c r="X1071" i="17"/>
  <c r="X1070" i="17"/>
  <c r="X1069" i="17"/>
  <c r="X1068" i="17"/>
  <c r="X1067" i="17"/>
  <c r="X1066" i="17"/>
  <c r="X1065" i="17"/>
  <c r="X1064" i="17"/>
  <c r="X1063" i="17"/>
  <c r="X1062" i="17"/>
  <c r="X1061" i="17"/>
  <c r="X1060" i="17"/>
  <c r="X1059" i="17"/>
  <c r="X1058" i="17"/>
  <c r="X1057" i="17"/>
  <c r="X1056" i="17"/>
  <c r="X1055" i="17"/>
  <c r="X1054" i="17"/>
  <c r="X1053" i="17"/>
  <c r="X1052" i="17"/>
  <c r="X1051" i="17"/>
  <c r="X1050" i="17"/>
  <c r="X1049" i="17"/>
  <c r="X1048" i="17"/>
  <c r="X1047" i="17"/>
  <c r="X1046" i="17"/>
  <c r="X1045" i="17"/>
  <c r="X1044" i="17"/>
  <c r="X1043" i="17"/>
  <c r="X1042" i="17"/>
  <c r="X1041" i="17"/>
  <c r="X1040" i="17"/>
  <c r="X1039" i="17"/>
  <c r="X1038" i="17"/>
  <c r="X1037" i="17"/>
  <c r="X1036" i="17"/>
  <c r="X1035" i="17"/>
  <c r="X1034" i="17"/>
  <c r="X1033" i="17"/>
  <c r="X1032" i="17"/>
  <c r="X1031" i="17"/>
  <c r="X1030" i="17"/>
  <c r="X1029" i="17"/>
  <c r="X1028" i="17"/>
  <c r="X1027" i="17"/>
  <c r="X1026" i="17"/>
  <c r="X1025" i="17"/>
  <c r="X1024" i="17"/>
  <c r="X1023" i="17"/>
  <c r="X1022" i="17"/>
  <c r="X1021" i="17"/>
  <c r="X1020" i="17"/>
  <c r="X1019" i="17"/>
  <c r="X1018" i="17"/>
  <c r="X1017" i="17"/>
  <c r="X1016" i="17"/>
  <c r="X1015" i="17"/>
  <c r="X1014" i="17"/>
  <c r="X1013" i="17"/>
  <c r="X1012" i="17"/>
  <c r="X1011" i="17"/>
  <c r="X1010" i="17"/>
  <c r="X1009" i="17"/>
  <c r="X1008" i="17"/>
  <c r="X1007" i="17"/>
  <c r="X1006" i="17"/>
  <c r="X1005" i="17"/>
  <c r="X1004" i="17"/>
  <c r="X1003" i="17"/>
  <c r="X1002" i="17"/>
  <c r="X1001" i="17"/>
  <c r="X1000" i="17"/>
  <c r="X999" i="17"/>
  <c r="X998" i="17"/>
  <c r="X997" i="17"/>
  <c r="X996" i="17"/>
  <c r="X995" i="17"/>
  <c r="X994" i="17"/>
  <c r="X993" i="17"/>
  <c r="X992" i="17"/>
  <c r="X991" i="17"/>
  <c r="X990" i="17"/>
  <c r="X989" i="17"/>
  <c r="X988" i="17"/>
  <c r="X987" i="17"/>
  <c r="X986" i="17"/>
  <c r="X985" i="17"/>
  <c r="X984" i="17"/>
  <c r="X983" i="17"/>
  <c r="X982" i="17"/>
  <c r="X981" i="17"/>
  <c r="X980" i="17"/>
  <c r="X979" i="17"/>
  <c r="X978" i="17"/>
  <c r="X977" i="17"/>
  <c r="X976" i="17"/>
  <c r="X975" i="17"/>
  <c r="X974" i="17"/>
  <c r="X973" i="17"/>
  <c r="X972" i="17"/>
  <c r="X971" i="17"/>
  <c r="X970" i="17"/>
  <c r="X969" i="17"/>
  <c r="X968" i="17"/>
  <c r="X967" i="17"/>
  <c r="X966" i="17"/>
  <c r="X965" i="17"/>
  <c r="X964" i="17"/>
  <c r="X963" i="17"/>
  <c r="X962" i="17"/>
  <c r="X961" i="17"/>
  <c r="X960" i="17"/>
  <c r="X959" i="17"/>
  <c r="X958" i="17"/>
  <c r="X957" i="17"/>
  <c r="X956" i="17"/>
  <c r="X955" i="17"/>
  <c r="X954" i="17"/>
  <c r="X953" i="17"/>
  <c r="X952" i="17"/>
  <c r="X951" i="17"/>
  <c r="X950" i="17"/>
  <c r="X949" i="17"/>
  <c r="X948" i="17"/>
  <c r="X947" i="17"/>
  <c r="X946" i="17"/>
  <c r="X945" i="17"/>
  <c r="X944" i="17"/>
  <c r="X943" i="17"/>
  <c r="X942" i="17"/>
  <c r="X941" i="17"/>
  <c r="X940" i="17"/>
  <c r="X939" i="17"/>
  <c r="X938" i="17"/>
  <c r="X937" i="17"/>
  <c r="X936" i="17"/>
  <c r="X935" i="17"/>
  <c r="X934" i="17"/>
  <c r="X933" i="17"/>
  <c r="X932" i="17"/>
  <c r="X931" i="17"/>
  <c r="X930" i="17"/>
  <c r="X929" i="17"/>
  <c r="X928" i="17"/>
  <c r="X927" i="17"/>
  <c r="X926" i="17"/>
  <c r="X925" i="17"/>
  <c r="X924" i="17"/>
  <c r="X923" i="17"/>
  <c r="X922" i="17"/>
  <c r="X921" i="17"/>
  <c r="X920" i="17"/>
  <c r="X919" i="17"/>
  <c r="X918" i="17"/>
  <c r="X917" i="17"/>
  <c r="X916" i="17"/>
  <c r="X915" i="17"/>
  <c r="X914" i="17"/>
  <c r="X913" i="17"/>
  <c r="X912" i="17"/>
  <c r="X911" i="17"/>
  <c r="X910" i="17"/>
  <c r="X909" i="17"/>
  <c r="X908" i="17"/>
  <c r="X907" i="17"/>
  <c r="X906" i="17"/>
  <c r="X905" i="17"/>
  <c r="X904" i="17"/>
  <c r="X903" i="17"/>
  <c r="X902" i="17"/>
  <c r="X901" i="17"/>
  <c r="X900" i="17"/>
  <c r="X899" i="17"/>
  <c r="X898" i="17"/>
  <c r="X897" i="17"/>
  <c r="X896" i="17"/>
  <c r="X895" i="17"/>
  <c r="X894" i="17"/>
  <c r="X893" i="17"/>
  <c r="X892" i="17"/>
  <c r="X891" i="17"/>
  <c r="X890" i="17"/>
  <c r="X889" i="17"/>
  <c r="X888" i="17"/>
  <c r="X887" i="17"/>
  <c r="X886" i="17"/>
  <c r="X885" i="17"/>
  <c r="X884" i="17"/>
  <c r="X883" i="17"/>
  <c r="X882" i="17"/>
  <c r="X881" i="17"/>
  <c r="X880" i="17"/>
  <c r="X879" i="17"/>
  <c r="X878" i="17"/>
  <c r="X877" i="17"/>
  <c r="X876" i="17"/>
  <c r="X875" i="17"/>
  <c r="X874" i="17"/>
  <c r="X873" i="17"/>
  <c r="X872" i="17"/>
  <c r="X871" i="17"/>
  <c r="X870" i="17"/>
  <c r="X869" i="17"/>
  <c r="X868" i="17"/>
  <c r="X867" i="17"/>
  <c r="X866" i="17"/>
  <c r="X865" i="17"/>
  <c r="X864" i="17"/>
  <c r="X863" i="17"/>
  <c r="X862" i="17"/>
  <c r="X861" i="17"/>
  <c r="X860" i="17"/>
  <c r="X859" i="17"/>
  <c r="X858" i="17"/>
  <c r="X857" i="17"/>
  <c r="X856" i="17"/>
  <c r="X855" i="17"/>
  <c r="X854" i="17"/>
  <c r="X853" i="17"/>
  <c r="X852" i="17"/>
  <c r="X851" i="17"/>
  <c r="X850" i="17"/>
  <c r="X849" i="17"/>
  <c r="X848" i="17"/>
  <c r="X847" i="17"/>
  <c r="X846" i="17"/>
  <c r="X845" i="17"/>
  <c r="X844" i="17"/>
  <c r="X843" i="17"/>
  <c r="X842" i="17"/>
  <c r="X841" i="17"/>
  <c r="X840" i="17"/>
  <c r="X839" i="17"/>
  <c r="X838" i="17"/>
  <c r="X837" i="17"/>
  <c r="X836" i="17"/>
  <c r="X835" i="17"/>
  <c r="X834" i="17"/>
  <c r="X833" i="17"/>
  <c r="X832" i="17"/>
  <c r="X831" i="17"/>
  <c r="X830" i="17"/>
  <c r="X829" i="17"/>
  <c r="X828" i="17"/>
  <c r="X827" i="17"/>
  <c r="X826" i="17"/>
  <c r="X825" i="17"/>
  <c r="X824" i="17"/>
  <c r="X823" i="17"/>
  <c r="X822" i="17"/>
  <c r="X821" i="17"/>
  <c r="X820" i="17"/>
  <c r="X819" i="17"/>
  <c r="X818" i="17"/>
  <c r="X817" i="17"/>
  <c r="X816" i="17"/>
  <c r="X815" i="17"/>
  <c r="X814" i="17"/>
  <c r="X813" i="17"/>
  <c r="X812" i="17"/>
  <c r="X811" i="17"/>
  <c r="X810" i="17"/>
  <c r="X809" i="17"/>
  <c r="X808" i="17"/>
  <c r="X807" i="17"/>
  <c r="X806" i="17"/>
  <c r="X805" i="17"/>
  <c r="X804" i="17"/>
  <c r="X803" i="17"/>
  <c r="X802" i="17"/>
  <c r="X801" i="17"/>
  <c r="X800" i="17"/>
  <c r="X799" i="17"/>
  <c r="X798" i="17"/>
  <c r="X797" i="17"/>
  <c r="X796" i="17"/>
  <c r="X795" i="17"/>
  <c r="X794" i="17"/>
  <c r="X793" i="17"/>
  <c r="X792" i="17"/>
  <c r="X791" i="17"/>
  <c r="X790" i="17"/>
  <c r="X789" i="17"/>
  <c r="X788" i="17"/>
  <c r="X787" i="17"/>
  <c r="X786" i="17"/>
  <c r="X785" i="17"/>
  <c r="X784" i="17"/>
  <c r="X783" i="17"/>
  <c r="X782" i="17"/>
  <c r="X781" i="17"/>
  <c r="X780" i="17"/>
  <c r="X779" i="17"/>
  <c r="X778" i="17"/>
  <c r="X777" i="17"/>
  <c r="X776" i="17"/>
  <c r="X775" i="17"/>
  <c r="X774" i="17"/>
  <c r="X773" i="17"/>
  <c r="X772" i="17"/>
  <c r="X771" i="17"/>
  <c r="X770" i="17"/>
  <c r="X769" i="17"/>
  <c r="X768" i="17"/>
  <c r="X767" i="17"/>
  <c r="X766" i="17"/>
  <c r="X765" i="17"/>
  <c r="X764" i="17"/>
  <c r="X763" i="17"/>
  <c r="X762" i="17"/>
  <c r="X761" i="17"/>
  <c r="X760" i="17"/>
  <c r="X759" i="17"/>
  <c r="X758" i="17"/>
  <c r="X757" i="17"/>
  <c r="X756" i="17"/>
  <c r="X755" i="17"/>
  <c r="X754" i="17"/>
  <c r="X753" i="17"/>
  <c r="X752" i="17"/>
  <c r="X751" i="17"/>
  <c r="X750" i="17"/>
  <c r="X749" i="17"/>
  <c r="X748" i="17"/>
  <c r="X747" i="17"/>
  <c r="X746" i="17"/>
  <c r="X745" i="17"/>
  <c r="X744" i="17"/>
  <c r="X743" i="17"/>
  <c r="X742" i="17"/>
  <c r="X741" i="17"/>
  <c r="X740" i="17"/>
  <c r="X739" i="17"/>
  <c r="X738" i="17"/>
  <c r="X737" i="17"/>
  <c r="X736" i="17"/>
  <c r="X735" i="17"/>
  <c r="X734" i="17"/>
  <c r="X733" i="17"/>
  <c r="X732" i="17"/>
  <c r="X731" i="17"/>
  <c r="X730" i="17"/>
  <c r="X729" i="17"/>
  <c r="X728" i="17"/>
  <c r="X727" i="17"/>
  <c r="X726" i="17"/>
  <c r="X725" i="17"/>
  <c r="X724" i="17"/>
  <c r="X723" i="17"/>
  <c r="X722" i="17"/>
  <c r="X721" i="17"/>
  <c r="X720" i="17"/>
  <c r="X719" i="17"/>
  <c r="X718" i="17"/>
  <c r="X717" i="17"/>
  <c r="X716" i="17"/>
  <c r="X715" i="17"/>
  <c r="X714" i="17"/>
  <c r="X713" i="17"/>
  <c r="X712" i="17"/>
  <c r="X711" i="17"/>
  <c r="X710" i="17"/>
  <c r="X709" i="17"/>
  <c r="X708" i="17"/>
  <c r="X707" i="17"/>
  <c r="X706" i="17"/>
  <c r="X705" i="17"/>
  <c r="X704" i="17"/>
  <c r="X703" i="17"/>
  <c r="X702" i="17"/>
  <c r="X701" i="17"/>
  <c r="X700" i="17"/>
  <c r="X699" i="17"/>
  <c r="X698" i="17"/>
  <c r="X697" i="17"/>
  <c r="X696" i="17"/>
  <c r="X695" i="17"/>
  <c r="X694" i="17"/>
  <c r="X693" i="17"/>
  <c r="X692" i="17"/>
  <c r="X691" i="17"/>
  <c r="X690" i="17"/>
  <c r="X689" i="17"/>
  <c r="X688" i="17"/>
  <c r="X687" i="17"/>
  <c r="X683" i="17"/>
  <c r="X682" i="17"/>
  <c r="X681" i="17"/>
  <c r="X680" i="17"/>
  <c r="X679" i="17"/>
  <c r="X678" i="17"/>
  <c r="X677" i="17"/>
  <c r="X676" i="17"/>
  <c r="X675" i="17"/>
  <c r="X674" i="17"/>
  <c r="X673" i="17"/>
  <c r="X672" i="17"/>
  <c r="X671" i="17"/>
  <c r="X670" i="17"/>
  <c r="X669" i="17"/>
  <c r="X668" i="17"/>
  <c r="X667" i="17"/>
  <c r="X666" i="17"/>
  <c r="X665" i="17"/>
  <c r="X664" i="17"/>
  <c r="X663" i="17"/>
  <c r="X662" i="17"/>
  <c r="X661" i="17"/>
  <c r="X4" i="17"/>
  <c r="X5" i="17"/>
  <c r="X6" i="17"/>
  <c r="X7" i="17"/>
  <c r="X8" i="17"/>
  <c r="X9" i="17"/>
  <c r="X10" i="17"/>
  <c r="X11" i="17"/>
  <c r="X12" i="17"/>
  <c r="X13" i="17"/>
  <c r="X14" i="17"/>
  <c r="X15" i="17"/>
  <c r="X16" i="17"/>
  <c r="X17" i="17"/>
  <c r="X18" i="17"/>
  <c r="X19" i="17"/>
  <c r="X20" i="17"/>
  <c r="X21" i="17"/>
  <c r="X22" i="17"/>
  <c r="X23" i="17"/>
  <c r="X24" i="17"/>
  <c r="X25" i="17"/>
  <c r="X26" i="17"/>
  <c r="X27" i="17"/>
  <c r="X28" i="17"/>
  <c r="X29" i="17"/>
  <c r="X30" i="17"/>
  <c r="X31" i="17"/>
  <c r="X32" i="17"/>
  <c r="X33" i="17"/>
  <c r="X34" i="17"/>
  <c r="X35" i="17"/>
  <c r="X36" i="17"/>
  <c r="X37" i="17"/>
  <c r="X38" i="17"/>
  <c r="X39" i="17"/>
  <c r="X40" i="17"/>
  <c r="X41" i="17"/>
  <c r="X42" i="17"/>
  <c r="X43" i="17"/>
  <c r="X44" i="17"/>
  <c r="X45" i="17"/>
  <c r="X46" i="17"/>
  <c r="X47" i="17"/>
  <c r="X48" i="17"/>
  <c r="X49" i="17"/>
  <c r="X50" i="17"/>
  <c r="X51" i="17"/>
  <c r="X52" i="17"/>
  <c r="X53" i="17"/>
  <c r="X54" i="17"/>
  <c r="X55" i="17"/>
  <c r="X56" i="17"/>
  <c r="X57" i="17"/>
  <c r="X58" i="17"/>
  <c r="X59" i="17"/>
  <c r="X60" i="17"/>
  <c r="X61" i="17"/>
  <c r="X62" i="17"/>
  <c r="X63" i="17"/>
  <c r="X64" i="17"/>
  <c r="X65" i="17"/>
  <c r="X66" i="17"/>
  <c r="X67" i="17"/>
  <c r="X68" i="17"/>
  <c r="X69" i="17"/>
  <c r="X70" i="17"/>
  <c r="X71" i="17"/>
  <c r="X72" i="17"/>
  <c r="X73" i="17"/>
  <c r="X74" i="17"/>
  <c r="X75" i="17"/>
  <c r="X76" i="17"/>
  <c r="X77" i="17"/>
  <c r="X78" i="17"/>
  <c r="X79" i="17"/>
  <c r="X80" i="17"/>
  <c r="X81" i="17"/>
  <c r="X82" i="17"/>
  <c r="X83" i="17"/>
  <c r="X84" i="17"/>
  <c r="X85" i="17"/>
  <c r="X86" i="17"/>
  <c r="X87" i="17"/>
  <c r="X88" i="17"/>
  <c r="X89" i="17"/>
  <c r="X90" i="17"/>
  <c r="X91" i="17"/>
  <c r="X92" i="17"/>
  <c r="X93" i="17"/>
  <c r="X94" i="17"/>
  <c r="X95" i="17"/>
  <c r="X96" i="17"/>
  <c r="X97" i="17"/>
  <c r="X98" i="17"/>
  <c r="X99" i="17"/>
  <c r="X100" i="17"/>
  <c r="X101" i="17"/>
  <c r="X102" i="17"/>
  <c r="X103" i="17"/>
  <c r="X104" i="17"/>
  <c r="X105" i="17"/>
  <c r="X106" i="17"/>
  <c r="X107" i="17"/>
  <c r="X108" i="17"/>
  <c r="X109" i="17"/>
  <c r="X110" i="17"/>
  <c r="X111" i="17"/>
  <c r="X112" i="17"/>
  <c r="X113" i="17"/>
  <c r="X114" i="17"/>
  <c r="X115" i="17"/>
  <c r="X116" i="17"/>
  <c r="X117" i="17"/>
  <c r="X118" i="17"/>
  <c r="X119" i="17"/>
  <c r="X120" i="17"/>
  <c r="X121" i="17"/>
  <c r="X122" i="17"/>
  <c r="X123" i="17"/>
  <c r="X124" i="17"/>
  <c r="X125" i="17"/>
  <c r="X126" i="17"/>
  <c r="X127" i="17"/>
  <c r="X128" i="17"/>
  <c r="X129" i="17"/>
  <c r="X130" i="17"/>
  <c r="X131" i="17"/>
  <c r="X132" i="17"/>
  <c r="X133" i="17"/>
  <c r="X134" i="17"/>
  <c r="X135" i="17"/>
  <c r="X136" i="17"/>
  <c r="X137" i="17"/>
  <c r="X138" i="17"/>
  <c r="X139" i="17"/>
  <c r="X140" i="17"/>
  <c r="X141" i="17"/>
  <c r="X142" i="17"/>
  <c r="X143" i="17"/>
  <c r="X144" i="17"/>
  <c r="X145" i="17"/>
  <c r="X146" i="17"/>
  <c r="X147" i="17"/>
  <c r="X148" i="17"/>
  <c r="X149" i="17"/>
  <c r="X150" i="17"/>
  <c r="X151" i="17"/>
  <c r="X152" i="17"/>
  <c r="X153" i="17"/>
  <c r="X154" i="17"/>
  <c r="X155" i="17"/>
  <c r="X156" i="17"/>
  <c r="X157" i="17"/>
  <c r="X158" i="17"/>
  <c r="X159" i="17"/>
  <c r="X160" i="17"/>
  <c r="X161" i="17"/>
  <c r="X162" i="17"/>
  <c r="X163" i="17"/>
  <c r="X164" i="17"/>
  <c r="X165" i="17"/>
  <c r="X166" i="17"/>
  <c r="X167" i="17"/>
  <c r="X168" i="17"/>
  <c r="X169" i="17"/>
  <c r="X170" i="17"/>
  <c r="X171" i="17"/>
  <c r="X172" i="17"/>
  <c r="X173" i="17"/>
  <c r="X174" i="17"/>
  <c r="X175" i="17"/>
  <c r="X176" i="17"/>
  <c r="X177" i="17"/>
  <c r="X178" i="17"/>
  <c r="X179" i="17"/>
  <c r="X180" i="17"/>
  <c r="X181" i="17"/>
  <c r="X182" i="17"/>
  <c r="X183" i="17"/>
  <c r="X184" i="17"/>
  <c r="X185" i="17"/>
  <c r="X186" i="17"/>
  <c r="X187" i="17"/>
  <c r="X188" i="17"/>
  <c r="X189" i="17"/>
  <c r="X190" i="17"/>
  <c r="X191" i="17"/>
  <c r="X192" i="17"/>
  <c r="X193" i="17"/>
  <c r="X194" i="17"/>
  <c r="X195" i="17"/>
  <c r="X196" i="17"/>
  <c r="X197" i="17"/>
  <c r="X198" i="17"/>
  <c r="X199" i="17"/>
  <c r="X200" i="17"/>
  <c r="X201" i="17"/>
  <c r="X202" i="17"/>
  <c r="X203" i="17"/>
  <c r="X204" i="17"/>
  <c r="X205" i="17"/>
  <c r="X206" i="17"/>
  <c r="X207" i="17"/>
  <c r="X208" i="17"/>
  <c r="X209" i="17"/>
  <c r="X210" i="17"/>
  <c r="X211" i="17"/>
  <c r="X212" i="17"/>
  <c r="X213" i="17"/>
  <c r="X214" i="17"/>
  <c r="X215" i="17"/>
  <c r="X216" i="17"/>
  <c r="X217" i="17"/>
  <c r="X218" i="17"/>
  <c r="X219" i="17"/>
  <c r="X220" i="17"/>
  <c r="X221" i="17"/>
  <c r="X222" i="17"/>
  <c r="X223" i="17"/>
  <c r="X224" i="17"/>
  <c r="X225" i="17"/>
  <c r="X226" i="17"/>
  <c r="X227" i="17"/>
  <c r="X228" i="17"/>
  <c r="X229" i="17"/>
  <c r="X230" i="17"/>
  <c r="X231" i="17"/>
  <c r="X232" i="17"/>
  <c r="X233" i="17"/>
  <c r="X234" i="17"/>
  <c r="X235" i="17"/>
  <c r="X236" i="17"/>
  <c r="X237" i="17"/>
  <c r="X238" i="17"/>
  <c r="X239" i="17"/>
  <c r="X240" i="17"/>
  <c r="X241" i="17"/>
  <c r="X242" i="17"/>
  <c r="X243" i="17"/>
  <c r="X244" i="17"/>
  <c r="X245" i="17"/>
  <c r="X246" i="17"/>
  <c r="X247" i="17"/>
  <c r="X248" i="17"/>
  <c r="X249" i="17"/>
  <c r="X250" i="17"/>
  <c r="X251" i="17"/>
  <c r="X252" i="17"/>
  <c r="X253" i="17"/>
  <c r="X254" i="17"/>
  <c r="X255" i="17"/>
  <c r="X256" i="17"/>
  <c r="X257" i="17"/>
  <c r="X258" i="17"/>
  <c r="X259" i="17"/>
  <c r="X260" i="17"/>
  <c r="X261" i="17"/>
  <c r="X262" i="17"/>
  <c r="X263" i="17"/>
  <c r="X264" i="17"/>
  <c r="X265" i="17"/>
  <c r="X266" i="17"/>
  <c r="X267" i="17"/>
  <c r="X268" i="17"/>
  <c r="X269" i="17"/>
  <c r="X270" i="17"/>
  <c r="X271" i="17"/>
  <c r="X272" i="17"/>
  <c r="X273" i="17"/>
  <c r="X274" i="17"/>
  <c r="X275" i="17"/>
  <c r="X276" i="17"/>
  <c r="X277" i="17"/>
  <c r="X278" i="17"/>
  <c r="X279" i="17"/>
  <c r="X280" i="17"/>
  <c r="X281" i="17"/>
  <c r="X282" i="17"/>
  <c r="X283" i="17"/>
  <c r="X284" i="17"/>
  <c r="X285" i="17"/>
  <c r="X286" i="17"/>
  <c r="X287" i="17"/>
  <c r="X288" i="17"/>
  <c r="X289" i="17"/>
  <c r="X290" i="17"/>
  <c r="X291" i="17"/>
  <c r="X292" i="17"/>
  <c r="X293" i="17"/>
  <c r="X294" i="17"/>
  <c r="X295" i="17"/>
  <c r="X296" i="17"/>
  <c r="X297" i="17"/>
  <c r="X298" i="17"/>
  <c r="X299" i="17"/>
  <c r="X300" i="17"/>
  <c r="X301" i="17"/>
  <c r="X302" i="17"/>
  <c r="X303" i="17"/>
  <c r="X304" i="17"/>
  <c r="X305" i="17"/>
  <c r="X306" i="17"/>
  <c r="X307" i="17"/>
  <c r="X308" i="17"/>
  <c r="X309" i="17"/>
  <c r="X310" i="17"/>
  <c r="X311" i="17"/>
  <c r="X312" i="17"/>
  <c r="X313" i="17"/>
  <c r="X314" i="17"/>
  <c r="X315" i="17"/>
  <c r="X316" i="17"/>
  <c r="X317" i="17"/>
  <c r="X318" i="17"/>
  <c r="X319" i="17"/>
  <c r="X320" i="17"/>
  <c r="X321" i="17"/>
  <c r="X322" i="17"/>
  <c r="X323" i="17"/>
  <c r="X324" i="17"/>
  <c r="X325" i="17"/>
  <c r="X326" i="17"/>
  <c r="X327" i="17"/>
  <c r="X328" i="17"/>
  <c r="X329" i="17"/>
  <c r="X330" i="17"/>
  <c r="X331" i="17"/>
  <c r="X332" i="17"/>
  <c r="X333" i="17"/>
  <c r="X334" i="17"/>
  <c r="X335" i="17"/>
  <c r="X336" i="17"/>
  <c r="X337" i="17"/>
  <c r="X338" i="17"/>
  <c r="X339" i="17"/>
  <c r="X340" i="17"/>
  <c r="X341" i="17"/>
  <c r="X342" i="17"/>
  <c r="X343" i="17"/>
  <c r="X344" i="17"/>
  <c r="X345" i="17"/>
  <c r="X346" i="17"/>
  <c r="X347" i="17"/>
  <c r="X348" i="17"/>
  <c r="X349" i="17"/>
  <c r="X350" i="17"/>
  <c r="X351" i="17"/>
  <c r="X352" i="17"/>
  <c r="X353" i="17"/>
  <c r="X354" i="17"/>
  <c r="X355" i="17"/>
  <c r="X356" i="17"/>
  <c r="X357" i="17"/>
  <c r="X358" i="17"/>
  <c r="X359" i="17"/>
  <c r="X360" i="17"/>
  <c r="X361" i="17"/>
  <c r="X362" i="17"/>
  <c r="X363" i="17"/>
  <c r="X364" i="17"/>
  <c r="X365" i="17"/>
  <c r="X366" i="17"/>
  <c r="X367" i="17"/>
  <c r="X368" i="17"/>
  <c r="X369" i="17"/>
  <c r="X370" i="17"/>
  <c r="X371" i="17"/>
  <c r="X372" i="17"/>
  <c r="X373" i="17"/>
  <c r="X374" i="17"/>
  <c r="X375" i="17"/>
  <c r="X376" i="17"/>
  <c r="X377" i="17"/>
  <c r="X378" i="17"/>
  <c r="X379" i="17"/>
  <c r="X380" i="17"/>
  <c r="X381" i="17"/>
  <c r="X382" i="17"/>
  <c r="X383" i="17"/>
  <c r="X384" i="17"/>
  <c r="X385" i="17"/>
  <c r="X386" i="17"/>
  <c r="X387" i="17"/>
  <c r="X388" i="17"/>
  <c r="X389" i="17"/>
  <c r="X390" i="17"/>
  <c r="X391" i="17"/>
  <c r="X392" i="17"/>
  <c r="X393" i="17"/>
  <c r="X394" i="17"/>
  <c r="X395" i="17"/>
  <c r="X396" i="17"/>
  <c r="X397" i="17"/>
  <c r="X398" i="17"/>
  <c r="X399" i="17"/>
  <c r="X400" i="17"/>
  <c r="X401" i="17"/>
  <c r="X402" i="17"/>
  <c r="X403" i="17"/>
  <c r="X404" i="17"/>
  <c r="X405" i="17"/>
  <c r="X406" i="17"/>
  <c r="X407" i="17"/>
  <c r="X408" i="17"/>
  <c r="X409" i="17"/>
  <c r="X410" i="17"/>
  <c r="X411" i="17"/>
  <c r="X412" i="17"/>
  <c r="X413" i="17"/>
  <c r="X414" i="17"/>
  <c r="X415" i="17"/>
  <c r="X416" i="17"/>
  <c r="X417" i="17"/>
  <c r="X418" i="17"/>
  <c r="X419" i="17"/>
  <c r="X420" i="17"/>
  <c r="X421" i="17"/>
  <c r="X422" i="17"/>
  <c r="X423" i="17"/>
  <c r="X424" i="17"/>
  <c r="X425" i="17"/>
  <c r="X426" i="17"/>
  <c r="X427" i="17"/>
  <c r="X428" i="17"/>
  <c r="X429" i="17"/>
  <c r="X430" i="17"/>
  <c r="X431" i="17"/>
  <c r="X432" i="17"/>
  <c r="X433" i="17"/>
  <c r="X434" i="17"/>
  <c r="X435" i="17"/>
  <c r="X436" i="17"/>
  <c r="X437" i="17"/>
  <c r="X438" i="17"/>
  <c r="X439" i="17"/>
  <c r="X440" i="17"/>
  <c r="X441" i="17"/>
  <c r="X442" i="17"/>
  <c r="X443" i="17"/>
  <c r="X444" i="17"/>
  <c r="X445" i="17"/>
  <c r="X446" i="17"/>
  <c r="X447" i="17"/>
  <c r="X448" i="17"/>
  <c r="X449" i="17"/>
  <c r="X450" i="17"/>
  <c r="X451" i="17"/>
  <c r="X452" i="17"/>
  <c r="X453" i="17"/>
  <c r="X454" i="17"/>
  <c r="X455" i="17"/>
  <c r="X456" i="17"/>
  <c r="X457" i="17"/>
  <c r="X458" i="17"/>
  <c r="X459" i="17"/>
  <c r="X460" i="17"/>
  <c r="X461" i="17"/>
  <c r="X462" i="17"/>
  <c r="X463" i="17"/>
  <c r="X464" i="17"/>
  <c r="X465" i="17"/>
  <c r="X466" i="17"/>
  <c r="X467" i="17"/>
  <c r="X468" i="17"/>
  <c r="X469" i="17"/>
  <c r="X470" i="17"/>
  <c r="X471" i="17"/>
  <c r="X472" i="17"/>
  <c r="X473" i="17"/>
  <c r="X474" i="17"/>
  <c r="X475" i="17"/>
  <c r="X476" i="17"/>
  <c r="X477" i="17"/>
  <c r="X478" i="17"/>
  <c r="X479" i="17"/>
  <c r="X480" i="17"/>
  <c r="X481" i="17"/>
  <c r="X482" i="17"/>
  <c r="X483" i="17"/>
  <c r="X484" i="17"/>
  <c r="X485" i="17"/>
  <c r="X486" i="17"/>
  <c r="X487" i="17"/>
  <c r="X488" i="17"/>
  <c r="X489" i="17"/>
  <c r="X490" i="17"/>
  <c r="X491" i="17"/>
  <c r="X492" i="17"/>
  <c r="X493" i="17"/>
  <c r="X494" i="17"/>
  <c r="X495" i="17"/>
  <c r="X496" i="17"/>
  <c r="X497" i="17"/>
  <c r="X498" i="17"/>
  <c r="X499" i="17"/>
  <c r="X500" i="17"/>
  <c r="X501" i="17"/>
  <c r="X502" i="17"/>
  <c r="X503" i="17"/>
  <c r="X504" i="17"/>
  <c r="X505" i="17"/>
  <c r="X506" i="17"/>
  <c r="X507" i="17"/>
  <c r="X508" i="17"/>
  <c r="X509" i="17"/>
  <c r="X510" i="17"/>
  <c r="X511" i="17"/>
  <c r="X512" i="17"/>
  <c r="X513" i="17"/>
  <c r="X514" i="17"/>
  <c r="X515" i="17"/>
  <c r="X516" i="17"/>
  <c r="X517" i="17"/>
  <c r="X518" i="17"/>
  <c r="X519" i="17"/>
  <c r="X520" i="17"/>
  <c r="X521" i="17"/>
  <c r="X522" i="17"/>
  <c r="X523" i="17"/>
  <c r="X524" i="17"/>
  <c r="X525" i="17"/>
  <c r="X526" i="17"/>
  <c r="X527" i="17"/>
  <c r="X528" i="17"/>
  <c r="X529" i="17"/>
  <c r="X530" i="17"/>
  <c r="X531" i="17"/>
  <c r="X532" i="17"/>
  <c r="X533" i="17"/>
  <c r="X534" i="17"/>
  <c r="X535" i="17"/>
  <c r="X536" i="17"/>
  <c r="X537" i="17"/>
  <c r="X538" i="17"/>
  <c r="X539" i="17"/>
  <c r="X540" i="17"/>
  <c r="X541" i="17"/>
  <c r="X542" i="17"/>
  <c r="X543" i="17"/>
  <c r="X544" i="17"/>
  <c r="X545" i="17"/>
  <c r="X546" i="17"/>
  <c r="X547" i="17"/>
  <c r="X548" i="17"/>
  <c r="X549" i="17"/>
  <c r="X550" i="17"/>
  <c r="X551" i="17"/>
  <c r="X552" i="17"/>
  <c r="X553" i="17"/>
  <c r="X554" i="17"/>
  <c r="X555" i="17"/>
  <c r="X556" i="17"/>
  <c r="X557" i="17"/>
  <c r="X558" i="17"/>
  <c r="X559" i="17"/>
  <c r="X560" i="17"/>
  <c r="X561" i="17"/>
  <c r="X562" i="17"/>
  <c r="X563" i="17"/>
  <c r="X564" i="17"/>
  <c r="X565" i="17"/>
  <c r="X566" i="17"/>
  <c r="X567" i="17"/>
  <c r="X568" i="17"/>
  <c r="X569" i="17"/>
  <c r="X570" i="17"/>
  <c r="X571" i="17"/>
  <c r="X572" i="17"/>
  <c r="X573" i="17"/>
  <c r="X574" i="17"/>
  <c r="X575" i="17"/>
  <c r="X576" i="17"/>
  <c r="X577" i="17"/>
  <c r="X578" i="17"/>
  <c r="X579" i="17"/>
  <c r="X580" i="17"/>
  <c r="X581" i="17"/>
  <c r="X582" i="17"/>
  <c r="X583" i="17"/>
  <c r="X584" i="17"/>
  <c r="X585" i="17"/>
  <c r="X586" i="17"/>
  <c r="X587" i="17"/>
  <c r="X588" i="17"/>
  <c r="X589" i="17"/>
  <c r="X590" i="17"/>
  <c r="X591" i="17"/>
  <c r="X592" i="17"/>
  <c r="X593" i="17"/>
  <c r="X594" i="17"/>
  <c r="X595" i="17"/>
  <c r="X596" i="17"/>
  <c r="X597" i="17"/>
  <c r="X598" i="17"/>
  <c r="X599" i="17"/>
  <c r="X600" i="17"/>
  <c r="X601" i="17"/>
  <c r="X602" i="17"/>
  <c r="X3" i="17"/>
  <c r="V685" i="17" l="1"/>
  <c r="V686" i="17" s="1"/>
  <c r="X686" i="17" s="1"/>
  <c r="X1115" i="17"/>
  <c r="G3" i="9"/>
  <c r="F23" i="19"/>
  <c r="F22" i="19"/>
  <c r="F21" i="19"/>
  <c r="F19" i="19"/>
  <c r="D19" i="19"/>
  <c r="E19" i="19" s="1"/>
  <c r="D21" i="19"/>
  <c r="D22" i="19"/>
  <c r="D23" i="19"/>
  <c r="C23" i="19"/>
  <c r="C22" i="19"/>
  <c r="C21" i="19"/>
  <c r="C19" i="19"/>
  <c r="E23" i="19" l="1"/>
  <c r="X685" i="17"/>
  <c r="E21" i="19"/>
  <c r="X1116" i="17"/>
  <c r="X1117" i="17"/>
  <c r="E22" i="19"/>
  <c r="E20" i="19"/>
  <c r="C660" i="17" l="1" a="1"/>
  <c r="C660" i="17" s="1"/>
  <c r="D660" i="17" a="1"/>
  <c r="D660" i="17" s="1"/>
  <c r="F660" i="17" a="1"/>
  <c r="F660" i="17" s="1"/>
  <c r="K660" i="17" a="1"/>
  <c r="K660" i="17" s="1"/>
  <c r="L660" i="17" a="1"/>
  <c r="L660" i="17" s="1"/>
  <c r="H11" i="10" l="1"/>
  <c r="I11" i="12"/>
  <c r="I10" i="12"/>
  <c r="H11" i="12"/>
  <c r="G11" i="12"/>
  <c r="F11" i="12"/>
  <c r="E11" i="12"/>
  <c r="H10" i="12"/>
  <c r="G10" i="12"/>
  <c r="F10" i="12"/>
  <c r="E10" i="12"/>
  <c r="O319" i="9"/>
  <c r="O320" i="9"/>
  <c r="O321" i="9"/>
  <c r="O322" i="9"/>
  <c r="O323" i="9"/>
  <c r="O324" i="9"/>
  <c r="O325" i="9"/>
  <c r="O326" i="9"/>
  <c r="O327" i="9"/>
  <c r="O328" i="9"/>
  <c r="O329" i="9"/>
  <c r="O330" i="9"/>
  <c r="O331" i="9"/>
  <c r="O332" i="9"/>
  <c r="O333" i="9"/>
  <c r="O334" i="9"/>
  <c r="O335" i="9"/>
  <c r="O336" i="9"/>
  <c r="O337" i="9"/>
  <c r="O338" i="9"/>
  <c r="O339" i="9"/>
  <c r="O340" i="9"/>
  <c r="O341" i="9"/>
  <c r="O342" i="9"/>
  <c r="O343" i="9"/>
  <c r="O344" i="9"/>
  <c r="O345" i="9"/>
  <c r="O346" i="9"/>
  <c r="O347" i="9"/>
  <c r="O348" i="9"/>
  <c r="O349" i="9"/>
  <c r="O350" i="9"/>
  <c r="O351" i="9"/>
  <c r="O352" i="9"/>
  <c r="O353" i="9"/>
  <c r="O354" i="9"/>
  <c r="O355" i="9"/>
  <c r="O356" i="9"/>
  <c r="O357" i="9"/>
  <c r="O358" i="9"/>
  <c r="O359" i="9"/>
  <c r="O360" i="9"/>
  <c r="O318" i="9"/>
  <c r="I7" i="12"/>
  <c r="H7" i="12"/>
  <c r="G7" i="12"/>
  <c r="F7" i="12"/>
  <c r="E7" i="12"/>
  <c r="I11" i="10"/>
  <c r="G11" i="10"/>
  <c r="F11" i="10"/>
  <c r="E11" i="10"/>
  <c r="I10" i="10"/>
  <c r="H10" i="10"/>
  <c r="G10" i="10"/>
  <c r="F10" i="10"/>
  <c r="E10" i="10"/>
  <c r="E7" i="10"/>
  <c r="I7" i="10"/>
  <c r="H7" i="10"/>
  <c r="G7" i="10"/>
  <c r="F7" i="10"/>
  <c r="X364" i="9"/>
  <c r="X365" i="9"/>
  <c r="X366" i="9"/>
  <c r="X367" i="9"/>
  <c r="X368" i="9"/>
  <c r="X369" i="9"/>
  <c r="X370" i="9"/>
  <c r="X371" i="9"/>
  <c r="X372" i="9"/>
  <c r="X373" i="9"/>
  <c r="X374" i="9"/>
  <c r="X375" i="9"/>
  <c r="X376" i="9"/>
  <c r="X377" i="9"/>
  <c r="X378" i="9"/>
  <c r="X379" i="9"/>
  <c r="X380" i="9"/>
  <c r="X381" i="9"/>
  <c r="X382" i="9"/>
  <c r="X383" i="9"/>
  <c r="X384" i="9"/>
  <c r="X385" i="9"/>
  <c r="X386" i="9"/>
  <c r="X387" i="9"/>
  <c r="X388" i="9"/>
  <c r="X389" i="9"/>
  <c r="X390" i="9"/>
  <c r="X391" i="9"/>
  <c r="X392" i="9"/>
  <c r="X393" i="9"/>
  <c r="X394" i="9"/>
  <c r="X395" i="9"/>
  <c r="X396" i="9"/>
  <c r="X397" i="9"/>
  <c r="X398" i="9"/>
  <c r="X399" i="9"/>
  <c r="X400" i="9"/>
  <c r="X401" i="9"/>
  <c r="X402" i="9"/>
  <c r="X403" i="9"/>
  <c r="X404" i="9"/>
  <c r="X405" i="9"/>
  <c r="X363" i="9"/>
  <c r="J26" i="22" s="1"/>
  <c r="X319" i="9"/>
  <c r="X320" i="9"/>
  <c r="X321" i="9"/>
  <c r="X322" i="9"/>
  <c r="X323" i="9"/>
  <c r="X324" i="9"/>
  <c r="X325" i="9"/>
  <c r="X326" i="9"/>
  <c r="X327" i="9"/>
  <c r="X328" i="9"/>
  <c r="X329" i="9"/>
  <c r="X330" i="9"/>
  <c r="X331" i="9"/>
  <c r="X332" i="9"/>
  <c r="X333" i="9"/>
  <c r="X334" i="9"/>
  <c r="X335" i="9"/>
  <c r="X336" i="9"/>
  <c r="X337" i="9"/>
  <c r="X338" i="9"/>
  <c r="X339" i="9"/>
  <c r="X340" i="9"/>
  <c r="X341" i="9"/>
  <c r="X342" i="9"/>
  <c r="X343" i="9"/>
  <c r="X344" i="9"/>
  <c r="X345" i="9"/>
  <c r="X346" i="9"/>
  <c r="X347" i="9"/>
  <c r="X348" i="9"/>
  <c r="X349" i="9"/>
  <c r="X350" i="9"/>
  <c r="X351" i="9"/>
  <c r="X352" i="9"/>
  <c r="X353" i="9"/>
  <c r="X354" i="9"/>
  <c r="X355" i="9"/>
  <c r="X356" i="9"/>
  <c r="X357" i="9"/>
  <c r="X358" i="9"/>
  <c r="X359" i="9"/>
  <c r="X360" i="9"/>
  <c r="X318" i="9"/>
  <c r="J25" i="22" s="1"/>
  <c r="X274" i="9"/>
  <c r="X275" i="9"/>
  <c r="X276" i="9"/>
  <c r="X277" i="9"/>
  <c r="X278" i="9"/>
  <c r="X279" i="9"/>
  <c r="X280" i="9"/>
  <c r="X281" i="9"/>
  <c r="X282" i="9"/>
  <c r="X283" i="9"/>
  <c r="X284" i="9"/>
  <c r="X285" i="9"/>
  <c r="X286" i="9"/>
  <c r="X287" i="9"/>
  <c r="X288" i="9"/>
  <c r="X289" i="9"/>
  <c r="X290" i="9"/>
  <c r="X291" i="9"/>
  <c r="X292" i="9"/>
  <c r="X293" i="9"/>
  <c r="X294" i="9"/>
  <c r="X295" i="9"/>
  <c r="X296" i="9"/>
  <c r="X297" i="9"/>
  <c r="X298" i="9"/>
  <c r="X299" i="9"/>
  <c r="X300" i="9"/>
  <c r="X301" i="9"/>
  <c r="X302" i="9"/>
  <c r="X303" i="9"/>
  <c r="X304" i="9"/>
  <c r="X305" i="9"/>
  <c r="X306" i="9"/>
  <c r="X307" i="9"/>
  <c r="X308" i="9"/>
  <c r="X309" i="9"/>
  <c r="X310" i="9"/>
  <c r="X311" i="9"/>
  <c r="X312" i="9"/>
  <c r="X313" i="9"/>
  <c r="X314" i="9"/>
  <c r="X315" i="9"/>
  <c r="X273" i="9"/>
  <c r="J24" i="22" s="1"/>
  <c r="R625" i="8"/>
  <c r="R626" i="8"/>
  <c r="R627" i="8"/>
  <c r="R628" i="8"/>
  <c r="R629" i="8"/>
  <c r="R630" i="8"/>
  <c r="R631" i="8"/>
  <c r="R632" i="8"/>
  <c r="R633" i="8"/>
  <c r="R634" i="8"/>
  <c r="R635" i="8"/>
  <c r="R636" i="8"/>
  <c r="R637" i="8"/>
  <c r="R638" i="8"/>
  <c r="R639" i="8"/>
  <c r="R640" i="8"/>
  <c r="R641" i="8"/>
  <c r="R642" i="8"/>
  <c r="R643" i="8"/>
  <c r="R644" i="8"/>
  <c r="R645" i="8"/>
  <c r="R646" i="8"/>
  <c r="R647" i="8"/>
  <c r="R648" i="8"/>
  <c r="R649" i="8"/>
  <c r="R650" i="8"/>
  <c r="R651" i="8"/>
  <c r="R652" i="8"/>
  <c r="R653" i="8"/>
  <c r="R654" i="8"/>
  <c r="R655" i="8"/>
  <c r="R656" i="8"/>
  <c r="R657" i="8"/>
  <c r="R658" i="8"/>
  <c r="R659" i="8"/>
  <c r="R660" i="8"/>
  <c r="R661" i="8"/>
  <c r="R662" i="8"/>
  <c r="R663" i="8"/>
  <c r="X361" i="8"/>
  <c r="X362" i="8"/>
  <c r="X363" i="8"/>
  <c r="X364" i="8"/>
  <c r="X365" i="8"/>
  <c r="X366" i="8"/>
  <c r="X367" i="8"/>
  <c r="X368" i="8"/>
  <c r="X369" i="8"/>
  <c r="X370" i="8"/>
  <c r="X371" i="8"/>
  <c r="X372" i="8"/>
  <c r="X373" i="8"/>
  <c r="X374" i="8"/>
  <c r="X375" i="8"/>
  <c r="X376" i="8"/>
  <c r="X377" i="8"/>
  <c r="X378" i="8"/>
  <c r="X379" i="8"/>
  <c r="X380" i="8"/>
  <c r="X381" i="8"/>
  <c r="X382" i="8"/>
  <c r="X383" i="8"/>
  <c r="X384" i="8"/>
  <c r="X385" i="8"/>
  <c r="X386" i="8"/>
  <c r="X387" i="8"/>
  <c r="X388" i="8"/>
  <c r="X389" i="8"/>
  <c r="X390" i="8"/>
  <c r="X391" i="8"/>
  <c r="X392" i="8"/>
  <c r="X393" i="8"/>
  <c r="X394" i="8"/>
  <c r="X395" i="8"/>
  <c r="X396" i="8"/>
  <c r="X397" i="8"/>
  <c r="X398" i="8"/>
  <c r="X399" i="8"/>
  <c r="X360" i="8"/>
  <c r="J11" i="22" s="1"/>
  <c r="X317" i="8"/>
  <c r="X318" i="8"/>
  <c r="X319" i="8"/>
  <c r="X320" i="8"/>
  <c r="X321" i="8"/>
  <c r="X322" i="8"/>
  <c r="X323" i="8"/>
  <c r="X324" i="8"/>
  <c r="X325" i="8"/>
  <c r="X326" i="8"/>
  <c r="X327" i="8"/>
  <c r="X328" i="8"/>
  <c r="X329" i="8"/>
  <c r="X330" i="8"/>
  <c r="X331" i="8"/>
  <c r="X332" i="8"/>
  <c r="X333" i="8"/>
  <c r="X334" i="8"/>
  <c r="X335" i="8"/>
  <c r="X336" i="8"/>
  <c r="X337" i="8"/>
  <c r="X338" i="8"/>
  <c r="X339" i="8"/>
  <c r="X340" i="8"/>
  <c r="X341" i="8"/>
  <c r="X342" i="8"/>
  <c r="X343" i="8"/>
  <c r="X344" i="8"/>
  <c r="X345" i="8"/>
  <c r="X346" i="8"/>
  <c r="X347" i="8"/>
  <c r="X348" i="8"/>
  <c r="X349" i="8"/>
  <c r="X350" i="8"/>
  <c r="X351" i="8"/>
  <c r="X352" i="8"/>
  <c r="X353" i="8"/>
  <c r="X354" i="8"/>
  <c r="X355" i="8"/>
  <c r="X316" i="8"/>
  <c r="J10" i="22" s="1"/>
  <c r="X273" i="8"/>
  <c r="X274" i="8"/>
  <c r="X275" i="8"/>
  <c r="X276" i="8"/>
  <c r="X277" i="8"/>
  <c r="X278" i="8"/>
  <c r="X279" i="8"/>
  <c r="X280" i="8"/>
  <c r="X281" i="8"/>
  <c r="X282" i="8"/>
  <c r="X283" i="8"/>
  <c r="X284" i="8"/>
  <c r="X285" i="8"/>
  <c r="X286" i="8"/>
  <c r="X287" i="8"/>
  <c r="X288" i="8"/>
  <c r="X289" i="8"/>
  <c r="X290" i="8"/>
  <c r="X291" i="8"/>
  <c r="X292" i="8"/>
  <c r="X293" i="8"/>
  <c r="X294" i="8"/>
  <c r="X295" i="8"/>
  <c r="X296" i="8"/>
  <c r="X297" i="8"/>
  <c r="X298" i="8"/>
  <c r="X299" i="8"/>
  <c r="X300" i="8"/>
  <c r="X301" i="8"/>
  <c r="X302" i="8"/>
  <c r="X303" i="8"/>
  <c r="X304" i="8"/>
  <c r="X305" i="8"/>
  <c r="X306" i="8"/>
  <c r="X307" i="8"/>
  <c r="X308" i="8"/>
  <c r="X309" i="8"/>
  <c r="X310" i="8"/>
  <c r="X311" i="8"/>
  <c r="X272" i="8"/>
  <c r="J9" i="22" s="1"/>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3" i="8"/>
  <c r="J3" i="22" s="1"/>
  <c r="R634" i="9" l="1"/>
  <c r="S634" i="9"/>
  <c r="T634" i="9"/>
  <c r="U634" i="9"/>
  <c r="V634" i="9"/>
  <c r="R635" i="9"/>
  <c r="S635" i="9"/>
  <c r="T635" i="9"/>
  <c r="U635" i="9"/>
  <c r="V635" i="9"/>
  <c r="R636" i="9"/>
  <c r="S636" i="9"/>
  <c r="T636" i="9"/>
  <c r="U636" i="9"/>
  <c r="V636" i="9"/>
  <c r="X636" i="9" s="1"/>
  <c r="R637" i="9"/>
  <c r="S637" i="9"/>
  <c r="T637" i="9"/>
  <c r="U637" i="9"/>
  <c r="V637" i="9"/>
  <c r="R638" i="9"/>
  <c r="S638" i="9"/>
  <c r="T638" i="9"/>
  <c r="U638" i="9"/>
  <c r="V638" i="9"/>
  <c r="R639" i="9"/>
  <c r="S639" i="9"/>
  <c r="T639" i="9"/>
  <c r="U639" i="9"/>
  <c r="V639" i="9"/>
  <c r="X639" i="9" s="1"/>
  <c r="R640" i="9"/>
  <c r="S640" i="9"/>
  <c r="T640" i="9"/>
  <c r="U640" i="9"/>
  <c r="V640" i="9"/>
  <c r="R641" i="9"/>
  <c r="S641" i="9"/>
  <c r="T641" i="9"/>
  <c r="U641" i="9"/>
  <c r="V641" i="9"/>
  <c r="R642" i="9"/>
  <c r="S642" i="9"/>
  <c r="T642" i="9"/>
  <c r="U642" i="9"/>
  <c r="V642" i="9"/>
  <c r="R643" i="9"/>
  <c r="S643" i="9"/>
  <c r="T643" i="9"/>
  <c r="U643" i="9"/>
  <c r="V643" i="9"/>
  <c r="R644" i="9"/>
  <c r="S644" i="9"/>
  <c r="T644" i="9"/>
  <c r="U644" i="9"/>
  <c r="V644" i="9"/>
  <c r="X644" i="9" s="1"/>
  <c r="R645" i="9"/>
  <c r="S645" i="9"/>
  <c r="T645" i="9"/>
  <c r="U645" i="9"/>
  <c r="V645" i="9"/>
  <c r="R646" i="9"/>
  <c r="S646" i="9"/>
  <c r="T646" i="9"/>
  <c r="U646" i="9"/>
  <c r="V646" i="9"/>
  <c r="R647" i="9"/>
  <c r="S647" i="9"/>
  <c r="T647" i="9"/>
  <c r="U647" i="9"/>
  <c r="V647" i="9"/>
  <c r="X647" i="9" s="1"/>
  <c r="R648" i="9"/>
  <c r="S648" i="9"/>
  <c r="T648" i="9"/>
  <c r="U648" i="9"/>
  <c r="V648" i="9"/>
  <c r="R649" i="9"/>
  <c r="S649" i="9"/>
  <c r="T649" i="9"/>
  <c r="U649" i="9"/>
  <c r="V649" i="9"/>
  <c r="R650" i="9"/>
  <c r="S650" i="9"/>
  <c r="T650" i="9"/>
  <c r="U650" i="9"/>
  <c r="V650" i="9"/>
  <c r="R651" i="9"/>
  <c r="S651" i="9"/>
  <c r="T651" i="9"/>
  <c r="U651" i="9"/>
  <c r="V651" i="9"/>
  <c r="R652" i="9"/>
  <c r="S652" i="9"/>
  <c r="T652" i="9"/>
  <c r="U652" i="9"/>
  <c r="V652" i="9"/>
  <c r="X652" i="9" s="1"/>
  <c r="R653" i="9"/>
  <c r="S653" i="9"/>
  <c r="T653" i="9"/>
  <c r="U653" i="9"/>
  <c r="V653" i="9"/>
  <c r="R654" i="9"/>
  <c r="S654" i="9"/>
  <c r="T654" i="9"/>
  <c r="U654" i="9"/>
  <c r="V654" i="9"/>
  <c r="R655" i="9"/>
  <c r="S655" i="9"/>
  <c r="T655" i="9"/>
  <c r="U655" i="9"/>
  <c r="V655" i="9"/>
  <c r="X655" i="9" s="1"/>
  <c r="R656" i="9"/>
  <c r="S656" i="9"/>
  <c r="T656" i="9"/>
  <c r="U656" i="9"/>
  <c r="V656" i="9"/>
  <c r="R657" i="9"/>
  <c r="S657" i="9"/>
  <c r="T657" i="9"/>
  <c r="U657" i="9"/>
  <c r="V657" i="9"/>
  <c r="R658" i="9"/>
  <c r="S658" i="9"/>
  <c r="T658" i="9"/>
  <c r="U658" i="9"/>
  <c r="V658" i="9"/>
  <c r="R659" i="9"/>
  <c r="S659" i="9"/>
  <c r="T659" i="9"/>
  <c r="U659" i="9"/>
  <c r="V659" i="9"/>
  <c r="R660" i="9"/>
  <c r="S660" i="9"/>
  <c r="T660" i="9"/>
  <c r="U660" i="9"/>
  <c r="V660" i="9"/>
  <c r="X660" i="9" s="1"/>
  <c r="R661" i="9"/>
  <c r="S661" i="9"/>
  <c r="T661" i="9"/>
  <c r="U661" i="9"/>
  <c r="V661" i="9"/>
  <c r="R662" i="9"/>
  <c r="S662" i="9"/>
  <c r="T662" i="9"/>
  <c r="U662" i="9"/>
  <c r="V662" i="9"/>
  <c r="R663" i="9"/>
  <c r="S663" i="9"/>
  <c r="T663" i="9"/>
  <c r="U663" i="9"/>
  <c r="V663" i="9"/>
  <c r="X663" i="9" s="1"/>
  <c r="R664" i="9"/>
  <c r="S664" i="9"/>
  <c r="T664" i="9"/>
  <c r="U664" i="9"/>
  <c r="V664" i="9"/>
  <c r="R665" i="9"/>
  <c r="S665" i="9"/>
  <c r="T665" i="9"/>
  <c r="U665" i="9"/>
  <c r="V665" i="9"/>
  <c r="R666" i="9"/>
  <c r="S666" i="9"/>
  <c r="T666" i="9"/>
  <c r="U666" i="9"/>
  <c r="V666" i="9"/>
  <c r="R667" i="9"/>
  <c r="S667" i="9"/>
  <c r="T667" i="9"/>
  <c r="U667" i="9"/>
  <c r="V667" i="9"/>
  <c r="R668" i="9"/>
  <c r="S668" i="9"/>
  <c r="T668" i="9"/>
  <c r="U668" i="9"/>
  <c r="V668" i="9"/>
  <c r="X668" i="9" s="1"/>
  <c r="R669" i="9"/>
  <c r="S669" i="9"/>
  <c r="T669" i="9"/>
  <c r="U669" i="9"/>
  <c r="V669" i="9"/>
  <c r="R670" i="9"/>
  <c r="S670" i="9"/>
  <c r="T670" i="9"/>
  <c r="U670" i="9"/>
  <c r="V670" i="9"/>
  <c r="R671" i="9"/>
  <c r="S671" i="9"/>
  <c r="T671" i="9"/>
  <c r="U671" i="9"/>
  <c r="V671" i="9"/>
  <c r="X671" i="9" s="1"/>
  <c r="R672" i="9"/>
  <c r="S672" i="9"/>
  <c r="T672" i="9"/>
  <c r="U672" i="9"/>
  <c r="V672" i="9"/>
  <c r="R673" i="9"/>
  <c r="S673" i="9"/>
  <c r="T673" i="9"/>
  <c r="U673" i="9"/>
  <c r="V673" i="9"/>
  <c r="X673" i="9" s="1"/>
  <c r="R674" i="9"/>
  <c r="S674" i="9"/>
  <c r="T674" i="9"/>
  <c r="U674" i="9"/>
  <c r="V674" i="9"/>
  <c r="R675" i="9"/>
  <c r="S675" i="9"/>
  <c r="T675" i="9"/>
  <c r="U675" i="9"/>
  <c r="V675" i="9"/>
  <c r="V633" i="9"/>
  <c r="U633" i="9"/>
  <c r="T633" i="9"/>
  <c r="F32" i="22" s="1"/>
  <c r="S633" i="9"/>
  <c r="R633" i="9"/>
  <c r="N634" i="9"/>
  <c r="N635" i="9"/>
  <c r="N636" i="9"/>
  <c r="N637" i="9"/>
  <c r="N638" i="9"/>
  <c r="N639" i="9"/>
  <c r="N640" i="9"/>
  <c r="N641" i="9"/>
  <c r="N642" i="9"/>
  <c r="N643" i="9"/>
  <c r="N644" i="9"/>
  <c r="N645" i="9"/>
  <c r="N646" i="9"/>
  <c r="N647" i="9"/>
  <c r="N648" i="9"/>
  <c r="N649" i="9"/>
  <c r="N650" i="9"/>
  <c r="N651" i="9"/>
  <c r="N652" i="9"/>
  <c r="N653" i="9"/>
  <c r="N654" i="9"/>
  <c r="N655" i="9"/>
  <c r="N656" i="9"/>
  <c r="N657" i="9"/>
  <c r="N658" i="9"/>
  <c r="N659" i="9"/>
  <c r="N660" i="9"/>
  <c r="N661" i="9"/>
  <c r="N662" i="9"/>
  <c r="N663" i="9"/>
  <c r="N664" i="9"/>
  <c r="N665" i="9"/>
  <c r="N666" i="9"/>
  <c r="N667" i="9"/>
  <c r="N668" i="9"/>
  <c r="N669" i="9"/>
  <c r="N670" i="9"/>
  <c r="N671" i="9"/>
  <c r="N672" i="9"/>
  <c r="N673" i="9"/>
  <c r="N674" i="9"/>
  <c r="N675" i="9"/>
  <c r="N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33" i="9"/>
  <c r="C633" i="9"/>
  <c r="R589" i="9"/>
  <c r="X589" i="9" s="1"/>
  <c r="S589" i="9"/>
  <c r="T589" i="9"/>
  <c r="U589" i="9"/>
  <c r="R590" i="9"/>
  <c r="X590" i="9" s="1"/>
  <c r="S590" i="9"/>
  <c r="T590" i="9"/>
  <c r="U590" i="9"/>
  <c r="R591" i="9"/>
  <c r="X591" i="9" s="1"/>
  <c r="S591" i="9"/>
  <c r="T591" i="9"/>
  <c r="U591" i="9"/>
  <c r="R592" i="9"/>
  <c r="X592" i="9" s="1"/>
  <c r="S592" i="9"/>
  <c r="T592" i="9"/>
  <c r="U592" i="9"/>
  <c r="R593" i="9"/>
  <c r="X593" i="9" s="1"/>
  <c r="S593" i="9"/>
  <c r="T593" i="9"/>
  <c r="U593" i="9"/>
  <c r="R594" i="9"/>
  <c r="X594" i="9" s="1"/>
  <c r="S594" i="9"/>
  <c r="T594" i="9"/>
  <c r="U594" i="9"/>
  <c r="R595" i="9"/>
  <c r="X595" i="9" s="1"/>
  <c r="S595" i="9"/>
  <c r="T595" i="9"/>
  <c r="U595" i="9"/>
  <c r="R596" i="9"/>
  <c r="X596" i="9" s="1"/>
  <c r="S596" i="9"/>
  <c r="T596" i="9"/>
  <c r="U596" i="9"/>
  <c r="R597" i="9"/>
  <c r="X597" i="9" s="1"/>
  <c r="S597" i="9"/>
  <c r="T597" i="9"/>
  <c r="U597" i="9"/>
  <c r="R598" i="9"/>
  <c r="X598" i="9" s="1"/>
  <c r="S598" i="9"/>
  <c r="T598" i="9"/>
  <c r="U598" i="9"/>
  <c r="R599" i="9"/>
  <c r="X599" i="9" s="1"/>
  <c r="S599" i="9"/>
  <c r="T599" i="9"/>
  <c r="U599" i="9"/>
  <c r="R600" i="9"/>
  <c r="X600" i="9" s="1"/>
  <c r="S600" i="9"/>
  <c r="T600" i="9"/>
  <c r="U600" i="9"/>
  <c r="R601" i="9"/>
  <c r="X601" i="9" s="1"/>
  <c r="S601" i="9"/>
  <c r="T601" i="9"/>
  <c r="U601" i="9"/>
  <c r="R602" i="9"/>
  <c r="X602" i="9" s="1"/>
  <c r="S602" i="9"/>
  <c r="T602" i="9"/>
  <c r="U602" i="9"/>
  <c r="R603" i="9"/>
  <c r="X603" i="9" s="1"/>
  <c r="S603" i="9"/>
  <c r="T603" i="9"/>
  <c r="U603" i="9"/>
  <c r="R604" i="9"/>
  <c r="X604" i="9" s="1"/>
  <c r="S604" i="9"/>
  <c r="T604" i="9"/>
  <c r="U604" i="9"/>
  <c r="R605" i="9"/>
  <c r="X605" i="9" s="1"/>
  <c r="S605" i="9"/>
  <c r="T605" i="9"/>
  <c r="U605" i="9"/>
  <c r="R606" i="9"/>
  <c r="X606" i="9" s="1"/>
  <c r="S606" i="9"/>
  <c r="T606" i="9"/>
  <c r="U606" i="9"/>
  <c r="R607" i="9"/>
  <c r="X607" i="9" s="1"/>
  <c r="S607" i="9"/>
  <c r="T607" i="9"/>
  <c r="U607" i="9"/>
  <c r="R608" i="9"/>
  <c r="X608" i="9" s="1"/>
  <c r="S608" i="9"/>
  <c r="T608" i="9"/>
  <c r="U608" i="9"/>
  <c r="R609" i="9"/>
  <c r="X609" i="9" s="1"/>
  <c r="S609" i="9"/>
  <c r="T609" i="9"/>
  <c r="U609" i="9"/>
  <c r="R610" i="9"/>
  <c r="X610" i="9" s="1"/>
  <c r="S610" i="9"/>
  <c r="T610" i="9"/>
  <c r="U610" i="9"/>
  <c r="R611" i="9"/>
  <c r="X611" i="9" s="1"/>
  <c r="S611" i="9"/>
  <c r="T611" i="9"/>
  <c r="U611" i="9"/>
  <c r="R612" i="9"/>
  <c r="X612" i="9" s="1"/>
  <c r="S612" i="9"/>
  <c r="T612" i="9"/>
  <c r="U612" i="9"/>
  <c r="R613" i="9"/>
  <c r="X613" i="9" s="1"/>
  <c r="S613" i="9"/>
  <c r="T613" i="9"/>
  <c r="U613" i="9"/>
  <c r="R614" i="9"/>
  <c r="X614" i="9" s="1"/>
  <c r="S614" i="9"/>
  <c r="T614" i="9"/>
  <c r="U614" i="9"/>
  <c r="R615" i="9"/>
  <c r="X615" i="9" s="1"/>
  <c r="S615" i="9"/>
  <c r="T615" i="9"/>
  <c r="U615" i="9"/>
  <c r="R616" i="9"/>
  <c r="X616" i="9" s="1"/>
  <c r="S616" i="9"/>
  <c r="T616" i="9"/>
  <c r="U616" i="9"/>
  <c r="R617" i="9"/>
  <c r="X617" i="9" s="1"/>
  <c r="S617" i="9"/>
  <c r="T617" i="9"/>
  <c r="U617" i="9"/>
  <c r="R618" i="9"/>
  <c r="X618" i="9" s="1"/>
  <c r="S618" i="9"/>
  <c r="T618" i="9"/>
  <c r="U618" i="9"/>
  <c r="R619" i="9"/>
  <c r="X619" i="9" s="1"/>
  <c r="S619" i="9"/>
  <c r="T619" i="9"/>
  <c r="U619" i="9"/>
  <c r="R620" i="9"/>
  <c r="X620" i="9" s="1"/>
  <c r="S620" i="9"/>
  <c r="T620" i="9"/>
  <c r="U620" i="9"/>
  <c r="R621" i="9"/>
  <c r="X621" i="9" s="1"/>
  <c r="S621" i="9"/>
  <c r="T621" i="9"/>
  <c r="U621" i="9"/>
  <c r="R622" i="9"/>
  <c r="X622" i="9" s="1"/>
  <c r="S622" i="9"/>
  <c r="T622" i="9"/>
  <c r="U622" i="9"/>
  <c r="R623" i="9"/>
  <c r="X623" i="9" s="1"/>
  <c r="S623" i="9"/>
  <c r="T623" i="9"/>
  <c r="U623" i="9"/>
  <c r="R624" i="9"/>
  <c r="X624" i="9" s="1"/>
  <c r="S624" i="9"/>
  <c r="T624" i="9"/>
  <c r="U624" i="9"/>
  <c r="R625" i="9"/>
  <c r="X625" i="9" s="1"/>
  <c r="S625" i="9"/>
  <c r="T625" i="9"/>
  <c r="U625" i="9"/>
  <c r="R626" i="9"/>
  <c r="X626" i="9" s="1"/>
  <c r="S626" i="9"/>
  <c r="T626" i="9"/>
  <c r="U626" i="9"/>
  <c r="R627" i="9"/>
  <c r="X627" i="9" s="1"/>
  <c r="S627" i="9"/>
  <c r="T627" i="9"/>
  <c r="U627" i="9"/>
  <c r="R628" i="9"/>
  <c r="X628" i="9" s="1"/>
  <c r="S628" i="9"/>
  <c r="T628" i="9"/>
  <c r="U628" i="9"/>
  <c r="R629" i="9"/>
  <c r="X629" i="9" s="1"/>
  <c r="S629" i="9"/>
  <c r="T629" i="9"/>
  <c r="U629" i="9"/>
  <c r="R630" i="9"/>
  <c r="X630" i="9" s="1"/>
  <c r="S630" i="9"/>
  <c r="T630" i="9"/>
  <c r="U630" i="9"/>
  <c r="U588" i="9"/>
  <c r="H31" i="22" s="1"/>
  <c r="T588" i="9"/>
  <c r="F31" i="22" s="1"/>
  <c r="S588" i="9"/>
  <c r="R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N589" i="9"/>
  <c r="N590" i="9"/>
  <c r="N591" i="9"/>
  <c r="N592" i="9"/>
  <c r="N593" i="9"/>
  <c r="N594" i="9"/>
  <c r="N595" i="9"/>
  <c r="N596" i="9"/>
  <c r="N597" i="9"/>
  <c r="N598" i="9"/>
  <c r="N599" i="9"/>
  <c r="N600" i="9"/>
  <c r="N601" i="9"/>
  <c r="N602" i="9"/>
  <c r="N603" i="9"/>
  <c r="N604" i="9"/>
  <c r="N605" i="9"/>
  <c r="N606" i="9"/>
  <c r="N607" i="9"/>
  <c r="N608" i="9"/>
  <c r="N609" i="9"/>
  <c r="N610" i="9"/>
  <c r="N611" i="9"/>
  <c r="N612" i="9"/>
  <c r="N613" i="9"/>
  <c r="N614" i="9"/>
  <c r="N615" i="9"/>
  <c r="N616" i="9"/>
  <c r="N617" i="9"/>
  <c r="N618" i="9"/>
  <c r="N619" i="9"/>
  <c r="N620" i="9"/>
  <c r="N621" i="9"/>
  <c r="N622" i="9"/>
  <c r="N623" i="9"/>
  <c r="N624" i="9"/>
  <c r="N625" i="9"/>
  <c r="N626" i="9"/>
  <c r="N627" i="9"/>
  <c r="N628" i="9"/>
  <c r="N629" i="9"/>
  <c r="N630" i="9"/>
  <c r="M588" i="9"/>
  <c r="N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588" i="9"/>
  <c r="C588" i="9"/>
  <c r="R544" i="9"/>
  <c r="S544" i="9"/>
  <c r="T544" i="9"/>
  <c r="U544" i="9"/>
  <c r="V544" i="9"/>
  <c r="R545" i="9"/>
  <c r="S545" i="9"/>
  <c r="T545" i="9"/>
  <c r="U545" i="9"/>
  <c r="V545" i="9"/>
  <c r="X545" i="9" s="1"/>
  <c r="R546" i="9"/>
  <c r="S546" i="9"/>
  <c r="T546" i="9"/>
  <c r="U546" i="9"/>
  <c r="V546" i="9"/>
  <c r="R547" i="9"/>
  <c r="S547" i="9"/>
  <c r="T547" i="9"/>
  <c r="U547" i="9"/>
  <c r="V547" i="9"/>
  <c r="R548" i="9"/>
  <c r="S548" i="9"/>
  <c r="T548" i="9"/>
  <c r="U548" i="9"/>
  <c r="V548" i="9"/>
  <c r="R549" i="9"/>
  <c r="S549" i="9"/>
  <c r="T549" i="9"/>
  <c r="U549" i="9"/>
  <c r="V549" i="9"/>
  <c r="R550" i="9"/>
  <c r="S550" i="9"/>
  <c r="T550" i="9"/>
  <c r="U550" i="9"/>
  <c r="V550" i="9"/>
  <c r="X550" i="9" s="1"/>
  <c r="R551" i="9"/>
  <c r="S551" i="9"/>
  <c r="T551" i="9"/>
  <c r="U551" i="9"/>
  <c r="V551" i="9"/>
  <c r="R552" i="9"/>
  <c r="S552" i="9"/>
  <c r="T552" i="9"/>
  <c r="U552" i="9"/>
  <c r="V552" i="9"/>
  <c r="R553" i="9"/>
  <c r="S553" i="9"/>
  <c r="T553" i="9"/>
  <c r="U553" i="9"/>
  <c r="V553" i="9"/>
  <c r="X553" i="9" s="1"/>
  <c r="R554" i="9"/>
  <c r="S554" i="9"/>
  <c r="T554" i="9"/>
  <c r="U554" i="9"/>
  <c r="V554" i="9"/>
  <c r="R555" i="9"/>
  <c r="S555" i="9"/>
  <c r="T555" i="9"/>
  <c r="U555" i="9"/>
  <c r="V555" i="9"/>
  <c r="R556" i="9"/>
  <c r="S556" i="9"/>
  <c r="T556" i="9"/>
  <c r="U556" i="9"/>
  <c r="V556" i="9"/>
  <c r="R557" i="9"/>
  <c r="S557" i="9"/>
  <c r="T557" i="9"/>
  <c r="U557" i="9"/>
  <c r="V557" i="9"/>
  <c r="R558" i="9"/>
  <c r="S558" i="9"/>
  <c r="T558" i="9"/>
  <c r="U558" i="9"/>
  <c r="V558" i="9"/>
  <c r="X558" i="9" s="1"/>
  <c r="R559" i="9"/>
  <c r="S559" i="9"/>
  <c r="T559" i="9"/>
  <c r="U559" i="9"/>
  <c r="V559" i="9"/>
  <c r="R560" i="9"/>
  <c r="S560" i="9"/>
  <c r="T560" i="9"/>
  <c r="U560" i="9"/>
  <c r="V560" i="9"/>
  <c r="R561" i="9"/>
  <c r="S561" i="9"/>
  <c r="T561" i="9"/>
  <c r="U561" i="9"/>
  <c r="V561" i="9"/>
  <c r="X561" i="9" s="1"/>
  <c r="R562" i="9"/>
  <c r="S562" i="9"/>
  <c r="T562" i="9"/>
  <c r="U562" i="9"/>
  <c r="V562" i="9"/>
  <c r="R563" i="9"/>
  <c r="S563" i="9"/>
  <c r="T563" i="9"/>
  <c r="U563" i="9"/>
  <c r="V563" i="9"/>
  <c r="R564" i="9"/>
  <c r="S564" i="9"/>
  <c r="T564" i="9"/>
  <c r="U564" i="9"/>
  <c r="V564" i="9"/>
  <c r="R565" i="9"/>
  <c r="S565" i="9"/>
  <c r="T565" i="9"/>
  <c r="U565" i="9"/>
  <c r="V565" i="9"/>
  <c r="R566" i="9"/>
  <c r="S566" i="9"/>
  <c r="T566" i="9"/>
  <c r="U566" i="9"/>
  <c r="V566" i="9"/>
  <c r="X566" i="9" s="1"/>
  <c r="R567" i="9"/>
  <c r="S567" i="9"/>
  <c r="T567" i="9"/>
  <c r="U567" i="9"/>
  <c r="V567" i="9"/>
  <c r="R568" i="9"/>
  <c r="S568" i="9"/>
  <c r="T568" i="9"/>
  <c r="U568" i="9"/>
  <c r="V568" i="9"/>
  <c r="R569" i="9"/>
  <c r="S569" i="9"/>
  <c r="T569" i="9"/>
  <c r="U569" i="9"/>
  <c r="V569" i="9"/>
  <c r="X569" i="9" s="1"/>
  <c r="R570" i="9"/>
  <c r="S570" i="9"/>
  <c r="T570" i="9"/>
  <c r="U570" i="9"/>
  <c r="V570" i="9"/>
  <c r="R571" i="9"/>
  <c r="S571" i="9"/>
  <c r="T571" i="9"/>
  <c r="U571" i="9"/>
  <c r="V571" i="9"/>
  <c r="X571" i="9" s="1"/>
  <c r="R572" i="9"/>
  <c r="S572" i="9"/>
  <c r="T572" i="9"/>
  <c r="U572" i="9"/>
  <c r="V572" i="9"/>
  <c r="R573" i="9"/>
  <c r="S573" i="9"/>
  <c r="T573" i="9"/>
  <c r="U573" i="9"/>
  <c r="V573" i="9"/>
  <c r="R574" i="9"/>
  <c r="S574" i="9"/>
  <c r="T574" i="9"/>
  <c r="U574" i="9"/>
  <c r="V574" i="9"/>
  <c r="X574" i="9" s="1"/>
  <c r="R575" i="9"/>
  <c r="S575" i="9"/>
  <c r="T575" i="9"/>
  <c r="U575" i="9"/>
  <c r="V575" i="9"/>
  <c r="R576" i="9"/>
  <c r="S576" i="9"/>
  <c r="T576" i="9"/>
  <c r="U576" i="9"/>
  <c r="V576" i="9"/>
  <c r="R577" i="9"/>
  <c r="S577" i="9"/>
  <c r="T577" i="9"/>
  <c r="U577" i="9"/>
  <c r="V577" i="9"/>
  <c r="X577" i="9" s="1"/>
  <c r="R578" i="9"/>
  <c r="S578" i="9"/>
  <c r="T578" i="9"/>
  <c r="U578" i="9"/>
  <c r="V578" i="9"/>
  <c r="R579" i="9"/>
  <c r="S579" i="9"/>
  <c r="T579" i="9"/>
  <c r="U579" i="9"/>
  <c r="V579" i="9"/>
  <c r="R580" i="9"/>
  <c r="S580" i="9"/>
  <c r="T580" i="9"/>
  <c r="U580" i="9"/>
  <c r="V580" i="9"/>
  <c r="R581" i="9"/>
  <c r="S581" i="9"/>
  <c r="T581" i="9"/>
  <c r="U581" i="9"/>
  <c r="V581" i="9"/>
  <c r="R582" i="9"/>
  <c r="S582" i="9"/>
  <c r="T582" i="9"/>
  <c r="U582" i="9"/>
  <c r="V582" i="9"/>
  <c r="X582" i="9" s="1"/>
  <c r="R583" i="9"/>
  <c r="S583" i="9"/>
  <c r="T583" i="9"/>
  <c r="U583" i="9"/>
  <c r="V583" i="9"/>
  <c r="R584" i="9"/>
  <c r="S584" i="9"/>
  <c r="T584" i="9"/>
  <c r="U584" i="9"/>
  <c r="V584" i="9"/>
  <c r="R585" i="9"/>
  <c r="S585" i="9"/>
  <c r="T585" i="9"/>
  <c r="U585" i="9"/>
  <c r="V585" i="9"/>
  <c r="X585" i="9" s="1"/>
  <c r="V543" i="9"/>
  <c r="U543" i="9"/>
  <c r="T543" i="9"/>
  <c r="F30" i="22" s="1"/>
  <c r="S543" i="9"/>
  <c r="R543" i="9"/>
  <c r="G30" i="22" s="1"/>
  <c r="N544" i="9"/>
  <c r="N545" i="9"/>
  <c r="N546" i="9"/>
  <c r="N547" i="9"/>
  <c r="N548" i="9"/>
  <c r="N549" i="9"/>
  <c r="N550" i="9"/>
  <c r="N551" i="9"/>
  <c r="N552" i="9"/>
  <c r="N553" i="9"/>
  <c r="N554" i="9"/>
  <c r="N555" i="9"/>
  <c r="N556" i="9"/>
  <c r="N557" i="9"/>
  <c r="N558" i="9"/>
  <c r="N559" i="9"/>
  <c r="N560" i="9"/>
  <c r="N561" i="9"/>
  <c r="N562" i="9"/>
  <c r="N563" i="9"/>
  <c r="N564" i="9"/>
  <c r="N565" i="9"/>
  <c r="N566" i="9"/>
  <c r="N567" i="9"/>
  <c r="N568" i="9"/>
  <c r="N569" i="9"/>
  <c r="N570" i="9"/>
  <c r="N571" i="9"/>
  <c r="N572" i="9"/>
  <c r="N573" i="9"/>
  <c r="N574" i="9"/>
  <c r="N575" i="9"/>
  <c r="N576" i="9"/>
  <c r="N577" i="9"/>
  <c r="N578" i="9"/>
  <c r="N579" i="9"/>
  <c r="N580" i="9"/>
  <c r="N581" i="9"/>
  <c r="N582" i="9"/>
  <c r="N583" i="9"/>
  <c r="N584" i="9"/>
  <c r="N585" i="9"/>
  <c r="N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43" i="9"/>
  <c r="R499" i="9"/>
  <c r="S499" i="9"/>
  <c r="T499" i="9"/>
  <c r="U499" i="9"/>
  <c r="V499" i="9"/>
  <c r="X499" i="9" s="1"/>
  <c r="R500" i="9"/>
  <c r="S500" i="9"/>
  <c r="T500" i="9"/>
  <c r="U500" i="9"/>
  <c r="V500" i="9"/>
  <c r="R501" i="9"/>
  <c r="S501" i="9"/>
  <c r="T501" i="9"/>
  <c r="U501" i="9"/>
  <c r="V501" i="9"/>
  <c r="X501" i="9" s="1"/>
  <c r="R502" i="9"/>
  <c r="S502" i="9"/>
  <c r="T502" i="9"/>
  <c r="U502" i="9"/>
  <c r="V502" i="9"/>
  <c r="R503" i="9"/>
  <c r="S503" i="9"/>
  <c r="T503" i="9"/>
  <c r="U503" i="9"/>
  <c r="V503" i="9"/>
  <c r="R504" i="9"/>
  <c r="S504" i="9"/>
  <c r="T504" i="9"/>
  <c r="U504" i="9"/>
  <c r="V504" i="9"/>
  <c r="R505" i="9"/>
  <c r="S505" i="9"/>
  <c r="T505" i="9"/>
  <c r="U505" i="9"/>
  <c r="V505" i="9"/>
  <c r="R506" i="9"/>
  <c r="S506" i="9"/>
  <c r="T506" i="9"/>
  <c r="U506" i="9"/>
  <c r="V506" i="9"/>
  <c r="R507" i="9"/>
  <c r="S507" i="9"/>
  <c r="T507" i="9"/>
  <c r="U507" i="9"/>
  <c r="V507" i="9"/>
  <c r="X507" i="9" s="1"/>
  <c r="R508" i="9"/>
  <c r="S508" i="9"/>
  <c r="T508" i="9"/>
  <c r="U508" i="9"/>
  <c r="V508" i="9"/>
  <c r="R509" i="9"/>
  <c r="S509" i="9"/>
  <c r="T509" i="9"/>
  <c r="U509" i="9"/>
  <c r="V509" i="9"/>
  <c r="X509" i="9" s="1"/>
  <c r="R510" i="9"/>
  <c r="S510" i="9"/>
  <c r="T510" i="9"/>
  <c r="U510" i="9"/>
  <c r="V510" i="9"/>
  <c r="R511" i="9"/>
  <c r="S511" i="9"/>
  <c r="T511" i="9"/>
  <c r="U511" i="9"/>
  <c r="V511" i="9"/>
  <c r="R512" i="9"/>
  <c r="S512" i="9"/>
  <c r="T512" i="9"/>
  <c r="U512" i="9"/>
  <c r="V512" i="9"/>
  <c r="R513" i="9"/>
  <c r="S513" i="9"/>
  <c r="T513" i="9"/>
  <c r="U513" i="9"/>
  <c r="V513" i="9"/>
  <c r="R514" i="9"/>
  <c r="S514" i="9"/>
  <c r="T514" i="9"/>
  <c r="U514" i="9"/>
  <c r="V514" i="9"/>
  <c r="R515" i="9"/>
  <c r="S515" i="9"/>
  <c r="T515" i="9"/>
  <c r="U515" i="9"/>
  <c r="V515" i="9"/>
  <c r="X515" i="9" s="1"/>
  <c r="R516" i="9"/>
  <c r="S516" i="9"/>
  <c r="T516" i="9"/>
  <c r="U516" i="9"/>
  <c r="V516" i="9"/>
  <c r="R517" i="9"/>
  <c r="S517" i="9"/>
  <c r="T517" i="9"/>
  <c r="U517" i="9"/>
  <c r="V517" i="9"/>
  <c r="X517" i="9" s="1"/>
  <c r="R518" i="9"/>
  <c r="S518" i="9"/>
  <c r="T518" i="9"/>
  <c r="U518" i="9"/>
  <c r="V518" i="9"/>
  <c r="R519" i="9"/>
  <c r="S519" i="9"/>
  <c r="T519" i="9"/>
  <c r="U519" i="9"/>
  <c r="V519" i="9"/>
  <c r="R520" i="9"/>
  <c r="S520" i="9"/>
  <c r="T520" i="9"/>
  <c r="U520" i="9"/>
  <c r="V520" i="9"/>
  <c r="R521" i="9"/>
  <c r="S521" i="9"/>
  <c r="T521" i="9"/>
  <c r="U521" i="9"/>
  <c r="V521" i="9"/>
  <c r="R522" i="9"/>
  <c r="S522" i="9"/>
  <c r="T522" i="9"/>
  <c r="U522" i="9"/>
  <c r="V522" i="9"/>
  <c r="R523" i="9"/>
  <c r="S523" i="9"/>
  <c r="T523" i="9"/>
  <c r="U523" i="9"/>
  <c r="V523" i="9"/>
  <c r="X523" i="9" s="1"/>
  <c r="R524" i="9"/>
  <c r="S524" i="9"/>
  <c r="T524" i="9"/>
  <c r="U524" i="9"/>
  <c r="V524" i="9"/>
  <c r="R525" i="9"/>
  <c r="S525" i="9"/>
  <c r="T525" i="9"/>
  <c r="U525" i="9"/>
  <c r="V525" i="9"/>
  <c r="R526" i="9"/>
  <c r="S526" i="9"/>
  <c r="T526" i="9"/>
  <c r="U526" i="9"/>
  <c r="V526" i="9"/>
  <c r="R527" i="9"/>
  <c r="S527" i="9"/>
  <c r="T527" i="9"/>
  <c r="U527" i="9"/>
  <c r="V527" i="9"/>
  <c r="R528" i="9"/>
  <c r="S528" i="9"/>
  <c r="T528" i="9"/>
  <c r="U528" i="9"/>
  <c r="V528" i="9"/>
  <c r="R529" i="9"/>
  <c r="S529" i="9"/>
  <c r="T529" i="9"/>
  <c r="U529" i="9"/>
  <c r="V529" i="9"/>
  <c r="R530" i="9"/>
  <c r="S530" i="9"/>
  <c r="T530" i="9"/>
  <c r="U530" i="9"/>
  <c r="V530" i="9"/>
  <c r="R531" i="9"/>
  <c r="S531" i="9"/>
  <c r="T531" i="9"/>
  <c r="U531" i="9"/>
  <c r="V531" i="9"/>
  <c r="X531" i="9" s="1"/>
  <c r="R532" i="9"/>
  <c r="S532" i="9"/>
  <c r="T532" i="9"/>
  <c r="U532" i="9"/>
  <c r="V532" i="9"/>
  <c r="R533" i="9"/>
  <c r="S533" i="9"/>
  <c r="T533" i="9"/>
  <c r="U533" i="9"/>
  <c r="V533" i="9"/>
  <c r="X533" i="9" s="1"/>
  <c r="R534" i="9"/>
  <c r="S534" i="9"/>
  <c r="T534" i="9"/>
  <c r="U534" i="9"/>
  <c r="V534" i="9"/>
  <c r="R535" i="9"/>
  <c r="S535" i="9"/>
  <c r="T535" i="9"/>
  <c r="U535" i="9"/>
  <c r="V535" i="9"/>
  <c r="R536" i="9"/>
  <c r="S536" i="9"/>
  <c r="T536" i="9"/>
  <c r="U536" i="9"/>
  <c r="V536" i="9"/>
  <c r="R537" i="9"/>
  <c r="S537" i="9"/>
  <c r="T537" i="9"/>
  <c r="U537" i="9"/>
  <c r="V537" i="9"/>
  <c r="R538" i="9"/>
  <c r="S538" i="9"/>
  <c r="T538" i="9"/>
  <c r="U538" i="9"/>
  <c r="V538" i="9"/>
  <c r="R539" i="9"/>
  <c r="S539" i="9"/>
  <c r="T539" i="9"/>
  <c r="U539" i="9"/>
  <c r="V539" i="9"/>
  <c r="X539" i="9" s="1"/>
  <c r="R540" i="9"/>
  <c r="S540" i="9"/>
  <c r="T540" i="9"/>
  <c r="U540" i="9"/>
  <c r="V540" i="9"/>
  <c r="V498" i="9"/>
  <c r="U498" i="9"/>
  <c r="H29" i="22" s="1"/>
  <c r="T498" i="9"/>
  <c r="F29" i="22" s="1"/>
  <c r="S498" i="9"/>
  <c r="R498" i="9"/>
  <c r="N499" i="9"/>
  <c r="N500" i="9"/>
  <c r="N501" i="9"/>
  <c r="N502" i="9"/>
  <c r="N503" i="9"/>
  <c r="N504" i="9"/>
  <c r="N505" i="9"/>
  <c r="N506" i="9"/>
  <c r="N507" i="9"/>
  <c r="N508" i="9"/>
  <c r="N509" i="9"/>
  <c r="N510" i="9"/>
  <c r="N511" i="9"/>
  <c r="N512" i="9"/>
  <c r="N513" i="9"/>
  <c r="N514" i="9"/>
  <c r="N515" i="9"/>
  <c r="N516" i="9"/>
  <c r="N517" i="9"/>
  <c r="N518" i="9"/>
  <c r="N519" i="9"/>
  <c r="N520" i="9"/>
  <c r="N521" i="9"/>
  <c r="N522" i="9"/>
  <c r="N523" i="9"/>
  <c r="N524" i="9"/>
  <c r="N525" i="9"/>
  <c r="N526" i="9"/>
  <c r="N527" i="9"/>
  <c r="N528" i="9"/>
  <c r="N529" i="9"/>
  <c r="N530" i="9"/>
  <c r="N531" i="9"/>
  <c r="N532" i="9"/>
  <c r="N533" i="9"/>
  <c r="N534" i="9"/>
  <c r="N535" i="9"/>
  <c r="N536" i="9"/>
  <c r="N537" i="9"/>
  <c r="N538" i="9"/>
  <c r="N539" i="9"/>
  <c r="N540" i="9"/>
  <c r="N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498" i="9"/>
  <c r="R454" i="9"/>
  <c r="S454" i="9"/>
  <c r="T454" i="9"/>
  <c r="U454" i="9"/>
  <c r="V454" i="9"/>
  <c r="R455" i="9"/>
  <c r="S455" i="9"/>
  <c r="T455" i="9"/>
  <c r="U455" i="9"/>
  <c r="V455" i="9"/>
  <c r="R456" i="9"/>
  <c r="S456" i="9"/>
  <c r="T456" i="9"/>
  <c r="U456" i="9"/>
  <c r="V456" i="9"/>
  <c r="R457" i="9"/>
  <c r="S457" i="9"/>
  <c r="T457" i="9"/>
  <c r="U457" i="9"/>
  <c r="V457" i="9"/>
  <c r="R458" i="9"/>
  <c r="S458" i="9"/>
  <c r="T458" i="9"/>
  <c r="U458" i="9"/>
  <c r="V458" i="9"/>
  <c r="X458" i="9" s="1"/>
  <c r="R459" i="9"/>
  <c r="S459" i="9"/>
  <c r="T459" i="9"/>
  <c r="U459" i="9"/>
  <c r="V459" i="9"/>
  <c r="R460" i="9"/>
  <c r="S460" i="9"/>
  <c r="T460" i="9"/>
  <c r="U460" i="9"/>
  <c r="V460" i="9"/>
  <c r="R461" i="9"/>
  <c r="S461" i="9"/>
  <c r="T461" i="9"/>
  <c r="U461" i="9"/>
  <c r="V461" i="9"/>
  <c r="X461" i="9" s="1"/>
  <c r="R462" i="9"/>
  <c r="S462" i="9"/>
  <c r="T462" i="9"/>
  <c r="U462" i="9"/>
  <c r="V462" i="9"/>
  <c r="R463" i="9"/>
  <c r="S463" i="9"/>
  <c r="T463" i="9"/>
  <c r="U463" i="9"/>
  <c r="V463" i="9"/>
  <c r="R464" i="9"/>
  <c r="S464" i="9"/>
  <c r="T464" i="9"/>
  <c r="U464" i="9"/>
  <c r="V464" i="9"/>
  <c r="R465" i="9"/>
  <c r="S465" i="9"/>
  <c r="T465" i="9"/>
  <c r="U465" i="9"/>
  <c r="V465" i="9"/>
  <c r="R466" i="9"/>
  <c r="S466" i="9"/>
  <c r="T466" i="9"/>
  <c r="U466" i="9"/>
  <c r="V466" i="9"/>
  <c r="X466" i="9" s="1"/>
  <c r="R467" i="9"/>
  <c r="S467" i="9"/>
  <c r="T467" i="9"/>
  <c r="U467" i="9"/>
  <c r="V467" i="9"/>
  <c r="R468" i="9"/>
  <c r="S468" i="9"/>
  <c r="T468" i="9"/>
  <c r="U468" i="9"/>
  <c r="V468" i="9"/>
  <c r="R469" i="9"/>
  <c r="S469" i="9"/>
  <c r="T469" i="9"/>
  <c r="U469" i="9"/>
  <c r="V469" i="9"/>
  <c r="X469" i="9" s="1"/>
  <c r="R470" i="9"/>
  <c r="S470" i="9"/>
  <c r="T470" i="9"/>
  <c r="U470" i="9"/>
  <c r="V470" i="9"/>
  <c r="R471" i="9"/>
  <c r="S471" i="9"/>
  <c r="T471" i="9"/>
  <c r="U471" i="9"/>
  <c r="V471" i="9"/>
  <c r="R472" i="9"/>
  <c r="S472" i="9"/>
  <c r="T472" i="9"/>
  <c r="U472" i="9"/>
  <c r="V472" i="9"/>
  <c r="R473" i="9"/>
  <c r="S473" i="9"/>
  <c r="T473" i="9"/>
  <c r="U473" i="9"/>
  <c r="V473" i="9"/>
  <c r="R474" i="9"/>
  <c r="S474" i="9"/>
  <c r="T474" i="9"/>
  <c r="U474" i="9"/>
  <c r="V474" i="9"/>
  <c r="X474" i="9" s="1"/>
  <c r="R475" i="9"/>
  <c r="S475" i="9"/>
  <c r="T475" i="9"/>
  <c r="U475" i="9"/>
  <c r="V475" i="9"/>
  <c r="R476" i="9"/>
  <c r="S476" i="9"/>
  <c r="T476" i="9"/>
  <c r="U476" i="9"/>
  <c r="V476" i="9"/>
  <c r="R477" i="9"/>
  <c r="S477" i="9"/>
  <c r="T477" i="9"/>
  <c r="U477" i="9"/>
  <c r="V477" i="9"/>
  <c r="X477" i="9" s="1"/>
  <c r="R478" i="9"/>
  <c r="S478" i="9"/>
  <c r="T478" i="9"/>
  <c r="U478" i="9"/>
  <c r="V478" i="9"/>
  <c r="R479" i="9"/>
  <c r="S479" i="9"/>
  <c r="T479" i="9"/>
  <c r="U479" i="9"/>
  <c r="V479" i="9"/>
  <c r="R480" i="9"/>
  <c r="S480" i="9"/>
  <c r="T480" i="9"/>
  <c r="U480" i="9"/>
  <c r="V480" i="9"/>
  <c r="R481" i="9"/>
  <c r="S481" i="9"/>
  <c r="T481" i="9"/>
  <c r="U481" i="9"/>
  <c r="V481" i="9"/>
  <c r="R482" i="9"/>
  <c r="S482" i="9"/>
  <c r="T482" i="9"/>
  <c r="U482" i="9"/>
  <c r="V482" i="9"/>
  <c r="X482" i="9" s="1"/>
  <c r="R483" i="9"/>
  <c r="S483" i="9"/>
  <c r="T483" i="9"/>
  <c r="U483" i="9"/>
  <c r="V483" i="9"/>
  <c r="R484" i="9"/>
  <c r="S484" i="9"/>
  <c r="T484" i="9"/>
  <c r="U484" i="9"/>
  <c r="V484" i="9"/>
  <c r="R485" i="9"/>
  <c r="S485" i="9"/>
  <c r="T485" i="9"/>
  <c r="U485" i="9"/>
  <c r="V485" i="9"/>
  <c r="X485" i="9" s="1"/>
  <c r="R486" i="9"/>
  <c r="S486" i="9"/>
  <c r="T486" i="9"/>
  <c r="U486" i="9"/>
  <c r="V486" i="9"/>
  <c r="R487" i="9"/>
  <c r="S487" i="9"/>
  <c r="T487" i="9"/>
  <c r="U487" i="9"/>
  <c r="V487" i="9"/>
  <c r="R488" i="9"/>
  <c r="S488" i="9"/>
  <c r="T488" i="9"/>
  <c r="U488" i="9"/>
  <c r="V488" i="9"/>
  <c r="R489" i="9"/>
  <c r="S489" i="9"/>
  <c r="T489" i="9"/>
  <c r="U489" i="9"/>
  <c r="V489" i="9"/>
  <c r="R490" i="9"/>
  <c r="S490" i="9"/>
  <c r="T490" i="9"/>
  <c r="U490" i="9"/>
  <c r="V490" i="9"/>
  <c r="X490" i="9" s="1"/>
  <c r="R491" i="9"/>
  <c r="S491" i="9"/>
  <c r="T491" i="9"/>
  <c r="U491" i="9"/>
  <c r="V491" i="9"/>
  <c r="R492" i="9"/>
  <c r="S492" i="9"/>
  <c r="T492" i="9"/>
  <c r="U492" i="9"/>
  <c r="V492" i="9"/>
  <c r="R493" i="9"/>
  <c r="S493" i="9"/>
  <c r="T493" i="9"/>
  <c r="U493" i="9"/>
  <c r="V493" i="9"/>
  <c r="X493" i="9" s="1"/>
  <c r="R494" i="9"/>
  <c r="S494" i="9"/>
  <c r="T494" i="9"/>
  <c r="U494" i="9"/>
  <c r="V494" i="9"/>
  <c r="R495" i="9"/>
  <c r="S495" i="9"/>
  <c r="T495" i="9"/>
  <c r="U495" i="9"/>
  <c r="V495" i="9"/>
  <c r="V453" i="9"/>
  <c r="U453" i="9"/>
  <c r="H28" i="22" s="1"/>
  <c r="T453" i="9"/>
  <c r="F28" i="22" s="1"/>
  <c r="S453" i="9"/>
  <c r="R453" i="9"/>
  <c r="N454" i="9"/>
  <c r="N455" i="9"/>
  <c r="N456" i="9"/>
  <c r="N457" i="9"/>
  <c r="N458" i="9"/>
  <c r="N459" i="9"/>
  <c r="N460" i="9"/>
  <c r="N461" i="9"/>
  <c r="N462" i="9"/>
  <c r="N463" i="9"/>
  <c r="N464" i="9"/>
  <c r="N465" i="9"/>
  <c r="N466" i="9"/>
  <c r="N467" i="9"/>
  <c r="N468" i="9"/>
  <c r="N469" i="9"/>
  <c r="N470" i="9"/>
  <c r="N471" i="9"/>
  <c r="N472" i="9"/>
  <c r="N473" i="9"/>
  <c r="N474" i="9"/>
  <c r="N475" i="9"/>
  <c r="N476" i="9"/>
  <c r="N477" i="9"/>
  <c r="N478" i="9"/>
  <c r="N479" i="9"/>
  <c r="N480" i="9"/>
  <c r="N481" i="9"/>
  <c r="N482" i="9"/>
  <c r="N483" i="9"/>
  <c r="N484" i="9"/>
  <c r="N485" i="9"/>
  <c r="N486" i="9"/>
  <c r="N487" i="9"/>
  <c r="N488" i="9"/>
  <c r="N489" i="9"/>
  <c r="N490" i="9"/>
  <c r="N491" i="9"/>
  <c r="N492" i="9"/>
  <c r="N493" i="9"/>
  <c r="N494" i="9"/>
  <c r="N495" i="9"/>
  <c r="N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53" i="9"/>
  <c r="K28" i="22" s="1"/>
  <c r="R409" i="9"/>
  <c r="S409" i="9"/>
  <c r="T409" i="9"/>
  <c r="U409" i="9"/>
  <c r="V409" i="9"/>
  <c r="R410" i="9"/>
  <c r="S410" i="9"/>
  <c r="T410" i="9"/>
  <c r="U410" i="9"/>
  <c r="V410" i="9"/>
  <c r="X410" i="9" s="1"/>
  <c r="R411" i="9"/>
  <c r="S411" i="9"/>
  <c r="T411" i="9"/>
  <c r="U411" i="9"/>
  <c r="V411" i="9"/>
  <c r="R412" i="9"/>
  <c r="S412" i="9"/>
  <c r="T412" i="9"/>
  <c r="U412" i="9"/>
  <c r="V412" i="9"/>
  <c r="R413" i="9"/>
  <c r="S413" i="9"/>
  <c r="T413" i="9"/>
  <c r="U413" i="9"/>
  <c r="V413" i="9"/>
  <c r="R414" i="9"/>
  <c r="S414" i="9"/>
  <c r="T414" i="9"/>
  <c r="U414" i="9"/>
  <c r="V414" i="9"/>
  <c r="R415" i="9"/>
  <c r="S415" i="9"/>
  <c r="T415" i="9"/>
  <c r="U415" i="9"/>
  <c r="V415" i="9"/>
  <c r="R416" i="9"/>
  <c r="S416" i="9"/>
  <c r="T416" i="9"/>
  <c r="U416" i="9"/>
  <c r="V416" i="9"/>
  <c r="X416" i="9" s="1"/>
  <c r="R417" i="9"/>
  <c r="S417" i="9"/>
  <c r="T417" i="9"/>
  <c r="U417" i="9"/>
  <c r="V417" i="9"/>
  <c r="R418" i="9"/>
  <c r="S418" i="9"/>
  <c r="T418" i="9"/>
  <c r="U418" i="9"/>
  <c r="V418" i="9"/>
  <c r="R419" i="9"/>
  <c r="S419" i="9"/>
  <c r="T419" i="9"/>
  <c r="U419" i="9"/>
  <c r="V419" i="9"/>
  <c r="R420" i="9"/>
  <c r="S420" i="9"/>
  <c r="T420" i="9"/>
  <c r="U420" i="9"/>
  <c r="V420" i="9"/>
  <c r="R421" i="9"/>
  <c r="S421" i="9"/>
  <c r="T421" i="9"/>
  <c r="U421" i="9"/>
  <c r="V421" i="9"/>
  <c r="R422" i="9"/>
  <c r="S422" i="9"/>
  <c r="T422" i="9"/>
  <c r="U422" i="9"/>
  <c r="V422" i="9"/>
  <c r="R423" i="9"/>
  <c r="S423" i="9"/>
  <c r="T423" i="9"/>
  <c r="U423" i="9"/>
  <c r="V423" i="9"/>
  <c r="R424" i="9"/>
  <c r="S424" i="9"/>
  <c r="T424" i="9"/>
  <c r="U424" i="9"/>
  <c r="V424" i="9"/>
  <c r="X424" i="9" s="1"/>
  <c r="R425" i="9"/>
  <c r="S425" i="9"/>
  <c r="T425" i="9"/>
  <c r="U425" i="9"/>
  <c r="V425" i="9"/>
  <c r="R426" i="9"/>
  <c r="S426" i="9"/>
  <c r="T426" i="9"/>
  <c r="U426" i="9"/>
  <c r="V426" i="9"/>
  <c r="R427" i="9"/>
  <c r="S427" i="9"/>
  <c r="T427" i="9"/>
  <c r="U427" i="9"/>
  <c r="V427" i="9"/>
  <c r="R428" i="9"/>
  <c r="S428" i="9"/>
  <c r="T428" i="9"/>
  <c r="U428" i="9"/>
  <c r="V428" i="9"/>
  <c r="R429" i="9"/>
  <c r="S429" i="9"/>
  <c r="T429" i="9"/>
  <c r="U429" i="9"/>
  <c r="V429" i="9"/>
  <c r="R430" i="9"/>
  <c r="S430" i="9"/>
  <c r="T430" i="9"/>
  <c r="U430" i="9"/>
  <c r="V430" i="9"/>
  <c r="R431" i="9"/>
  <c r="S431" i="9"/>
  <c r="T431" i="9"/>
  <c r="U431" i="9"/>
  <c r="V431" i="9"/>
  <c r="R432" i="9"/>
  <c r="S432" i="9"/>
  <c r="T432" i="9"/>
  <c r="U432" i="9"/>
  <c r="V432" i="9"/>
  <c r="X432" i="9" s="1"/>
  <c r="R433" i="9"/>
  <c r="S433" i="9"/>
  <c r="T433" i="9"/>
  <c r="U433" i="9"/>
  <c r="V433" i="9"/>
  <c r="R434" i="9"/>
  <c r="S434" i="9"/>
  <c r="T434" i="9"/>
  <c r="U434" i="9"/>
  <c r="V434" i="9"/>
  <c r="X434" i="9" s="1"/>
  <c r="R435" i="9"/>
  <c r="S435" i="9"/>
  <c r="T435" i="9"/>
  <c r="U435" i="9"/>
  <c r="V435" i="9"/>
  <c r="R436" i="9"/>
  <c r="S436" i="9"/>
  <c r="T436" i="9"/>
  <c r="U436" i="9"/>
  <c r="V436" i="9"/>
  <c r="R437" i="9"/>
  <c r="S437" i="9"/>
  <c r="T437" i="9"/>
  <c r="U437" i="9"/>
  <c r="V437" i="9"/>
  <c r="X437" i="9" s="1"/>
  <c r="R438" i="9"/>
  <c r="S438" i="9"/>
  <c r="T438" i="9"/>
  <c r="U438" i="9"/>
  <c r="V438" i="9"/>
  <c r="R439" i="9"/>
  <c r="S439" i="9"/>
  <c r="T439" i="9"/>
  <c r="U439" i="9"/>
  <c r="V439" i="9"/>
  <c r="R440" i="9"/>
  <c r="S440" i="9"/>
  <c r="T440" i="9"/>
  <c r="U440" i="9"/>
  <c r="V440" i="9"/>
  <c r="X440" i="9" s="1"/>
  <c r="R441" i="9"/>
  <c r="S441" i="9"/>
  <c r="T441" i="9"/>
  <c r="U441" i="9"/>
  <c r="V441" i="9"/>
  <c r="R442" i="9"/>
  <c r="S442" i="9"/>
  <c r="T442" i="9"/>
  <c r="U442" i="9"/>
  <c r="V442" i="9"/>
  <c r="R443" i="9"/>
  <c r="S443" i="9"/>
  <c r="T443" i="9"/>
  <c r="U443" i="9"/>
  <c r="V443" i="9"/>
  <c r="R444" i="9"/>
  <c r="S444" i="9"/>
  <c r="T444" i="9"/>
  <c r="U444" i="9"/>
  <c r="V444" i="9"/>
  <c r="R445" i="9"/>
  <c r="S445" i="9"/>
  <c r="T445" i="9"/>
  <c r="U445" i="9"/>
  <c r="V445" i="9"/>
  <c r="X445" i="9" s="1"/>
  <c r="R446" i="9"/>
  <c r="S446" i="9"/>
  <c r="T446" i="9"/>
  <c r="U446" i="9"/>
  <c r="V446" i="9"/>
  <c r="R447" i="9"/>
  <c r="S447" i="9"/>
  <c r="T447" i="9"/>
  <c r="U447" i="9"/>
  <c r="V447" i="9"/>
  <c r="R448" i="9"/>
  <c r="S448" i="9"/>
  <c r="T448" i="9"/>
  <c r="U448" i="9"/>
  <c r="V448" i="9"/>
  <c r="X448" i="9" s="1"/>
  <c r="R449" i="9"/>
  <c r="S449" i="9"/>
  <c r="T449" i="9"/>
  <c r="U449" i="9"/>
  <c r="V449" i="9"/>
  <c r="R450" i="9"/>
  <c r="S450" i="9"/>
  <c r="T450" i="9"/>
  <c r="U450" i="9"/>
  <c r="V450" i="9"/>
  <c r="X450" i="9" s="1"/>
  <c r="V408" i="9"/>
  <c r="U408" i="9"/>
  <c r="H27" i="22" s="1"/>
  <c r="T408" i="9"/>
  <c r="F27" i="22" s="1"/>
  <c r="S408" i="9"/>
  <c r="R408" i="9"/>
  <c r="N409" i="9"/>
  <c r="N410" i="9"/>
  <c r="N411" i="9"/>
  <c r="N412" i="9"/>
  <c r="N413" i="9"/>
  <c r="N414" i="9"/>
  <c r="N415" i="9"/>
  <c r="N416" i="9"/>
  <c r="N417" i="9"/>
  <c r="N418" i="9"/>
  <c r="N419" i="9"/>
  <c r="N420" i="9"/>
  <c r="N421" i="9"/>
  <c r="N422" i="9"/>
  <c r="N423" i="9"/>
  <c r="N424" i="9"/>
  <c r="N425" i="9"/>
  <c r="N426" i="9"/>
  <c r="N427" i="9"/>
  <c r="N428" i="9"/>
  <c r="N429" i="9"/>
  <c r="N430" i="9"/>
  <c r="N431" i="9"/>
  <c r="N432" i="9"/>
  <c r="N433" i="9"/>
  <c r="N434" i="9"/>
  <c r="N435" i="9"/>
  <c r="N436" i="9"/>
  <c r="N437" i="9"/>
  <c r="N438" i="9"/>
  <c r="N439" i="9"/>
  <c r="N440" i="9"/>
  <c r="N441" i="9"/>
  <c r="N442" i="9"/>
  <c r="N443" i="9"/>
  <c r="N444" i="9"/>
  <c r="N445" i="9"/>
  <c r="N446" i="9"/>
  <c r="N447" i="9"/>
  <c r="N448" i="9"/>
  <c r="N449" i="9"/>
  <c r="N450" i="9"/>
  <c r="N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08"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363" i="9"/>
  <c r="K26" i="22" s="1"/>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18" i="9"/>
  <c r="N274" i="9"/>
  <c r="N275" i="9"/>
  <c r="N276" i="9"/>
  <c r="N277" i="9"/>
  <c r="N278" i="9"/>
  <c r="N279" i="9"/>
  <c r="N280" i="9"/>
  <c r="N281" i="9"/>
  <c r="N282" i="9"/>
  <c r="N283" i="9"/>
  <c r="N284" i="9"/>
  <c r="N285" i="9"/>
  <c r="N286" i="9"/>
  <c r="N287" i="9"/>
  <c r="N288" i="9"/>
  <c r="N289" i="9"/>
  <c r="N290" i="9"/>
  <c r="N291" i="9"/>
  <c r="N292" i="9"/>
  <c r="N293" i="9"/>
  <c r="N294" i="9"/>
  <c r="N295" i="9"/>
  <c r="N296" i="9"/>
  <c r="N297" i="9"/>
  <c r="N298" i="9"/>
  <c r="N299" i="9"/>
  <c r="N300" i="9"/>
  <c r="N301" i="9"/>
  <c r="N302" i="9"/>
  <c r="N303" i="9"/>
  <c r="N304" i="9"/>
  <c r="N305" i="9"/>
  <c r="N306" i="9"/>
  <c r="N307" i="9"/>
  <c r="N308" i="9"/>
  <c r="N309" i="9"/>
  <c r="N310" i="9"/>
  <c r="N311" i="9"/>
  <c r="N312" i="9"/>
  <c r="N313" i="9"/>
  <c r="N314" i="9"/>
  <c r="N315" i="9"/>
  <c r="N273" i="9"/>
  <c r="G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273" i="9"/>
  <c r="S229" i="9"/>
  <c r="T229" i="9"/>
  <c r="U229" i="9"/>
  <c r="V229" i="9"/>
  <c r="S230" i="9"/>
  <c r="T230" i="9"/>
  <c r="U230" i="9"/>
  <c r="V230" i="9"/>
  <c r="S231" i="9"/>
  <c r="T231" i="9"/>
  <c r="U231" i="9"/>
  <c r="V231" i="9"/>
  <c r="S232" i="9"/>
  <c r="T232" i="9"/>
  <c r="U232" i="9"/>
  <c r="V232" i="9"/>
  <c r="S233" i="9"/>
  <c r="T233" i="9"/>
  <c r="U233" i="9"/>
  <c r="V233" i="9"/>
  <c r="S234" i="9"/>
  <c r="T234" i="9"/>
  <c r="U234" i="9"/>
  <c r="V234" i="9"/>
  <c r="S235" i="9"/>
  <c r="T235" i="9"/>
  <c r="U235" i="9"/>
  <c r="V235" i="9"/>
  <c r="S236" i="9"/>
  <c r="T236" i="9"/>
  <c r="U236" i="9"/>
  <c r="V236" i="9"/>
  <c r="S237" i="9"/>
  <c r="T237" i="9"/>
  <c r="U237" i="9"/>
  <c r="V237" i="9"/>
  <c r="S238" i="9"/>
  <c r="T238" i="9"/>
  <c r="U238" i="9"/>
  <c r="V238" i="9"/>
  <c r="S239" i="9"/>
  <c r="T239" i="9"/>
  <c r="U239" i="9"/>
  <c r="V239" i="9"/>
  <c r="S240" i="9"/>
  <c r="T240" i="9"/>
  <c r="U240" i="9"/>
  <c r="V240" i="9"/>
  <c r="S241" i="9"/>
  <c r="T241" i="9"/>
  <c r="U241" i="9"/>
  <c r="V241" i="9"/>
  <c r="S242" i="9"/>
  <c r="T242" i="9"/>
  <c r="U242" i="9"/>
  <c r="V242" i="9"/>
  <c r="S243" i="9"/>
  <c r="T243" i="9"/>
  <c r="U243" i="9"/>
  <c r="V243" i="9"/>
  <c r="S244" i="9"/>
  <c r="T244" i="9"/>
  <c r="U244" i="9"/>
  <c r="V244" i="9"/>
  <c r="S245" i="9"/>
  <c r="T245" i="9"/>
  <c r="U245" i="9"/>
  <c r="V245" i="9"/>
  <c r="S246" i="9"/>
  <c r="T246" i="9"/>
  <c r="U246" i="9"/>
  <c r="V246" i="9"/>
  <c r="S247" i="9"/>
  <c r="T247" i="9"/>
  <c r="U247" i="9"/>
  <c r="V247" i="9"/>
  <c r="S248" i="9"/>
  <c r="T248" i="9"/>
  <c r="U248" i="9"/>
  <c r="V248" i="9"/>
  <c r="S249" i="9"/>
  <c r="T249" i="9"/>
  <c r="U249" i="9"/>
  <c r="V249" i="9"/>
  <c r="S250" i="9"/>
  <c r="T250" i="9"/>
  <c r="U250" i="9"/>
  <c r="V250" i="9"/>
  <c r="S251" i="9"/>
  <c r="T251" i="9"/>
  <c r="U251" i="9"/>
  <c r="V251" i="9"/>
  <c r="S252" i="9"/>
  <c r="T252" i="9"/>
  <c r="U252" i="9"/>
  <c r="V252" i="9"/>
  <c r="S253" i="9"/>
  <c r="T253" i="9"/>
  <c r="U253" i="9"/>
  <c r="V253" i="9"/>
  <c r="S254" i="9"/>
  <c r="T254" i="9"/>
  <c r="U254" i="9"/>
  <c r="V254" i="9"/>
  <c r="S255" i="9"/>
  <c r="T255" i="9"/>
  <c r="U255" i="9"/>
  <c r="V255" i="9"/>
  <c r="S256" i="9"/>
  <c r="T256" i="9"/>
  <c r="U256" i="9"/>
  <c r="V256" i="9"/>
  <c r="S257" i="9"/>
  <c r="T257" i="9"/>
  <c r="U257" i="9"/>
  <c r="V257" i="9"/>
  <c r="S258" i="9"/>
  <c r="T258" i="9"/>
  <c r="U258" i="9"/>
  <c r="V258" i="9"/>
  <c r="S259" i="9"/>
  <c r="T259" i="9"/>
  <c r="U259" i="9"/>
  <c r="V259" i="9"/>
  <c r="S260" i="9"/>
  <c r="T260" i="9"/>
  <c r="U260" i="9"/>
  <c r="V260" i="9"/>
  <c r="S261" i="9"/>
  <c r="T261" i="9"/>
  <c r="U261" i="9"/>
  <c r="V261" i="9"/>
  <c r="S262" i="9"/>
  <c r="T262" i="9"/>
  <c r="U262" i="9"/>
  <c r="V262" i="9"/>
  <c r="S263" i="9"/>
  <c r="T263" i="9"/>
  <c r="U263" i="9"/>
  <c r="V263" i="9"/>
  <c r="S264" i="9"/>
  <c r="T264" i="9"/>
  <c r="U264" i="9"/>
  <c r="V264" i="9"/>
  <c r="S265" i="9"/>
  <c r="T265" i="9"/>
  <c r="U265" i="9"/>
  <c r="V265" i="9"/>
  <c r="S266" i="9"/>
  <c r="T266" i="9"/>
  <c r="U266" i="9"/>
  <c r="V266" i="9"/>
  <c r="S267" i="9"/>
  <c r="T267" i="9"/>
  <c r="U267" i="9"/>
  <c r="V267" i="9"/>
  <c r="S268" i="9"/>
  <c r="T268" i="9"/>
  <c r="U268" i="9"/>
  <c r="V268" i="9"/>
  <c r="S269" i="9"/>
  <c r="T269" i="9"/>
  <c r="U269" i="9"/>
  <c r="V269" i="9"/>
  <c r="S270" i="9"/>
  <c r="T270" i="9"/>
  <c r="U270" i="9"/>
  <c r="V270" i="9"/>
  <c r="V228" i="9"/>
  <c r="U228" i="9"/>
  <c r="T228" i="9"/>
  <c r="F23" i="22" s="1"/>
  <c r="S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28" i="9"/>
  <c r="G23" i="22" s="1"/>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28" i="9"/>
  <c r="R184" i="9"/>
  <c r="S184" i="9"/>
  <c r="T184" i="9"/>
  <c r="U184" i="9"/>
  <c r="V184" i="9"/>
  <c r="R185" i="9"/>
  <c r="S185" i="9"/>
  <c r="T185" i="9"/>
  <c r="U185" i="9"/>
  <c r="V185" i="9"/>
  <c r="R186" i="9"/>
  <c r="S186" i="9"/>
  <c r="T186" i="9"/>
  <c r="U186" i="9"/>
  <c r="V186" i="9"/>
  <c r="R187" i="9"/>
  <c r="S187" i="9"/>
  <c r="T187" i="9"/>
  <c r="U187" i="9"/>
  <c r="V187" i="9"/>
  <c r="R188" i="9"/>
  <c r="S188" i="9"/>
  <c r="T188" i="9"/>
  <c r="U188" i="9"/>
  <c r="V188" i="9"/>
  <c r="R189" i="9"/>
  <c r="S189" i="9"/>
  <c r="T189" i="9"/>
  <c r="U189" i="9"/>
  <c r="V189" i="9"/>
  <c r="X189" i="9" s="1"/>
  <c r="R190" i="9"/>
  <c r="S190" i="9"/>
  <c r="T190" i="9"/>
  <c r="U190" i="9"/>
  <c r="V190" i="9"/>
  <c r="R191" i="9"/>
  <c r="S191" i="9"/>
  <c r="T191" i="9"/>
  <c r="U191" i="9"/>
  <c r="V191" i="9"/>
  <c r="R192" i="9"/>
  <c r="S192" i="9"/>
  <c r="T192" i="9"/>
  <c r="U192" i="9"/>
  <c r="V192" i="9"/>
  <c r="R193" i="9"/>
  <c r="S193" i="9"/>
  <c r="T193" i="9"/>
  <c r="U193" i="9"/>
  <c r="V193" i="9"/>
  <c r="R194" i="9"/>
  <c r="S194" i="9"/>
  <c r="T194" i="9"/>
  <c r="U194" i="9"/>
  <c r="V194" i="9"/>
  <c r="X194" i="9" s="1"/>
  <c r="R195" i="9"/>
  <c r="S195" i="9"/>
  <c r="T195" i="9"/>
  <c r="U195" i="9"/>
  <c r="V195" i="9"/>
  <c r="R196" i="9"/>
  <c r="S196" i="9"/>
  <c r="T196" i="9"/>
  <c r="U196" i="9"/>
  <c r="V196" i="9"/>
  <c r="R197" i="9"/>
  <c r="S197" i="9"/>
  <c r="T197" i="9"/>
  <c r="U197" i="9"/>
  <c r="V197" i="9"/>
  <c r="X197" i="9" s="1"/>
  <c r="R198" i="9"/>
  <c r="S198" i="9"/>
  <c r="T198" i="9"/>
  <c r="U198" i="9"/>
  <c r="V198" i="9"/>
  <c r="R199" i="9"/>
  <c r="S199" i="9"/>
  <c r="T199" i="9"/>
  <c r="U199" i="9"/>
  <c r="V199" i="9"/>
  <c r="R200" i="9"/>
  <c r="S200" i="9"/>
  <c r="T200" i="9"/>
  <c r="U200" i="9"/>
  <c r="V200" i="9"/>
  <c r="R201" i="9"/>
  <c r="S201" i="9"/>
  <c r="T201" i="9"/>
  <c r="U201" i="9"/>
  <c r="V201" i="9"/>
  <c r="R202" i="9"/>
  <c r="S202" i="9"/>
  <c r="T202" i="9"/>
  <c r="U202" i="9"/>
  <c r="V202" i="9"/>
  <c r="X202" i="9" s="1"/>
  <c r="R203" i="9"/>
  <c r="S203" i="9"/>
  <c r="T203" i="9"/>
  <c r="U203" i="9"/>
  <c r="V203" i="9"/>
  <c r="R204" i="9"/>
  <c r="S204" i="9"/>
  <c r="T204" i="9"/>
  <c r="U204" i="9"/>
  <c r="V204" i="9"/>
  <c r="R205" i="9"/>
  <c r="S205" i="9"/>
  <c r="T205" i="9"/>
  <c r="U205" i="9"/>
  <c r="V205" i="9"/>
  <c r="X205" i="9" s="1"/>
  <c r="R206" i="9"/>
  <c r="S206" i="9"/>
  <c r="T206" i="9"/>
  <c r="U206" i="9"/>
  <c r="V206" i="9"/>
  <c r="R207" i="9"/>
  <c r="S207" i="9"/>
  <c r="T207" i="9"/>
  <c r="U207" i="9"/>
  <c r="V207" i="9"/>
  <c r="R208" i="9"/>
  <c r="S208" i="9"/>
  <c r="T208" i="9"/>
  <c r="U208" i="9"/>
  <c r="V208" i="9"/>
  <c r="R209" i="9"/>
  <c r="S209" i="9"/>
  <c r="T209" i="9"/>
  <c r="U209" i="9"/>
  <c r="V209" i="9"/>
  <c r="R210" i="9"/>
  <c r="S210" i="9"/>
  <c r="T210" i="9"/>
  <c r="U210" i="9"/>
  <c r="V210" i="9"/>
  <c r="X210" i="9" s="1"/>
  <c r="R211" i="9"/>
  <c r="S211" i="9"/>
  <c r="T211" i="9"/>
  <c r="U211" i="9"/>
  <c r="V211" i="9"/>
  <c r="R212" i="9"/>
  <c r="S212" i="9"/>
  <c r="T212" i="9"/>
  <c r="U212" i="9"/>
  <c r="V212" i="9"/>
  <c r="R213" i="9"/>
  <c r="S213" i="9"/>
  <c r="T213" i="9"/>
  <c r="U213" i="9"/>
  <c r="V213" i="9"/>
  <c r="X213" i="9" s="1"/>
  <c r="R214" i="9"/>
  <c r="S214" i="9"/>
  <c r="T214" i="9"/>
  <c r="U214" i="9"/>
  <c r="V214" i="9"/>
  <c r="R215" i="9"/>
  <c r="S215" i="9"/>
  <c r="T215" i="9"/>
  <c r="U215" i="9"/>
  <c r="V215" i="9"/>
  <c r="R216" i="9"/>
  <c r="S216" i="9"/>
  <c r="T216" i="9"/>
  <c r="U216" i="9"/>
  <c r="V216" i="9"/>
  <c r="R217" i="9"/>
  <c r="S217" i="9"/>
  <c r="T217" i="9"/>
  <c r="U217" i="9"/>
  <c r="V217" i="9"/>
  <c r="R218" i="9"/>
  <c r="S218" i="9"/>
  <c r="T218" i="9"/>
  <c r="U218" i="9"/>
  <c r="V218" i="9"/>
  <c r="X218" i="9" s="1"/>
  <c r="R219" i="9"/>
  <c r="S219" i="9"/>
  <c r="T219" i="9"/>
  <c r="U219" i="9"/>
  <c r="V219" i="9"/>
  <c r="R220" i="9"/>
  <c r="S220" i="9"/>
  <c r="T220" i="9"/>
  <c r="U220" i="9"/>
  <c r="V220" i="9"/>
  <c r="R221" i="9"/>
  <c r="S221" i="9"/>
  <c r="T221" i="9"/>
  <c r="U221" i="9"/>
  <c r="V221" i="9"/>
  <c r="X221" i="9" s="1"/>
  <c r="R222" i="9"/>
  <c r="S222" i="9"/>
  <c r="T222" i="9"/>
  <c r="U222" i="9"/>
  <c r="V222" i="9"/>
  <c r="R223" i="9"/>
  <c r="S223" i="9"/>
  <c r="T223" i="9"/>
  <c r="U223" i="9"/>
  <c r="V223" i="9"/>
  <c r="R224" i="9"/>
  <c r="S224" i="9"/>
  <c r="T224" i="9"/>
  <c r="U224" i="9"/>
  <c r="V224" i="9"/>
  <c r="R225" i="9"/>
  <c r="S225" i="9"/>
  <c r="T225" i="9"/>
  <c r="U225" i="9"/>
  <c r="V225" i="9"/>
  <c r="V183" i="9"/>
  <c r="U183" i="9"/>
  <c r="T183" i="9"/>
  <c r="F22" i="22" s="1"/>
  <c r="S183" i="9"/>
  <c r="R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183" i="9"/>
  <c r="R139" i="9"/>
  <c r="S139" i="9"/>
  <c r="T139" i="9"/>
  <c r="U139" i="9"/>
  <c r="V139" i="9"/>
  <c r="R140" i="9"/>
  <c r="S140" i="9"/>
  <c r="T140" i="9"/>
  <c r="U140" i="9"/>
  <c r="V140" i="9"/>
  <c r="R141" i="9"/>
  <c r="S141" i="9"/>
  <c r="T141" i="9"/>
  <c r="U141" i="9"/>
  <c r="V141" i="9"/>
  <c r="X141" i="9" s="1"/>
  <c r="R142" i="9"/>
  <c r="S142" i="9"/>
  <c r="T142" i="9"/>
  <c r="U142" i="9"/>
  <c r="V142" i="9"/>
  <c r="R143" i="9"/>
  <c r="S143" i="9"/>
  <c r="T143" i="9"/>
  <c r="U143" i="9"/>
  <c r="V143" i="9"/>
  <c r="R144" i="9"/>
  <c r="S144" i="9"/>
  <c r="T144" i="9"/>
  <c r="U144" i="9"/>
  <c r="V144" i="9"/>
  <c r="R145" i="9"/>
  <c r="S145" i="9"/>
  <c r="T145" i="9"/>
  <c r="U145" i="9"/>
  <c r="V145" i="9"/>
  <c r="R146" i="9"/>
  <c r="S146" i="9"/>
  <c r="T146" i="9"/>
  <c r="U146" i="9"/>
  <c r="V146" i="9"/>
  <c r="R147" i="9"/>
  <c r="S147" i="9"/>
  <c r="T147" i="9"/>
  <c r="U147" i="9"/>
  <c r="V147" i="9"/>
  <c r="R148" i="9"/>
  <c r="S148" i="9"/>
  <c r="T148" i="9"/>
  <c r="U148" i="9"/>
  <c r="V148" i="9"/>
  <c r="R149" i="9"/>
  <c r="S149" i="9"/>
  <c r="T149" i="9"/>
  <c r="U149" i="9"/>
  <c r="V149" i="9"/>
  <c r="X149" i="9" s="1"/>
  <c r="R150" i="9"/>
  <c r="S150" i="9"/>
  <c r="T150" i="9"/>
  <c r="U150" i="9"/>
  <c r="V150" i="9"/>
  <c r="R151" i="9"/>
  <c r="S151" i="9"/>
  <c r="T151" i="9"/>
  <c r="U151" i="9"/>
  <c r="V151" i="9"/>
  <c r="R152" i="9"/>
  <c r="S152" i="9"/>
  <c r="T152" i="9"/>
  <c r="U152" i="9"/>
  <c r="V152" i="9"/>
  <c r="R153" i="9"/>
  <c r="S153" i="9"/>
  <c r="T153" i="9"/>
  <c r="U153" i="9"/>
  <c r="V153" i="9"/>
  <c r="R154" i="9"/>
  <c r="S154" i="9"/>
  <c r="T154" i="9"/>
  <c r="U154" i="9"/>
  <c r="V154" i="9"/>
  <c r="R155" i="9"/>
  <c r="S155" i="9"/>
  <c r="T155" i="9"/>
  <c r="U155" i="9"/>
  <c r="V155" i="9"/>
  <c r="R156" i="9"/>
  <c r="S156" i="9"/>
  <c r="T156" i="9"/>
  <c r="U156" i="9"/>
  <c r="V156" i="9"/>
  <c r="R157" i="9"/>
  <c r="S157" i="9"/>
  <c r="T157" i="9"/>
  <c r="U157" i="9"/>
  <c r="V157" i="9"/>
  <c r="X157" i="9" s="1"/>
  <c r="R158" i="9"/>
  <c r="S158" i="9"/>
  <c r="T158" i="9"/>
  <c r="U158" i="9"/>
  <c r="V158" i="9"/>
  <c r="R159" i="9"/>
  <c r="S159" i="9"/>
  <c r="T159" i="9"/>
  <c r="U159" i="9"/>
  <c r="V159" i="9"/>
  <c r="R160" i="9"/>
  <c r="S160" i="9"/>
  <c r="T160" i="9"/>
  <c r="U160" i="9"/>
  <c r="V160" i="9"/>
  <c r="R161" i="9"/>
  <c r="S161" i="9"/>
  <c r="T161" i="9"/>
  <c r="U161" i="9"/>
  <c r="V161" i="9"/>
  <c r="R162" i="9"/>
  <c r="S162" i="9"/>
  <c r="T162" i="9"/>
  <c r="U162" i="9"/>
  <c r="V162" i="9"/>
  <c r="R163" i="9"/>
  <c r="S163" i="9"/>
  <c r="T163" i="9"/>
  <c r="U163" i="9"/>
  <c r="V163" i="9"/>
  <c r="R164" i="9"/>
  <c r="S164" i="9"/>
  <c r="T164" i="9"/>
  <c r="U164" i="9"/>
  <c r="V164" i="9"/>
  <c r="R165" i="9"/>
  <c r="S165" i="9"/>
  <c r="T165" i="9"/>
  <c r="U165" i="9"/>
  <c r="V165" i="9"/>
  <c r="X165" i="9" s="1"/>
  <c r="R166" i="9"/>
  <c r="S166" i="9"/>
  <c r="T166" i="9"/>
  <c r="U166" i="9"/>
  <c r="V166" i="9"/>
  <c r="R167" i="9"/>
  <c r="S167" i="9"/>
  <c r="T167" i="9"/>
  <c r="U167" i="9"/>
  <c r="V167" i="9"/>
  <c r="R168" i="9"/>
  <c r="S168" i="9"/>
  <c r="T168" i="9"/>
  <c r="U168" i="9"/>
  <c r="V168" i="9"/>
  <c r="R169" i="9"/>
  <c r="S169" i="9"/>
  <c r="T169" i="9"/>
  <c r="U169" i="9"/>
  <c r="V169" i="9"/>
  <c r="R170" i="9"/>
  <c r="S170" i="9"/>
  <c r="T170" i="9"/>
  <c r="U170" i="9"/>
  <c r="V170" i="9"/>
  <c r="R171" i="9"/>
  <c r="S171" i="9"/>
  <c r="T171" i="9"/>
  <c r="U171" i="9"/>
  <c r="V171" i="9"/>
  <c r="R172" i="9"/>
  <c r="S172" i="9"/>
  <c r="T172" i="9"/>
  <c r="U172" i="9"/>
  <c r="V172" i="9"/>
  <c r="R173" i="9"/>
  <c r="S173" i="9"/>
  <c r="T173" i="9"/>
  <c r="U173" i="9"/>
  <c r="V173" i="9"/>
  <c r="X173" i="9" s="1"/>
  <c r="R174" i="9"/>
  <c r="S174" i="9"/>
  <c r="T174" i="9"/>
  <c r="U174" i="9"/>
  <c r="V174" i="9"/>
  <c r="R175" i="9"/>
  <c r="S175" i="9"/>
  <c r="T175" i="9"/>
  <c r="U175" i="9"/>
  <c r="V175" i="9"/>
  <c r="R176" i="9"/>
  <c r="S176" i="9"/>
  <c r="T176" i="9"/>
  <c r="U176" i="9"/>
  <c r="V176" i="9"/>
  <c r="R177" i="9"/>
  <c r="S177" i="9"/>
  <c r="T177" i="9"/>
  <c r="U177" i="9"/>
  <c r="V177" i="9"/>
  <c r="R178" i="9"/>
  <c r="S178" i="9"/>
  <c r="T178" i="9"/>
  <c r="U178" i="9"/>
  <c r="V178" i="9"/>
  <c r="R179" i="9"/>
  <c r="S179" i="9"/>
  <c r="T179" i="9"/>
  <c r="U179" i="9"/>
  <c r="V179" i="9"/>
  <c r="R180" i="9"/>
  <c r="S180" i="9"/>
  <c r="T180" i="9"/>
  <c r="U180" i="9"/>
  <c r="V180" i="9"/>
  <c r="V138" i="9"/>
  <c r="U138" i="9"/>
  <c r="T138" i="9"/>
  <c r="F21" i="22" s="1"/>
  <c r="S138" i="9"/>
  <c r="R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38" i="9"/>
  <c r="C93" i="9"/>
  <c r="C48" i="9"/>
  <c r="S625" i="8"/>
  <c r="U625" i="8"/>
  <c r="V625" i="8"/>
  <c r="X625" i="8" s="1"/>
  <c r="S626" i="8"/>
  <c r="U626" i="8"/>
  <c r="V626" i="8"/>
  <c r="X626" i="8" s="1"/>
  <c r="S627" i="8"/>
  <c r="U627" i="8"/>
  <c r="V627" i="8"/>
  <c r="X627" i="8" s="1"/>
  <c r="S628" i="8"/>
  <c r="U628" i="8"/>
  <c r="V628" i="8"/>
  <c r="X628" i="8" s="1"/>
  <c r="S629" i="8"/>
  <c r="U629" i="8"/>
  <c r="V629" i="8"/>
  <c r="X629" i="8" s="1"/>
  <c r="S630" i="8"/>
  <c r="U630" i="8"/>
  <c r="V630" i="8"/>
  <c r="X630" i="8" s="1"/>
  <c r="S631" i="8"/>
  <c r="U631" i="8"/>
  <c r="V631" i="8"/>
  <c r="X631" i="8" s="1"/>
  <c r="S632" i="8"/>
  <c r="U632" i="8"/>
  <c r="V632" i="8"/>
  <c r="X632" i="8" s="1"/>
  <c r="S633" i="8"/>
  <c r="U633" i="8"/>
  <c r="V633" i="8"/>
  <c r="X633" i="8" s="1"/>
  <c r="S634" i="8"/>
  <c r="U634" i="8"/>
  <c r="V634" i="8"/>
  <c r="X634" i="8" s="1"/>
  <c r="S635" i="8"/>
  <c r="U635" i="8"/>
  <c r="V635" i="8"/>
  <c r="X635" i="8" s="1"/>
  <c r="S636" i="8"/>
  <c r="U636" i="8"/>
  <c r="V636" i="8"/>
  <c r="X636" i="8" s="1"/>
  <c r="S637" i="8"/>
  <c r="U637" i="8"/>
  <c r="V637" i="8"/>
  <c r="X637" i="8" s="1"/>
  <c r="S638" i="8"/>
  <c r="U638" i="8"/>
  <c r="V638" i="8"/>
  <c r="X638" i="8" s="1"/>
  <c r="S639" i="8"/>
  <c r="U639" i="8"/>
  <c r="V639" i="8"/>
  <c r="X639" i="8" s="1"/>
  <c r="S640" i="8"/>
  <c r="U640" i="8"/>
  <c r="V640" i="8"/>
  <c r="X640" i="8" s="1"/>
  <c r="S641" i="8"/>
  <c r="U641" i="8"/>
  <c r="V641" i="8"/>
  <c r="X641" i="8" s="1"/>
  <c r="S642" i="8"/>
  <c r="U642" i="8"/>
  <c r="V642" i="8"/>
  <c r="X642" i="8" s="1"/>
  <c r="S643" i="8"/>
  <c r="U643" i="8"/>
  <c r="V643" i="8"/>
  <c r="X643" i="8" s="1"/>
  <c r="S644" i="8"/>
  <c r="U644" i="8"/>
  <c r="V644" i="8"/>
  <c r="X644" i="8" s="1"/>
  <c r="S645" i="8"/>
  <c r="U645" i="8"/>
  <c r="V645" i="8"/>
  <c r="X645" i="8" s="1"/>
  <c r="S646" i="8"/>
  <c r="U646" i="8"/>
  <c r="V646" i="8"/>
  <c r="X646" i="8" s="1"/>
  <c r="S647" i="8"/>
  <c r="U647" i="8"/>
  <c r="V647" i="8"/>
  <c r="X647" i="8" s="1"/>
  <c r="S648" i="8"/>
  <c r="U648" i="8"/>
  <c r="V648" i="8"/>
  <c r="X648" i="8" s="1"/>
  <c r="S649" i="8"/>
  <c r="U649" i="8"/>
  <c r="V649" i="8"/>
  <c r="X649" i="8" s="1"/>
  <c r="S650" i="8"/>
  <c r="U650" i="8"/>
  <c r="V650" i="8"/>
  <c r="X650" i="8" s="1"/>
  <c r="S651" i="8"/>
  <c r="U651" i="8"/>
  <c r="V651" i="8"/>
  <c r="X651" i="8" s="1"/>
  <c r="S652" i="8"/>
  <c r="U652" i="8"/>
  <c r="V652" i="8"/>
  <c r="X652" i="8" s="1"/>
  <c r="S653" i="8"/>
  <c r="U653" i="8"/>
  <c r="V653" i="8"/>
  <c r="X653" i="8" s="1"/>
  <c r="S654" i="8"/>
  <c r="U654" i="8"/>
  <c r="V654" i="8"/>
  <c r="X654" i="8" s="1"/>
  <c r="S655" i="8"/>
  <c r="U655" i="8"/>
  <c r="V655" i="8"/>
  <c r="X655" i="8" s="1"/>
  <c r="S656" i="8"/>
  <c r="U656" i="8"/>
  <c r="V656" i="8"/>
  <c r="X656" i="8" s="1"/>
  <c r="S657" i="8"/>
  <c r="U657" i="8"/>
  <c r="V657" i="8"/>
  <c r="X657" i="8" s="1"/>
  <c r="S658" i="8"/>
  <c r="U658" i="8"/>
  <c r="V658" i="8"/>
  <c r="X658" i="8" s="1"/>
  <c r="S659" i="8"/>
  <c r="U659" i="8"/>
  <c r="V659" i="8"/>
  <c r="X659" i="8" s="1"/>
  <c r="S660" i="8"/>
  <c r="U660" i="8"/>
  <c r="V660" i="8"/>
  <c r="X660" i="8" s="1"/>
  <c r="S661" i="8"/>
  <c r="U661" i="8"/>
  <c r="V661" i="8"/>
  <c r="X661" i="8" s="1"/>
  <c r="S662" i="8"/>
  <c r="U662" i="8"/>
  <c r="V662" i="8"/>
  <c r="X662" i="8" s="1"/>
  <c r="S663" i="8"/>
  <c r="U663" i="8"/>
  <c r="V663" i="8"/>
  <c r="X663" i="8" s="1"/>
  <c r="V624" i="8"/>
  <c r="U624" i="8"/>
  <c r="H17" i="22" s="1"/>
  <c r="F17" i="22"/>
  <c r="S624" i="8"/>
  <c r="R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N625" i="8"/>
  <c r="N626" i="8"/>
  <c r="N627" i="8"/>
  <c r="N628" i="8"/>
  <c r="N629" i="8"/>
  <c r="N630" i="8"/>
  <c r="N631" i="8"/>
  <c r="N632" i="8"/>
  <c r="N633" i="8"/>
  <c r="N634" i="8"/>
  <c r="N635" i="8"/>
  <c r="N636" i="8"/>
  <c r="N637" i="8"/>
  <c r="N638" i="8"/>
  <c r="N639" i="8"/>
  <c r="N640" i="8"/>
  <c r="N641" i="8"/>
  <c r="N642" i="8"/>
  <c r="N643" i="8"/>
  <c r="N644" i="8"/>
  <c r="N645" i="8"/>
  <c r="N646" i="8"/>
  <c r="N647" i="8"/>
  <c r="N648" i="8"/>
  <c r="N649" i="8"/>
  <c r="N650" i="8"/>
  <c r="N651" i="8"/>
  <c r="N652" i="8"/>
  <c r="N653" i="8"/>
  <c r="N654" i="8"/>
  <c r="N655" i="8"/>
  <c r="N656" i="8"/>
  <c r="N657" i="8"/>
  <c r="N658" i="8"/>
  <c r="N659" i="8"/>
  <c r="N660" i="8"/>
  <c r="N661" i="8"/>
  <c r="N662" i="8"/>
  <c r="N663" i="8"/>
  <c r="N624" i="8"/>
  <c r="L625" i="8"/>
  <c r="L626" i="8"/>
  <c r="L627" i="8"/>
  <c r="L628" i="8"/>
  <c r="L629" i="8"/>
  <c r="L630" i="8"/>
  <c r="L631" i="8"/>
  <c r="L632" i="8"/>
  <c r="L633" i="8"/>
  <c r="L634" i="8"/>
  <c r="L635" i="8"/>
  <c r="L636" i="8"/>
  <c r="L637" i="8"/>
  <c r="L638" i="8"/>
  <c r="L639" i="8"/>
  <c r="L640" i="8"/>
  <c r="L641" i="8"/>
  <c r="L642" i="8"/>
  <c r="L643" i="8"/>
  <c r="L644" i="8"/>
  <c r="L645" i="8"/>
  <c r="L646" i="8"/>
  <c r="L647" i="8"/>
  <c r="L648" i="8"/>
  <c r="L649" i="8"/>
  <c r="L650" i="8"/>
  <c r="L651" i="8"/>
  <c r="L652" i="8"/>
  <c r="L653" i="8"/>
  <c r="L654" i="8"/>
  <c r="L655" i="8"/>
  <c r="L656" i="8"/>
  <c r="L657" i="8"/>
  <c r="L658" i="8"/>
  <c r="L659" i="8"/>
  <c r="L660" i="8"/>
  <c r="L661" i="8"/>
  <c r="L662" i="8"/>
  <c r="L663" i="8"/>
  <c r="L624" i="8"/>
  <c r="R581" i="8"/>
  <c r="X581" i="8" s="1"/>
  <c r="S581" i="8"/>
  <c r="T581" i="8"/>
  <c r="U581" i="8"/>
  <c r="R582" i="8"/>
  <c r="X582" i="8" s="1"/>
  <c r="S582" i="8"/>
  <c r="T582" i="8"/>
  <c r="U582" i="8"/>
  <c r="R583" i="8"/>
  <c r="X583" i="8" s="1"/>
  <c r="S583" i="8"/>
  <c r="T583" i="8"/>
  <c r="U583" i="8"/>
  <c r="R584" i="8"/>
  <c r="X584" i="8" s="1"/>
  <c r="S584" i="8"/>
  <c r="T584" i="8"/>
  <c r="U584" i="8"/>
  <c r="R585" i="8"/>
  <c r="X585" i="8" s="1"/>
  <c r="S585" i="8"/>
  <c r="T585" i="8"/>
  <c r="U585" i="8"/>
  <c r="R586" i="8"/>
  <c r="X586" i="8" s="1"/>
  <c r="S586" i="8"/>
  <c r="T586" i="8"/>
  <c r="U586" i="8"/>
  <c r="R587" i="8"/>
  <c r="X587" i="8" s="1"/>
  <c r="S587" i="8"/>
  <c r="T587" i="8"/>
  <c r="U587" i="8"/>
  <c r="R588" i="8"/>
  <c r="X588" i="8" s="1"/>
  <c r="S588" i="8"/>
  <c r="T588" i="8"/>
  <c r="U588" i="8"/>
  <c r="R589" i="8"/>
  <c r="X589" i="8" s="1"/>
  <c r="S589" i="8"/>
  <c r="T589" i="8"/>
  <c r="U589" i="8"/>
  <c r="R590" i="8"/>
  <c r="X590" i="8" s="1"/>
  <c r="S590" i="8"/>
  <c r="T590" i="8"/>
  <c r="U590" i="8"/>
  <c r="R591" i="8"/>
  <c r="X591" i="8" s="1"/>
  <c r="S591" i="8"/>
  <c r="T591" i="8"/>
  <c r="U591" i="8"/>
  <c r="R592" i="8"/>
  <c r="X592" i="8" s="1"/>
  <c r="S592" i="8"/>
  <c r="T592" i="8"/>
  <c r="U592" i="8"/>
  <c r="R593" i="8"/>
  <c r="X593" i="8" s="1"/>
  <c r="S593" i="8"/>
  <c r="T593" i="8"/>
  <c r="U593" i="8"/>
  <c r="R594" i="8"/>
  <c r="X594" i="8" s="1"/>
  <c r="S594" i="8"/>
  <c r="T594" i="8"/>
  <c r="U594" i="8"/>
  <c r="R595" i="8"/>
  <c r="X595" i="8" s="1"/>
  <c r="S595" i="8"/>
  <c r="T595" i="8"/>
  <c r="U595" i="8"/>
  <c r="R596" i="8"/>
  <c r="X596" i="8" s="1"/>
  <c r="S596" i="8"/>
  <c r="T596" i="8"/>
  <c r="U596" i="8"/>
  <c r="R597" i="8"/>
  <c r="X597" i="8" s="1"/>
  <c r="S597" i="8"/>
  <c r="T597" i="8"/>
  <c r="U597" i="8"/>
  <c r="R598" i="8"/>
  <c r="X598" i="8" s="1"/>
  <c r="S598" i="8"/>
  <c r="T598" i="8"/>
  <c r="U598" i="8"/>
  <c r="R599" i="8"/>
  <c r="X599" i="8" s="1"/>
  <c r="S599" i="8"/>
  <c r="T599" i="8"/>
  <c r="U599" i="8"/>
  <c r="R600" i="8"/>
  <c r="X600" i="8" s="1"/>
  <c r="S600" i="8"/>
  <c r="T600" i="8"/>
  <c r="U600" i="8"/>
  <c r="R601" i="8"/>
  <c r="X601" i="8" s="1"/>
  <c r="S601" i="8"/>
  <c r="T601" i="8"/>
  <c r="U601" i="8"/>
  <c r="R602" i="8"/>
  <c r="X602" i="8" s="1"/>
  <c r="S602" i="8"/>
  <c r="T602" i="8"/>
  <c r="U602" i="8"/>
  <c r="R603" i="8"/>
  <c r="X603" i="8" s="1"/>
  <c r="S603" i="8"/>
  <c r="T603" i="8"/>
  <c r="U603" i="8"/>
  <c r="R604" i="8"/>
  <c r="X604" i="8" s="1"/>
  <c r="S604" i="8"/>
  <c r="T604" i="8"/>
  <c r="U604" i="8"/>
  <c r="R605" i="8"/>
  <c r="X605" i="8" s="1"/>
  <c r="S605" i="8"/>
  <c r="T605" i="8"/>
  <c r="U605" i="8"/>
  <c r="R606" i="8"/>
  <c r="X606" i="8" s="1"/>
  <c r="S606" i="8"/>
  <c r="T606" i="8"/>
  <c r="U606" i="8"/>
  <c r="R607" i="8"/>
  <c r="X607" i="8" s="1"/>
  <c r="S607" i="8"/>
  <c r="T607" i="8"/>
  <c r="U607" i="8"/>
  <c r="R608" i="8"/>
  <c r="X608" i="8" s="1"/>
  <c r="S608" i="8"/>
  <c r="T608" i="8"/>
  <c r="U608" i="8"/>
  <c r="R609" i="8"/>
  <c r="X609" i="8" s="1"/>
  <c r="S609" i="8"/>
  <c r="T609" i="8"/>
  <c r="U609" i="8"/>
  <c r="R610" i="8"/>
  <c r="X610" i="8" s="1"/>
  <c r="S610" i="8"/>
  <c r="T610" i="8"/>
  <c r="U610" i="8"/>
  <c r="R611" i="8"/>
  <c r="X611" i="8" s="1"/>
  <c r="S611" i="8"/>
  <c r="T611" i="8"/>
  <c r="U611" i="8"/>
  <c r="R612" i="8"/>
  <c r="X612" i="8" s="1"/>
  <c r="S612" i="8"/>
  <c r="T612" i="8"/>
  <c r="U612" i="8"/>
  <c r="R613" i="8"/>
  <c r="X613" i="8" s="1"/>
  <c r="S613" i="8"/>
  <c r="T613" i="8"/>
  <c r="U613" i="8"/>
  <c r="R614" i="8"/>
  <c r="X614" i="8" s="1"/>
  <c r="S614" i="8"/>
  <c r="T614" i="8"/>
  <c r="U614" i="8"/>
  <c r="R615" i="8"/>
  <c r="X615" i="8" s="1"/>
  <c r="S615" i="8"/>
  <c r="T615" i="8"/>
  <c r="U615" i="8"/>
  <c r="R616" i="8"/>
  <c r="X616" i="8" s="1"/>
  <c r="S616" i="8"/>
  <c r="T616" i="8"/>
  <c r="U616" i="8"/>
  <c r="R617" i="8"/>
  <c r="X617" i="8" s="1"/>
  <c r="S617" i="8"/>
  <c r="T617" i="8"/>
  <c r="U617" i="8"/>
  <c r="R618" i="8"/>
  <c r="X618" i="8" s="1"/>
  <c r="S618" i="8"/>
  <c r="T618" i="8"/>
  <c r="U618" i="8"/>
  <c r="R619" i="8"/>
  <c r="X619" i="8" s="1"/>
  <c r="S619" i="8"/>
  <c r="T619" i="8"/>
  <c r="U619" i="8"/>
  <c r="U580" i="8"/>
  <c r="T580" i="8"/>
  <c r="F16" i="22" s="1"/>
  <c r="S580" i="8"/>
  <c r="R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N581" i="8"/>
  <c r="N582" i="8"/>
  <c r="N583" i="8"/>
  <c r="N584" i="8"/>
  <c r="N585" i="8"/>
  <c r="N586" i="8"/>
  <c r="N587" i="8"/>
  <c r="N588" i="8"/>
  <c r="N589" i="8"/>
  <c r="N590" i="8"/>
  <c r="N591" i="8"/>
  <c r="N592" i="8"/>
  <c r="N593" i="8"/>
  <c r="N594" i="8"/>
  <c r="N595" i="8"/>
  <c r="N596" i="8"/>
  <c r="N597" i="8"/>
  <c r="N598" i="8"/>
  <c r="N599" i="8"/>
  <c r="N600" i="8"/>
  <c r="N601" i="8"/>
  <c r="N602" i="8"/>
  <c r="N603" i="8"/>
  <c r="N604" i="8"/>
  <c r="N605" i="8"/>
  <c r="N606" i="8"/>
  <c r="N607" i="8"/>
  <c r="N608" i="8"/>
  <c r="N609" i="8"/>
  <c r="N610" i="8"/>
  <c r="N611" i="8"/>
  <c r="N612" i="8"/>
  <c r="N613" i="8"/>
  <c r="N614" i="8"/>
  <c r="N615" i="8"/>
  <c r="N616" i="8"/>
  <c r="N617" i="8"/>
  <c r="N618" i="8"/>
  <c r="N619" i="8"/>
  <c r="N580" i="8"/>
  <c r="L581" i="8"/>
  <c r="L582" i="8"/>
  <c r="L583" i="8"/>
  <c r="L584" i="8"/>
  <c r="L585" i="8"/>
  <c r="L586" i="8"/>
  <c r="L587" i="8"/>
  <c r="L588" i="8"/>
  <c r="L589" i="8"/>
  <c r="L590" i="8"/>
  <c r="L591" i="8"/>
  <c r="L592" i="8"/>
  <c r="L593" i="8"/>
  <c r="L594" i="8"/>
  <c r="L595" i="8"/>
  <c r="L596" i="8"/>
  <c r="L597" i="8"/>
  <c r="L598" i="8"/>
  <c r="L599" i="8"/>
  <c r="L600" i="8"/>
  <c r="L601" i="8"/>
  <c r="L602" i="8"/>
  <c r="L603" i="8"/>
  <c r="L604" i="8"/>
  <c r="L605" i="8"/>
  <c r="L606" i="8"/>
  <c r="L607" i="8"/>
  <c r="L608" i="8"/>
  <c r="L609" i="8"/>
  <c r="L610" i="8"/>
  <c r="L611" i="8"/>
  <c r="L612" i="8"/>
  <c r="L613" i="8"/>
  <c r="L614" i="8"/>
  <c r="L615" i="8"/>
  <c r="L616" i="8"/>
  <c r="L617" i="8"/>
  <c r="L618" i="8"/>
  <c r="L619" i="8"/>
  <c r="L580" i="8"/>
  <c r="C492" i="8"/>
  <c r="R537" i="8"/>
  <c r="S537" i="8"/>
  <c r="U537" i="8"/>
  <c r="V537" i="8"/>
  <c r="R538" i="8"/>
  <c r="S538" i="8"/>
  <c r="U538" i="8"/>
  <c r="V538" i="8"/>
  <c r="R539" i="8"/>
  <c r="S539" i="8"/>
  <c r="U539" i="8"/>
  <c r="V539" i="8"/>
  <c r="R540" i="8"/>
  <c r="S540" i="8"/>
  <c r="U540" i="8"/>
  <c r="V540" i="8"/>
  <c r="R541" i="8"/>
  <c r="S541" i="8"/>
  <c r="U541" i="8"/>
  <c r="V541" i="8"/>
  <c r="R542" i="8"/>
  <c r="S542" i="8"/>
  <c r="U542" i="8"/>
  <c r="V542" i="8"/>
  <c r="X542" i="8" s="1"/>
  <c r="R543" i="8"/>
  <c r="S543" i="8"/>
  <c r="U543" i="8"/>
  <c r="V543" i="8"/>
  <c r="R544" i="8"/>
  <c r="S544" i="8"/>
  <c r="U544" i="8"/>
  <c r="V544" i="8"/>
  <c r="R545" i="8"/>
  <c r="S545" i="8"/>
  <c r="U545" i="8"/>
  <c r="V545" i="8"/>
  <c r="R546" i="8"/>
  <c r="S546" i="8"/>
  <c r="U546" i="8"/>
  <c r="V546" i="8"/>
  <c r="R547" i="8"/>
  <c r="S547" i="8"/>
  <c r="U547" i="8"/>
  <c r="V547" i="8"/>
  <c r="R548" i="8"/>
  <c r="S548" i="8"/>
  <c r="U548" i="8"/>
  <c r="V548" i="8"/>
  <c r="R549" i="8"/>
  <c r="S549" i="8"/>
  <c r="U549" i="8"/>
  <c r="V549" i="8"/>
  <c r="R550" i="8"/>
  <c r="S550" i="8"/>
  <c r="U550" i="8"/>
  <c r="V550" i="8"/>
  <c r="X550" i="8" s="1"/>
  <c r="R551" i="8"/>
  <c r="S551" i="8"/>
  <c r="U551" i="8"/>
  <c r="V551" i="8"/>
  <c r="R552" i="8"/>
  <c r="S552" i="8"/>
  <c r="U552" i="8"/>
  <c r="V552" i="8"/>
  <c r="R553" i="8"/>
  <c r="S553" i="8"/>
  <c r="U553" i="8"/>
  <c r="V553" i="8"/>
  <c r="R554" i="8"/>
  <c r="S554" i="8"/>
  <c r="U554" i="8"/>
  <c r="V554" i="8"/>
  <c r="R555" i="8"/>
  <c r="S555" i="8"/>
  <c r="U555" i="8"/>
  <c r="V555" i="8"/>
  <c r="R556" i="8"/>
  <c r="S556" i="8"/>
  <c r="U556" i="8"/>
  <c r="V556" i="8"/>
  <c r="R557" i="8"/>
  <c r="S557" i="8"/>
  <c r="U557" i="8"/>
  <c r="V557" i="8"/>
  <c r="R558" i="8"/>
  <c r="S558" i="8"/>
  <c r="U558" i="8"/>
  <c r="V558" i="8"/>
  <c r="X558" i="8" s="1"/>
  <c r="R559" i="8"/>
  <c r="S559" i="8"/>
  <c r="U559" i="8"/>
  <c r="V559" i="8"/>
  <c r="R560" i="8"/>
  <c r="S560" i="8"/>
  <c r="U560" i="8"/>
  <c r="V560" i="8"/>
  <c r="R561" i="8"/>
  <c r="S561" i="8"/>
  <c r="U561" i="8"/>
  <c r="V561" i="8"/>
  <c r="R562" i="8"/>
  <c r="S562" i="8"/>
  <c r="U562" i="8"/>
  <c r="V562" i="8"/>
  <c r="R563" i="8"/>
  <c r="S563" i="8"/>
  <c r="U563" i="8"/>
  <c r="V563" i="8"/>
  <c r="R564" i="8"/>
  <c r="S564" i="8"/>
  <c r="U564" i="8"/>
  <c r="V564" i="8"/>
  <c r="R565" i="8"/>
  <c r="S565" i="8"/>
  <c r="U565" i="8"/>
  <c r="V565" i="8"/>
  <c r="R566" i="8"/>
  <c r="S566" i="8"/>
  <c r="U566" i="8"/>
  <c r="V566" i="8"/>
  <c r="X566" i="8" s="1"/>
  <c r="R567" i="8"/>
  <c r="S567" i="8"/>
  <c r="U567" i="8"/>
  <c r="V567" i="8"/>
  <c r="R568" i="8"/>
  <c r="S568" i="8"/>
  <c r="U568" i="8"/>
  <c r="V568" i="8"/>
  <c r="R569" i="8"/>
  <c r="S569" i="8"/>
  <c r="U569" i="8"/>
  <c r="V569" i="8"/>
  <c r="R570" i="8"/>
  <c r="S570" i="8"/>
  <c r="U570" i="8"/>
  <c r="V570" i="8"/>
  <c r="R571" i="8"/>
  <c r="S571" i="8"/>
  <c r="U571" i="8"/>
  <c r="V571" i="8"/>
  <c r="R572" i="8"/>
  <c r="S572" i="8"/>
  <c r="U572" i="8"/>
  <c r="V572" i="8"/>
  <c r="R573" i="8"/>
  <c r="S573" i="8"/>
  <c r="U573" i="8"/>
  <c r="V573" i="8"/>
  <c r="R574" i="8"/>
  <c r="S574" i="8"/>
  <c r="U574" i="8"/>
  <c r="V574" i="8"/>
  <c r="X574" i="8" s="1"/>
  <c r="R575" i="8"/>
  <c r="S575" i="8"/>
  <c r="U575" i="8"/>
  <c r="V575" i="8"/>
  <c r="V536" i="8"/>
  <c r="U536" i="8"/>
  <c r="H15" i="22" s="1"/>
  <c r="F15" i="22"/>
  <c r="S536" i="8"/>
  <c r="R536" i="8"/>
  <c r="N537" i="8"/>
  <c r="N538" i="8"/>
  <c r="N539" i="8"/>
  <c r="N540" i="8"/>
  <c r="N541" i="8"/>
  <c r="N542" i="8"/>
  <c r="N543" i="8"/>
  <c r="N544" i="8"/>
  <c r="N545" i="8"/>
  <c r="N546" i="8"/>
  <c r="N547" i="8"/>
  <c r="N548" i="8"/>
  <c r="N549" i="8"/>
  <c r="N550" i="8"/>
  <c r="N551" i="8"/>
  <c r="N552" i="8"/>
  <c r="N553" i="8"/>
  <c r="N554" i="8"/>
  <c r="N555" i="8"/>
  <c r="N556" i="8"/>
  <c r="N557" i="8"/>
  <c r="N558" i="8"/>
  <c r="N559" i="8"/>
  <c r="N560" i="8"/>
  <c r="N561" i="8"/>
  <c r="N562" i="8"/>
  <c r="N563" i="8"/>
  <c r="N564" i="8"/>
  <c r="N565" i="8"/>
  <c r="N566" i="8"/>
  <c r="N567" i="8"/>
  <c r="N568" i="8"/>
  <c r="N569" i="8"/>
  <c r="N570" i="8"/>
  <c r="N571" i="8"/>
  <c r="N572" i="8"/>
  <c r="N573" i="8"/>
  <c r="N574" i="8"/>
  <c r="N575" i="8"/>
  <c r="N536" i="8"/>
  <c r="L537" i="8"/>
  <c r="L538" i="8"/>
  <c r="L539" i="8"/>
  <c r="L540" i="8"/>
  <c r="L541" i="8"/>
  <c r="L542" i="8"/>
  <c r="L543" i="8"/>
  <c r="L544" i="8"/>
  <c r="L545" i="8"/>
  <c r="L546" i="8"/>
  <c r="L547" i="8"/>
  <c r="L548" i="8"/>
  <c r="L549" i="8"/>
  <c r="L550" i="8"/>
  <c r="L551" i="8"/>
  <c r="L552" i="8"/>
  <c r="L553" i="8"/>
  <c r="L554" i="8"/>
  <c r="L555" i="8"/>
  <c r="L556" i="8"/>
  <c r="L557" i="8"/>
  <c r="L558" i="8"/>
  <c r="L559" i="8"/>
  <c r="L560" i="8"/>
  <c r="L561" i="8"/>
  <c r="L562" i="8"/>
  <c r="L563" i="8"/>
  <c r="L564" i="8"/>
  <c r="L565" i="8"/>
  <c r="L566" i="8"/>
  <c r="L567" i="8"/>
  <c r="L568" i="8"/>
  <c r="L569" i="8"/>
  <c r="L570" i="8"/>
  <c r="L571" i="8"/>
  <c r="L572" i="8"/>
  <c r="L573" i="8"/>
  <c r="L574" i="8"/>
  <c r="L575" i="8"/>
  <c r="L536" i="8"/>
  <c r="R493" i="8"/>
  <c r="S493" i="8"/>
  <c r="T493" i="8"/>
  <c r="U493" i="8"/>
  <c r="V493" i="8"/>
  <c r="R494" i="8"/>
  <c r="S494" i="8"/>
  <c r="T494" i="8"/>
  <c r="U494" i="8"/>
  <c r="V494" i="8"/>
  <c r="R495" i="8"/>
  <c r="S495" i="8"/>
  <c r="T495" i="8"/>
  <c r="U495" i="8"/>
  <c r="V495" i="8"/>
  <c r="R496" i="8"/>
  <c r="S496" i="8"/>
  <c r="T496" i="8"/>
  <c r="U496" i="8"/>
  <c r="V496" i="8"/>
  <c r="R497" i="8"/>
  <c r="S497" i="8"/>
  <c r="T497" i="8"/>
  <c r="U497" i="8"/>
  <c r="V497" i="8"/>
  <c r="R498" i="8"/>
  <c r="S498" i="8"/>
  <c r="T498" i="8"/>
  <c r="U498" i="8"/>
  <c r="V498" i="8"/>
  <c r="R499" i="8"/>
  <c r="S499" i="8"/>
  <c r="T499" i="8"/>
  <c r="U499" i="8"/>
  <c r="V499" i="8"/>
  <c r="R500" i="8"/>
  <c r="S500" i="8"/>
  <c r="T500" i="8"/>
  <c r="U500" i="8"/>
  <c r="V500" i="8"/>
  <c r="R501" i="8"/>
  <c r="S501" i="8"/>
  <c r="T501" i="8"/>
  <c r="U501" i="8"/>
  <c r="V501" i="8"/>
  <c r="R502" i="8"/>
  <c r="S502" i="8"/>
  <c r="T502" i="8"/>
  <c r="U502" i="8"/>
  <c r="V502" i="8"/>
  <c r="R503" i="8"/>
  <c r="S503" i="8"/>
  <c r="T503" i="8"/>
  <c r="U503" i="8"/>
  <c r="V503" i="8"/>
  <c r="R504" i="8"/>
  <c r="S504" i="8"/>
  <c r="T504" i="8"/>
  <c r="U504" i="8"/>
  <c r="V504" i="8"/>
  <c r="R505" i="8"/>
  <c r="S505" i="8"/>
  <c r="T505" i="8"/>
  <c r="U505" i="8"/>
  <c r="V505" i="8"/>
  <c r="R506" i="8"/>
  <c r="S506" i="8"/>
  <c r="T506" i="8"/>
  <c r="U506" i="8"/>
  <c r="V506" i="8"/>
  <c r="R507" i="8"/>
  <c r="S507" i="8"/>
  <c r="T507" i="8"/>
  <c r="U507" i="8"/>
  <c r="V507" i="8"/>
  <c r="R508" i="8"/>
  <c r="S508" i="8"/>
  <c r="T508" i="8"/>
  <c r="U508" i="8"/>
  <c r="V508" i="8"/>
  <c r="R509" i="8"/>
  <c r="S509" i="8"/>
  <c r="T509" i="8"/>
  <c r="U509" i="8"/>
  <c r="V509" i="8"/>
  <c r="R510" i="8"/>
  <c r="S510" i="8"/>
  <c r="T510" i="8"/>
  <c r="U510" i="8"/>
  <c r="V510" i="8"/>
  <c r="R511" i="8"/>
  <c r="S511" i="8"/>
  <c r="T511" i="8"/>
  <c r="U511" i="8"/>
  <c r="V511" i="8"/>
  <c r="R512" i="8"/>
  <c r="S512" i="8"/>
  <c r="T512" i="8"/>
  <c r="U512" i="8"/>
  <c r="V512" i="8"/>
  <c r="R513" i="8"/>
  <c r="S513" i="8"/>
  <c r="T513" i="8"/>
  <c r="U513" i="8"/>
  <c r="V513" i="8"/>
  <c r="R514" i="8"/>
  <c r="S514" i="8"/>
  <c r="T514" i="8"/>
  <c r="U514" i="8"/>
  <c r="V514" i="8"/>
  <c r="R515" i="8"/>
  <c r="S515" i="8"/>
  <c r="T515" i="8"/>
  <c r="U515" i="8"/>
  <c r="V515" i="8"/>
  <c r="R516" i="8"/>
  <c r="S516" i="8"/>
  <c r="T516" i="8"/>
  <c r="U516" i="8"/>
  <c r="V516" i="8"/>
  <c r="R517" i="8"/>
  <c r="S517" i="8"/>
  <c r="T517" i="8"/>
  <c r="U517" i="8"/>
  <c r="V517" i="8"/>
  <c r="R518" i="8"/>
  <c r="S518" i="8"/>
  <c r="T518" i="8"/>
  <c r="U518" i="8"/>
  <c r="V518" i="8"/>
  <c r="R519" i="8"/>
  <c r="S519" i="8"/>
  <c r="T519" i="8"/>
  <c r="U519" i="8"/>
  <c r="V519" i="8"/>
  <c r="R520" i="8"/>
  <c r="S520" i="8"/>
  <c r="T520" i="8"/>
  <c r="U520" i="8"/>
  <c r="V520" i="8"/>
  <c r="R521" i="8"/>
  <c r="S521" i="8"/>
  <c r="T521" i="8"/>
  <c r="U521" i="8"/>
  <c r="V521" i="8"/>
  <c r="R522" i="8"/>
  <c r="S522" i="8"/>
  <c r="T522" i="8"/>
  <c r="U522" i="8"/>
  <c r="V522" i="8"/>
  <c r="R523" i="8"/>
  <c r="S523" i="8"/>
  <c r="T523" i="8"/>
  <c r="U523" i="8"/>
  <c r="V523" i="8"/>
  <c r="R524" i="8"/>
  <c r="S524" i="8"/>
  <c r="T524" i="8"/>
  <c r="U524" i="8"/>
  <c r="V524" i="8"/>
  <c r="R525" i="8"/>
  <c r="S525" i="8"/>
  <c r="T525" i="8"/>
  <c r="U525" i="8"/>
  <c r="V525" i="8"/>
  <c r="R526" i="8"/>
  <c r="S526" i="8"/>
  <c r="T526" i="8"/>
  <c r="U526" i="8"/>
  <c r="V526" i="8"/>
  <c r="R527" i="8"/>
  <c r="S527" i="8"/>
  <c r="T527" i="8"/>
  <c r="U527" i="8"/>
  <c r="V527" i="8"/>
  <c r="R528" i="8"/>
  <c r="S528" i="8"/>
  <c r="T528" i="8"/>
  <c r="U528" i="8"/>
  <c r="V528" i="8"/>
  <c r="R529" i="8"/>
  <c r="S529" i="8"/>
  <c r="T529" i="8"/>
  <c r="U529" i="8"/>
  <c r="V529" i="8"/>
  <c r="R530" i="8"/>
  <c r="S530" i="8"/>
  <c r="T530" i="8"/>
  <c r="U530" i="8"/>
  <c r="V530" i="8"/>
  <c r="X530" i="8" s="1"/>
  <c r="R531" i="8"/>
  <c r="S531" i="8"/>
  <c r="T531" i="8"/>
  <c r="U531" i="8"/>
  <c r="V531" i="8"/>
  <c r="V492" i="8"/>
  <c r="U492" i="8"/>
  <c r="H14" i="22" s="1"/>
  <c r="T492" i="8"/>
  <c r="F14" i="22" s="1"/>
  <c r="S492" i="8"/>
  <c r="R492" i="8"/>
  <c r="N493" i="8"/>
  <c r="N494" i="8"/>
  <c r="N495" i="8"/>
  <c r="N496" i="8"/>
  <c r="N497" i="8"/>
  <c r="N498" i="8"/>
  <c r="N499" i="8"/>
  <c r="N500" i="8"/>
  <c r="N501" i="8"/>
  <c r="N502" i="8"/>
  <c r="N503" i="8"/>
  <c r="N504" i="8"/>
  <c r="N505" i="8"/>
  <c r="N506" i="8"/>
  <c r="N507" i="8"/>
  <c r="N508" i="8"/>
  <c r="N509" i="8"/>
  <c r="N510" i="8"/>
  <c r="N511" i="8"/>
  <c r="N512" i="8"/>
  <c r="N513" i="8"/>
  <c r="N514" i="8"/>
  <c r="N515" i="8"/>
  <c r="N516" i="8"/>
  <c r="N517" i="8"/>
  <c r="N518" i="8"/>
  <c r="N519" i="8"/>
  <c r="N520" i="8"/>
  <c r="N521" i="8"/>
  <c r="N522" i="8"/>
  <c r="N523" i="8"/>
  <c r="N524" i="8"/>
  <c r="N525" i="8"/>
  <c r="N526" i="8"/>
  <c r="N527" i="8"/>
  <c r="N528" i="8"/>
  <c r="N529" i="8"/>
  <c r="N530" i="8"/>
  <c r="N531" i="8"/>
  <c r="N492" i="8"/>
  <c r="L493" i="8"/>
  <c r="L494" i="8"/>
  <c r="L495" i="8"/>
  <c r="L496" i="8"/>
  <c r="L497" i="8"/>
  <c r="L498" i="8"/>
  <c r="L499" i="8"/>
  <c r="L500" i="8"/>
  <c r="L501" i="8"/>
  <c r="L502" i="8"/>
  <c r="L503" i="8"/>
  <c r="L504" i="8"/>
  <c r="L505" i="8"/>
  <c r="L506" i="8"/>
  <c r="L507" i="8"/>
  <c r="L508" i="8"/>
  <c r="L509" i="8"/>
  <c r="L510" i="8"/>
  <c r="L511" i="8"/>
  <c r="L512" i="8"/>
  <c r="L513" i="8"/>
  <c r="L514" i="8"/>
  <c r="L515" i="8"/>
  <c r="L516" i="8"/>
  <c r="L517" i="8"/>
  <c r="L518" i="8"/>
  <c r="L519" i="8"/>
  <c r="L520" i="8"/>
  <c r="L521" i="8"/>
  <c r="L522" i="8"/>
  <c r="L523" i="8"/>
  <c r="L524" i="8"/>
  <c r="L525" i="8"/>
  <c r="L526" i="8"/>
  <c r="L527" i="8"/>
  <c r="L528" i="8"/>
  <c r="L529" i="8"/>
  <c r="L530" i="8"/>
  <c r="L531" i="8"/>
  <c r="L492" i="8"/>
  <c r="R449" i="8"/>
  <c r="S449" i="8"/>
  <c r="R450" i="8"/>
  <c r="S450" i="8"/>
  <c r="R451" i="8"/>
  <c r="S451" i="8"/>
  <c r="R452" i="8"/>
  <c r="S452" i="8"/>
  <c r="R453" i="8"/>
  <c r="S453" i="8"/>
  <c r="R454" i="8"/>
  <c r="S454" i="8"/>
  <c r="R455" i="8"/>
  <c r="S455" i="8"/>
  <c r="R456" i="8"/>
  <c r="S456" i="8"/>
  <c r="R457" i="8"/>
  <c r="S457" i="8"/>
  <c r="R458" i="8"/>
  <c r="S458" i="8"/>
  <c r="R459" i="8"/>
  <c r="S459" i="8"/>
  <c r="R460" i="8"/>
  <c r="S460" i="8"/>
  <c r="R461" i="8"/>
  <c r="S461" i="8"/>
  <c r="R462" i="8"/>
  <c r="S462" i="8"/>
  <c r="R463" i="8"/>
  <c r="S463" i="8"/>
  <c r="R464" i="8"/>
  <c r="S464" i="8"/>
  <c r="R465" i="8"/>
  <c r="S465" i="8"/>
  <c r="R466" i="8"/>
  <c r="S466" i="8"/>
  <c r="R467" i="8"/>
  <c r="S467" i="8"/>
  <c r="R468" i="8"/>
  <c r="S468" i="8"/>
  <c r="R469" i="8"/>
  <c r="S469" i="8"/>
  <c r="R470" i="8"/>
  <c r="S470" i="8"/>
  <c r="R471" i="8"/>
  <c r="S471" i="8"/>
  <c r="R472" i="8"/>
  <c r="S472" i="8"/>
  <c r="R473" i="8"/>
  <c r="S473" i="8"/>
  <c r="R474" i="8"/>
  <c r="S474" i="8"/>
  <c r="R475" i="8"/>
  <c r="S475" i="8"/>
  <c r="R476" i="8"/>
  <c r="S476" i="8"/>
  <c r="R477" i="8"/>
  <c r="S477" i="8"/>
  <c r="R478" i="8"/>
  <c r="S478" i="8"/>
  <c r="R479" i="8"/>
  <c r="S479" i="8"/>
  <c r="R480" i="8"/>
  <c r="S480" i="8"/>
  <c r="R481" i="8"/>
  <c r="S481" i="8"/>
  <c r="R482" i="8"/>
  <c r="S482" i="8"/>
  <c r="R483" i="8"/>
  <c r="S483" i="8"/>
  <c r="R484" i="8"/>
  <c r="S484" i="8"/>
  <c r="R485" i="8"/>
  <c r="S485" i="8"/>
  <c r="R486" i="8"/>
  <c r="S486" i="8"/>
  <c r="R487" i="8"/>
  <c r="S487" i="8"/>
  <c r="T449" i="8"/>
  <c r="U449" i="8"/>
  <c r="V449" i="8"/>
  <c r="X449" i="8" s="1"/>
  <c r="T450" i="8"/>
  <c r="U450" i="8"/>
  <c r="V450" i="8"/>
  <c r="T451" i="8"/>
  <c r="U451" i="8"/>
  <c r="V451" i="8"/>
  <c r="T452" i="8"/>
  <c r="U452" i="8"/>
  <c r="V452" i="8"/>
  <c r="T453" i="8"/>
  <c r="U453" i="8"/>
  <c r="V453" i="8"/>
  <c r="T454" i="8"/>
  <c r="U454" i="8"/>
  <c r="V454" i="8"/>
  <c r="T455" i="8"/>
  <c r="U455" i="8"/>
  <c r="V455" i="8"/>
  <c r="T456" i="8"/>
  <c r="U456" i="8"/>
  <c r="V456" i="8"/>
  <c r="T457" i="8"/>
  <c r="U457" i="8"/>
  <c r="V457" i="8"/>
  <c r="X457" i="8" s="1"/>
  <c r="T458" i="8"/>
  <c r="U458" i="8"/>
  <c r="V458" i="8"/>
  <c r="T459" i="8"/>
  <c r="U459" i="8"/>
  <c r="V459" i="8"/>
  <c r="T460" i="8"/>
  <c r="U460" i="8"/>
  <c r="V460" i="8"/>
  <c r="T461" i="8"/>
  <c r="U461" i="8"/>
  <c r="V461" i="8"/>
  <c r="T462" i="8"/>
  <c r="U462" i="8"/>
  <c r="V462" i="8"/>
  <c r="T463" i="8"/>
  <c r="U463" i="8"/>
  <c r="V463" i="8"/>
  <c r="T464" i="8"/>
  <c r="U464" i="8"/>
  <c r="V464" i="8"/>
  <c r="T465" i="8"/>
  <c r="U465" i="8"/>
  <c r="V465" i="8"/>
  <c r="X465" i="8" s="1"/>
  <c r="T466" i="8"/>
  <c r="U466" i="8"/>
  <c r="V466" i="8"/>
  <c r="T467" i="8"/>
  <c r="U467" i="8"/>
  <c r="V467" i="8"/>
  <c r="T468" i="8"/>
  <c r="U468" i="8"/>
  <c r="V468" i="8"/>
  <c r="T469" i="8"/>
  <c r="U469" i="8"/>
  <c r="V469" i="8"/>
  <c r="T470" i="8"/>
  <c r="U470" i="8"/>
  <c r="V470" i="8"/>
  <c r="T471" i="8"/>
  <c r="U471" i="8"/>
  <c r="V471" i="8"/>
  <c r="T472" i="8"/>
  <c r="U472" i="8"/>
  <c r="V472" i="8"/>
  <c r="T473" i="8"/>
  <c r="U473" i="8"/>
  <c r="V473" i="8"/>
  <c r="X473" i="8" s="1"/>
  <c r="T474" i="8"/>
  <c r="U474" i="8"/>
  <c r="V474" i="8"/>
  <c r="T475" i="8"/>
  <c r="U475" i="8"/>
  <c r="V475" i="8"/>
  <c r="T476" i="8"/>
  <c r="U476" i="8"/>
  <c r="V476" i="8"/>
  <c r="T477" i="8"/>
  <c r="U477" i="8"/>
  <c r="V477" i="8"/>
  <c r="T478" i="8"/>
  <c r="U478" i="8"/>
  <c r="V478" i="8"/>
  <c r="T479" i="8"/>
  <c r="U479" i="8"/>
  <c r="V479" i="8"/>
  <c r="T480" i="8"/>
  <c r="U480" i="8"/>
  <c r="V480" i="8"/>
  <c r="T481" i="8"/>
  <c r="U481" i="8"/>
  <c r="V481" i="8"/>
  <c r="X481" i="8" s="1"/>
  <c r="T482" i="8"/>
  <c r="U482" i="8"/>
  <c r="V482" i="8"/>
  <c r="T483" i="8"/>
  <c r="U483" i="8"/>
  <c r="V483" i="8"/>
  <c r="T484" i="8"/>
  <c r="U484" i="8"/>
  <c r="V484" i="8"/>
  <c r="T485" i="8"/>
  <c r="U485" i="8"/>
  <c r="V485" i="8"/>
  <c r="T486" i="8"/>
  <c r="U486" i="8"/>
  <c r="V486" i="8"/>
  <c r="T487" i="8"/>
  <c r="U487" i="8"/>
  <c r="V487" i="8"/>
  <c r="V448" i="8"/>
  <c r="U448" i="8"/>
  <c r="H13" i="22" s="1"/>
  <c r="T448" i="8"/>
  <c r="F13" i="22" s="1"/>
  <c r="S448" i="8"/>
  <c r="R448" i="8"/>
  <c r="N449" i="8"/>
  <c r="N450" i="8"/>
  <c r="N451" i="8"/>
  <c r="N452" i="8"/>
  <c r="N453" i="8"/>
  <c r="N454" i="8"/>
  <c r="N455" i="8"/>
  <c r="N456" i="8"/>
  <c r="N457" i="8"/>
  <c r="N458" i="8"/>
  <c r="N459" i="8"/>
  <c r="N460" i="8"/>
  <c r="N461" i="8"/>
  <c r="N462" i="8"/>
  <c r="N463" i="8"/>
  <c r="N464" i="8"/>
  <c r="N465" i="8"/>
  <c r="N466" i="8"/>
  <c r="N467" i="8"/>
  <c r="N468" i="8"/>
  <c r="N469" i="8"/>
  <c r="N470" i="8"/>
  <c r="N471" i="8"/>
  <c r="N472" i="8"/>
  <c r="N473" i="8"/>
  <c r="N474" i="8"/>
  <c r="N475" i="8"/>
  <c r="N476" i="8"/>
  <c r="N477" i="8"/>
  <c r="N478" i="8"/>
  <c r="N479" i="8"/>
  <c r="N480" i="8"/>
  <c r="N481" i="8"/>
  <c r="N482" i="8"/>
  <c r="N483" i="8"/>
  <c r="N484" i="8"/>
  <c r="N485" i="8"/>
  <c r="N486" i="8"/>
  <c r="N487" i="8"/>
  <c r="N448" i="8"/>
  <c r="L449" i="8"/>
  <c r="L450" i="8"/>
  <c r="L451" i="8"/>
  <c r="L452" i="8"/>
  <c r="L453" i="8"/>
  <c r="L454" i="8"/>
  <c r="L455" i="8"/>
  <c r="L456" i="8"/>
  <c r="L457" i="8"/>
  <c r="L458" i="8"/>
  <c r="L459" i="8"/>
  <c r="L460" i="8"/>
  <c r="L461" i="8"/>
  <c r="L462" i="8"/>
  <c r="L463" i="8"/>
  <c r="L464" i="8"/>
  <c r="L465" i="8"/>
  <c r="L466" i="8"/>
  <c r="L467" i="8"/>
  <c r="L468" i="8"/>
  <c r="L469" i="8"/>
  <c r="L470" i="8"/>
  <c r="L471" i="8"/>
  <c r="L472" i="8"/>
  <c r="L473" i="8"/>
  <c r="L474" i="8"/>
  <c r="L475" i="8"/>
  <c r="L476" i="8"/>
  <c r="L477" i="8"/>
  <c r="L478" i="8"/>
  <c r="L479" i="8"/>
  <c r="L480" i="8"/>
  <c r="L481" i="8"/>
  <c r="L482" i="8"/>
  <c r="L483" i="8"/>
  <c r="L484" i="8"/>
  <c r="L485" i="8"/>
  <c r="L486" i="8"/>
  <c r="L487" i="8"/>
  <c r="L448" i="8"/>
  <c r="R405" i="8"/>
  <c r="S405" i="8"/>
  <c r="U405" i="8"/>
  <c r="V405" i="8"/>
  <c r="R406" i="8"/>
  <c r="S406" i="8"/>
  <c r="U406" i="8"/>
  <c r="V406" i="8"/>
  <c r="R407" i="8"/>
  <c r="S407" i="8"/>
  <c r="U407" i="8"/>
  <c r="V407" i="8"/>
  <c r="R408" i="8"/>
  <c r="S408" i="8"/>
  <c r="U408" i="8"/>
  <c r="V408" i="8"/>
  <c r="R409" i="8"/>
  <c r="S409" i="8"/>
  <c r="U409" i="8"/>
  <c r="V409" i="8"/>
  <c r="R410" i="8"/>
  <c r="S410" i="8"/>
  <c r="U410" i="8"/>
  <c r="V410" i="8"/>
  <c r="R411" i="8"/>
  <c r="S411" i="8"/>
  <c r="U411" i="8"/>
  <c r="V411" i="8"/>
  <c r="R412" i="8"/>
  <c r="S412" i="8"/>
  <c r="U412" i="8"/>
  <c r="V412" i="8"/>
  <c r="R413" i="8"/>
  <c r="S413" i="8"/>
  <c r="U413" i="8"/>
  <c r="V413" i="8"/>
  <c r="R414" i="8"/>
  <c r="S414" i="8"/>
  <c r="U414" i="8"/>
  <c r="V414" i="8"/>
  <c r="R415" i="8"/>
  <c r="S415" i="8"/>
  <c r="U415" i="8"/>
  <c r="V415" i="8"/>
  <c r="R416" i="8"/>
  <c r="S416" i="8"/>
  <c r="U416" i="8"/>
  <c r="V416" i="8"/>
  <c r="R417" i="8"/>
  <c r="S417" i="8"/>
  <c r="U417" i="8"/>
  <c r="V417" i="8"/>
  <c r="R418" i="8"/>
  <c r="S418" i="8"/>
  <c r="U418" i="8"/>
  <c r="V418" i="8"/>
  <c r="R419" i="8"/>
  <c r="S419" i="8"/>
  <c r="U419" i="8"/>
  <c r="V419" i="8"/>
  <c r="R420" i="8"/>
  <c r="S420" i="8"/>
  <c r="U420" i="8"/>
  <c r="V420" i="8"/>
  <c r="R421" i="8"/>
  <c r="S421" i="8"/>
  <c r="U421" i="8"/>
  <c r="V421" i="8"/>
  <c r="R422" i="8"/>
  <c r="S422" i="8"/>
  <c r="U422" i="8"/>
  <c r="V422" i="8"/>
  <c r="R423" i="8"/>
  <c r="S423" i="8"/>
  <c r="U423" i="8"/>
  <c r="V423" i="8"/>
  <c r="R424" i="8"/>
  <c r="S424" i="8"/>
  <c r="U424" i="8"/>
  <c r="V424" i="8"/>
  <c r="R425" i="8"/>
  <c r="S425" i="8"/>
  <c r="U425" i="8"/>
  <c r="V425" i="8"/>
  <c r="R426" i="8"/>
  <c r="S426" i="8"/>
  <c r="U426" i="8"/>
  <c r="V426" i="8"/>
  <c r="R427" i="8"/>
  <c r="S427" i="8"/>
  <c r="U427" i="8"/>
  <c r="V427" i="8"/>
  <c r="R428" i="8"/>
  <c r="S428" i="8"/>
  <c r="U428" i="8"/>
  <c r="V428" i="8"/>
  <c r="R429" i="8"/>
  <c r="S429" i="8"/>
  <c r="U429" i="8"/>
  <c r="V429" i="8"/>
  <c r="R430" i="8"/>
  <c r="S430" i="8"/>
  <c r="U430" i="8"/>
  <c r="V430" i="8"/>
  <c r="R431" i="8"/>
  <c r="S431" i="8"/>
  <c r="U431" i="8"/>
  <c r="V431" i="8"/>
  <c r="R432" i="8"/>
  <c r="S432" i="8"/>
  <c r="U432" i="8"/>
  <c r="V432" i="8"/>
  <c r="R433" i="8"/>
  <c r="S433" i="8"/>
  <c r="U433" i="8"/>
  <c r="V433" i="8"/>
  <c r="R434" i="8"/>
  <c r="S434" i="8"/>
  <c r="U434" i="8"/>
  <c r="V434" i="8"/>
  <c r="R435" i="8"/>
  <c r="S435" i="8"/>
  <c r="U435" i="8"/>
  <c r="V435" i="8"/>
  <c r="R436" i="8"/>
  <c r="S436" i="8"/>
  <c r="U436" i="8"/>
  <c r="V436" i="8"/>
  <c r="R437" i="8"/>
  <c r="S437" i="8"/>
  <c r="U437" i="8"/>
  <c r="V437" i="8"/>
  <c r="R438" i="8"/>
  <c r="S438" i="8"/>
  <c r="U438" i="8"/>
  <c r="V438" i="8"/>
  <c r="R439" i="8"/>
  <c r="S439" i="8"/>
  <c r="U439" i="8"/>
  <c r="V439" i="8"/>
  <c r="R440" i="8"/>
  <c r="S440" i="8"/>
  <c r="U440" i="8"/>
  <c r="V440" i="8"/>
  <c r="R441" i="8"/>
  <c r="S441" i="8"/>
  <c r="U441" i="8"/>
  <c r="V441" i="8"/>
  <c r="R442" i="8"/>
  <c r="S442" i="8"/>
  <c r="U442" i="8"/>
  <c r="V442" i="8"/>
  <c r="R443" i="8"/>
  <c r="S443" i="8"/>
  <c r="U443" i="8"/>
  <c r="V443" i="8"/>
  <c r="V404" i="8"/>
  <c r="U404" i="8"/>
  <c r="H12" i="22" s="1"/>
  <c r="F12" i="22"/>
  <c r="S404" i="8"/>
  <c r="R404" i="8"/>
  <c r="N405" i="8"/>
  <c r="N406" i="8"/>
  <c r="N407" i="8"/>
  <c r="N408" i="8"/>
  <c r="N409" i="8"/>
  <c r="N410" i="8"/>
  <c r="N411" i="8"/>
  <c r="N412" i="8"/>
  <c r="N413" i="8"/>
  <c r="N414" i="8"/>
  <c r="N415" i="8"/>
  <c r="N416" i="8"/>
  <c r="N417" i="8"/>
  <c r="N418" i="8"/>
  <c r="N419" i="8"/>
  <c r="N420" i="8"/>
  <c r="N421" i="8"/>
  <c r="N422" i="8"/>
  <c r="N423" i="8"/>
  <c r="N424" i="8"/>
  <c r="N425" i="8"/>
  <c r="N426" i="8"/>
  <c r="N427" i="8"/>
  <c r="N428" i="8"/>
  <c r="N429" i="8"/>
  <c r="N430" i="8"/>
  <c r="N431" i="8"/>
  <c r="N432" i="8"/>
  <c r="N433" i="8"/>
  <c r="N434" i="8"/>
  <c r="N435" i="8"/>
  <c r="N436" i="8"/>
  <c r="N437" i="8"/>
  <c r="N438" i="8"/>
  <c r="N439" i="8"/>
  <c r="N440" i="8"/>
  <c r="N441" i="8"/>
  <c r="N442" i="8"/>
  <c r="N443" i="8"/>
  <c r="N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34" i="8"/>
  <c r="L435" i="8"/>
  <c r="L436" i="8"/>
  <c r="L437" i="8"/>
  <c r="L438" i="8"/>
  <c r="L439" i="8"/>
  <c r="L440" i="8"/>
  <c r="L441" i="8"/>
  <c r="L442" i="8"/>
  <c r="L443" i="8"/>
  <c r="L404" i="8"/>
  <c r="O317" i="8"/>
  <c r="O318" i="8"/>
  <c r="O319" i="8"/>
  <c r="O320" i="8"/>
  <c r="O321" i="8"/>
  <c r="O322" i="8"/>
  <c r="O323" i="8"/>
  <c r="O324" i="8"/>
  <c r="O325" i="8"/>
  <c r="O326" i="8"/>
  <c r="O327" i="8"/>
  <c r="O328" i="8"/>
  <c r="O329" i="8"/>
  <c r="O330" i="8"/>
  <c r="O331" i="8"/>
  <c r="O332" i="8"/>
  <c r="O333" i="8"/>
  <c r="O334" i="8"/>
  <c r="O335" i="8"/>
  <c r="O336" i="8"/>
  <c r="O337" i="8"/>
  <c r="O338" i="8"/>
  <c r="O339" i="8"/>
  <c r="O340" i="8"/>
  <c r="O341" i="8"/>
  <c r="O342" i="8"/>
  <c r="O343" i="8"/>
  <c r="O344" i="8"/>
  <c r="O345" i="8"/>
  <c r="O346" i="8"/>
  <c r="O347" i="8"/>
  <c r="O348" i="8"/>
  <c r="O349" i="8"/>
  <c r="O350" i="8"/>
  <c r="O351" i="8"/>
  <c r="O352" i="8"/>
  <c r="O353" i="8"/>
  <c r="O354" i="8"/>
  <c r="O355" i="8"/>
  <c r="O316"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360"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16"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272"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28" i="8"/>
  <c r="S229" i="8"/>
  <c r="T229" i="8"/>
  <c r="U229" i="8"/>
  <c r="V229" i="8"/>
  <c r="S230" i="8"/>
  <c r="T230" i="8"/>
  <c r="U230" i="8"/>
  <c r="V230" i="8"/>
  <c r="S231" i="8"/>
  <c r="T231" i="8"/>
  <c r="U231" i="8"/>
  <c r="V231" i="8"/>
  <c r="S232" i="8"/>
  <c r="T232" i="8"/>
  <c r="U232" i="8"/>
  <c r="V232" i="8"/>
  <c r="S233" i="8"/>
  <c r="T233" i="8"/>
  <c r="U233" i="8"/>
  <c r="V233" i="8"/>
  <c r="S234" i="8"/>
  <c r="T234" i="8"/>
  <c r="U234" i="8"/>
  <c r="V234" i="8"/>
  <c r="S235" i="8"/>
  <c r="T235" i="8"/>
  <c r="U235" i="8"/>
  <c r="V235" i="8"/>
  <c r="S236" i="8"/>
  <c r="T236" i="8"/>
  <c r="U236" i="8"/>
  <c r="V236" i="8"/>
  <c r="S237" i="8"/>
  <c r="T237" i="8"/>
  <c r="U237" i="8"/>
  <c r="V237" i="8"/>
  <c r="S238" i="8"/>
  <c r="T238" i="8"/>
  <c r="U238" i="8"/>
  <c r="V238" i="8"/>
  <c r="S239" i="8"/>
  <c r="T239" i="8"/>
  <c r="U239" i="8"/>
  <c r="V239" i="8"/>
  <c r="S240" i="8"/>
  <c r="T240" i="8"/>
  <c r="U240" i="8"/>
  <c r="V240" i="8"/>
  <c r="S241" i="8"/>
  <c r="T241" i="8"/>
  <c r="U241" i="8"/>
  <c r="V241" i="8"/>
  <c r="S242" i="8"/>
  <c r="T242" i="8"/>
  <c r="U242" i="8"/>
  <c r="V242" i="8"/>
  <c r="S243" i="8"/>
  <c r="T243" i="8"/>
  <c r="U243" i="8"/>
  <c r="V243" i="8"/>
  <c r="S244" i="8"/>
  <c r="T244" i="8"/>
  <c r="U244" i="8"/>
  <c r="V244" i="8"/>
  <c r="S245" i="8"/>
  <c r="T245" i="8"/>
  <c r="U245" i="8"/>
  <c r="V245" i="8"/>
  <c r="S246" i="8"/>
  <c r="T246" i="8"/>
  <c r="U246" i="8"/>
  <c r="V246" i="8"/>
  <c r="S247" i="8"/>
  <c r="T247" i="8"/>
  <c r="U247" i="8"/>
  <c r="V247" i="8"/>
  <c r="S248" i="8"/>
  <c r="T248" i="8"/>
  <c r="U248" i="8"/>
  <c r="V248" i="8"/>
  <c r="S249" i="8"/>
  <c r="T249" i="8"/>
  <c r="U249" i="8"/>
  <c r="V249" i="8"/>
  <c r="S250" i="8"/>
  <c r="T250" i="8"/>
  <c r="U250" i="8"/>
  <c r="V250" i="8"/>
  <c r="S251" i="8"/>
  <c r="T251" i="8"/>
  <c r="U251" i="8"/>
  <c r="V251" i="8"/>
  <c r="S252" i="8"/>
  <c r="T252" i="8"/>
  <c r="U252" i="8"/>
  <c r="V252" i="8"/>
  <c r="S253" i="8"/>
  <c r="T253" i="8"/>
  <c r="U253" i="8"/>
  <c r="V253" i="8"/>
  <c r="S254" i="8"/>
  <c r="T254" i="8"/>
  <c r="U254" i="8"/>
  <c r="V254" i="8"/>
  <c r="S255" i="8"/>
  <c r="T255" i="8"/>
  <c r="U255" i="8"/>
  <c r="V255" i="8"/>
  <c r="S256" i="8"/>
  <c r="T256" i="8"/>
  <c r="U256" i="8"/>
  <c r="V256" i="8"/>
  <c r="S257" i="8"/>
  <c r="T257" i="8"/>
  <c r="U257" i="8"/>
  <c r="V257" i="8"/>
  <c r="S258" i="8"/>
  <c r="T258" i="8"/>
  <c r="U258" i="8"/>
  <c r="V258" i="8"/>
  <c r="S259" i="8"/>
  <c r="T259" i="8"/>
  <c r="U259" i="8"/>
  <c r="V259" i="8"/>
  <c r="S260" i="8"/>
  <c r="T260" i="8"/>
  <c r="U260" i="8"/>
  <c r="V260" i="8"/>
  <c r="S261" i="8"/>
  <c r="T261" i="8"/>
  <c r="U261" i="8"/>
  <c r="V261" i="8"/>
  <c r="S262" i="8"/>
  <c r="T262" i="8"/>
  <c r="U262" i="8"/>
  <c r="V262" i="8"/>
  <c r="S263" i="8"/>
  <c r="T263" i="8"/>
  <c r="U263" i="8"/>
  <c r="V263" i="8"/>
  <c r="S264" i="8"/>
  <c r="T264" i="8"/>
  <c r="U264" i="8"/>
  <c r="V264" i="8"/>
  <c r="S265" i="8"/>
  <c r="T265" i="8"/>
  <c r="U265" i="8"/>
  <c r="V265" i="8"/>
  <c r="S266" i="8"/>
  <c r="T266" i="8"/>
  <c r="U266" i="8"/>
  <c r="V266" i="8"/>
  <c r="S267" i="8"/>
  <c r="T267" i="8"/>
  <c r="U267" i="8"/>
  <c r="V267" i="8"/>
  <c r="V228" i="8"/>
  <c r="U228" i="8"/>
  <c r="H8" i="22" s="1"/>
  <c r="T228" i="8"/>
  <c r="F8" i="22" s="1"/>
  <c r="S228" i="8"/>
  <c r="R229" i="8"/>
  <c r="R230" i="8"/>
  <c r="R231" i="8"/>
  <c r="R232" i="8"/>
  <c r="R233" i="8"/>
  <c r="R234" i="8"/>
  <c r="R235" i="8"/>
  <c r="R236" i="8"/>
  <c r="R237" i="8"/>
  <c r="R238" i="8"/>
  <c r="R239" i="8"/>
  <c r="R240" i="8"/>
  <c r="R241" i="8"/>
  <c r="R242" i="8"/>
  <c r="R243" i="8"/>
  <c r="R244" i="8"/>
  <c r="R245" i="8"/>
  <c r="R246" i="8"/>
  <c r="R247" i="8"/>
  <c r="R248" i="8"/>
  <c r="R249" i="8"/>
  <c r="R250" i="8"/>
  <c r="R251" i="8"/>
  <c r="R252" i="8"/>
  <c r="R253" i="8"/>
  <c r="R254" i="8"/>
  <c r="R255" i="8"/>
  <c r="R256" i="8"/>
  <c r="R257" i="8"/>
  <c r="R258" i="8"/>
  <c r="R259" i="8"/>
  <c r="R260" i="8"/>
  <c r="R261" i="8"/>
  <c r="R262" i="8"/>
  <c r="R263" i="8"/>
  <c r="R264" i="8"/>
  <c r="R265" i="8"/>
  <c r="R266" i="8"/>
  <c r="R267" i="8"/>
  <c r="N229" i="8"/>
  <c r="N230" i="8"/>
  <c r="N231" i="8"/>
  <c r="N232" i="8"/>
  <c r="N233" i="8"/>
  <c r="N234" i="8"/>
  <c r="N235" i="8"/>
  <c r="N236" i="8"/>
  <c r="N237" i="8"/>
  <c r="N238" i="8"/>
  <c r="N239" i="8"/>
  <c r="N240" i="8"/>
  <c r="N241" i="8"/>
  <c r="N242" i="8"/>
  <c r="N243" i="8"/>
  <c r="N244" i="8"/>
  <c r="N245" i="8"/>
  <c r="N246" i="8"/>
  <c r="N247" i="8"/>
  <c r="N248" i="8"/>
  <c r="N249" i="8"/>
  <c r="N250" i="8"/>
  <c r="N251" i="8"/>
  <c r="N252" i="8"/>
  <c r="N253" i="8"/>
  <c r="N254" i="8"/>
  <c r="N255" i="8"/>
  <c r="N256" i="8"/>
  <c r="N257" i="8"/>
  <c r="N258" i="8"/>
  <c r="N259" i="8"/>
  <c r="N260" i="8"/>
  <c r="N261" i="8"/>
  <c r="N262" i="8"/>
  <c r="N263" i="8"/>
  <c r="N264" i="8"/>
  <c r="N265" i="8"/>
  <c r="N266" i="8"/>
  <c r="N267" i="8"/>
  <c r="N228" i="8"/>
  <c r="R228" i="8"/>
  <c r="G8" i="22" s="1"/>
  <c r="J228" i="8"/>
  <c r="G229" i="8"/>
  <c r="G230" i="8"/>
  <c r="G231" i="8"/>
  <c r="G232" i="8"/>
  <c r="G233" i="8"/>
  <c r="G234" i="8"/>
  <c r="G235" i="8"/>
  <c r="G236"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28" i="8"/>
  <c r="S184" i="8"/>
  <c r="T184" i="8"/>
  <c r="U184" i="8"/>
  <c r="V184" i="8"/>
  <c r="S185" i="8"/>
  <c r="T185" i="8"/>
  <c r="U185" i="8"/>
  <c r="V185" i="8"/>
  <c r="S186" i="8"/>
  <c r="T186" i="8"/>
  <c r="U186" i="8"/>
  <c r="V186" i="8"/>
  <c r="S187" i="8"/>
  <c r="T187" i="8"/>
  <c r="U187" i="8"/>
  <c r="V187" i="8"/>
  <c r="S188" i="8"/>
  <c r="T188" i="8"/>
  <c r="U188" i="8"/>
  <c r="V188" i="8"/>
  <c r="S189" i="8"/>
  <c r="T189" i="8"/>
  <c r="U189" i="8"/>
  <c r="V189" i="8"/>
  <c r="S190" i="8"/>
  <c r="T190" i="8"/>
  <c r="U190" i="8"/>
  <c r="V190" i="8"/>
  <c r="S191" i="8"/>
  <c r="T191" i="8"/>
  <c r="U191" i="8"/>
  <c r="V191" i="8"/>
  <c r="S192" i="8"/>
  <c r="T192" i="8"/>
  <c r="U192" i="8"/>
  <c r="V192" i="8"/>
  <c r="S193" i="8"/>
  <c r="T193" i="8"/>
  <c r="U193" i="8"/>
  <c r="V193" i="8"/>
  <c r="S194" i="8"/>
  <c r="T194" i="8"/>
  <c r="U194" i="8"/>
  <c r="V194" i="8"/>
  <c r="S195" i="8"/>
  <c r="T195" i="8"/>
  <c r="U195" i="8"/>
  <c r="V195" i="8"/>
  <c r="S196" i="8"/>
  <c r="T196" i="8"/>
  <c r="U196" i="8"/>
  <c r="V196" i="8"/>
  <c r="S197" i="8"/>
  <c r="T197" i="8"/>
  <c r="U197" i="8"/>
  <c r="V197" i="8"/>
  <c r="S198" i="8"/>
  <c r="T198" i="8"/>
  <c r="U198" i="8"/>
  <c r="V198" i="8"/>
  <c r="S199" i="8"/>
  <c r="T199" i="8"/>
  <c r="U199" i="8"/>
  <c r="V199" i="8"/>
  <c r="S200" i="8"/>
  <c r="T200" i="8"/>
  <c r="U200" i="8"/>
  <c r="V200" i="8"/>
  <c r="S201" i="8"/>
  <c r="T201" i="8"/>
  <c r="U201" i="8"/>
  <c r="V201" i="8"/>
  <c r="S202" i="8"/>
  <c r="T202" i="8"/>
  <c r="U202" i="8"/>
  <c r="V202" i="8"/>
  <c r="S203" i="8"/>
  <c r="T203" i="8"/>
  <c r="U203" i="8"/>
  <c r="V203" i="8"/>
  <c r="S204" i="8"/>
  <c r="T204" i="8"/>
  <c r="U204" i="8"/>
  <c r="V204" i="8"/>
  <c r="S205" i="8"/>
  <c r="T205" i="8"/>
  <c r="U205" i="8"/>
  <c r="V205" i="8"/>
  <c r="S206" i="8"/>
  <c r="T206" i="8"/>
  <c r="U206" i="8"/>
  <c r="V206" i="8"/>
  <c r="S207" i="8"/>
  <c r="T207" i="8"/>
  <c r="U207" i="8"/>
  <c r="V207" i="8"/>
  <c r="S208" i="8"/>
  <c r="T208" i="8"/>
  <c r="U208" i="8"/>
  <c r="V208" i="8"/>
  <c r="S209" i="8"/>
  <c r="T209" i="8"/>
  <c r="U209" i="8"/>
  <c r="V209" i="8"/>
  <c r="S210" i="8"/>
  <c r="T210" i="8"/>
  <c r="U210" i="8"/>
  <c r="V210" i="8"/>
  <c r="S211" i="8"/>
  <c r="T211" i="8"/>
  <c r="U211" i="8"/>
  <c r="V211" i="8"/>
  <c r="S212" i="8"/>
  <c r="T212" i="8"/>
  <c r="U212" i="8"/>
  <c r="V212" i="8"/>
  <c r="S213" i="8"/>
  <c r="T213" i="8"/>
  <c r="U213" i="8"/>
  <c r="V213" i="8"/>
  <c r="S214" i="8"/>
  <c r="T214" i="8"/>
  <c r="U214" i="8"/>
  <c r="V214" i="8"/>
  <c r="S215" i="8"/>
  <c r="T215" i="8"/>
  <c r="U215" i="8"/>
  <c r="V215" i="8"/>
  <c r="S216" i="8"/>
  <c r="T216" i="8"/>
  <c r="U216" i="8"/>
  <c r="V216" i="8"/>
  <c r="S217" i="8"/>
  <c r="T217" i="8"/>
  <c r="U217" i="8"/>
  <c r="V217" i="8"/>
  <c r="S218" i="8"/>
  <c r="T218" i="8"/>
  <c r="U218" i="8"/>
  <c r="V218" i="8"/>
  <c r="S219" i="8"/>
  <c r="T219" i="8"/>
  <c r="U219" i="8"/>
  <c r="V219" i="8"/>
  <c r="S220" i="8"/>
  <c r="T220" i="8"/>
  <c r="U220" i="8"/>
  <c r="V220" i="8"/>
  <c r="S221" i="8"/>
  <c r="T221" i="8"/>
  <c r="U221" i="8"/>
  <c r="V221" i="8"/>
  <c r="S222" i="8"/>
  <c r="T222" i="8"/>
  <c r="U222" i="8"/>
  <c r="V222" i="8"/>
  <c r="V183" i="8"/>
  <c r="U183" i="8"/>
  <c r="T183" i="8"/>
  <c r="F7" i="22" s="1"/>
  <c r="S183" i="8"/>
  <c r="R184" i="8"/>
  <c r="R185" i="8"/>
  <c r="R186" i="8"/>
  <c r="R187" i="8"/>
  <c r="R188" i="8"/>
  <c r="R189" i="8"/>
  <c r="R190" i="8"/>
  <c r="R191" i="8"/>
  <c r="R192" i="8"/>
  <c r="R193" i="8"/>
  <c r="R194" i="8"/>
  <c r="R195" i="8"/>
  <c r="R196" i="8"/>
  <c r="R197" i="8"/>
  <c r="R198" i="8"/>
  <c r="R199" i="8"/>
  <c r="R200" i="8"/>
  <c r="R201" i="8"/>
  <c r="R202" i="8"/>
  <c r="R203" i="8"/>
  <c r="R204" i="8"/>
  <c r="R205" i="8"/>
  <c r="R206" i="8"/>
  <c r="R207" i="8"/>
  <c r="R208" i="8"/>
  <c r="R209" i="8"/>
  <c r="R210" i="8"/>
  <c r="R211" i="8"/>
  <c r="R212" i="8"/>
  <c r="R213" i="8"/>
  <c r="R214" i="8"/>
  <c r="R215" i="8"/>
  <c r="R216" i="8"/>
  <c r="R217" i="8"/>
  <c r="R218" i="8"/>
  <c r="R219" i="8"/>
  <c r="R220" i="8"/>
  <c r="R221" i="8"/>
  <c r="R222" i="8"/>
  <c r="R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16" i="8"/>
  <c r="N217" i="8"/>
  <c r="N218" i="8"/>
  <c r="N219" i="8"/>
  <c r="N220" i="8"/>
  <c r="N221" i="8"/>
  <c r="N222" i="8"/>
  <c r="N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183" i="8"/>
  <c r="I7" i="22" s="1"/>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183"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38" i="8"/>
  <c r="S139" i="8"/>
  <c r="T139" i="8"/>
  <c r="U139" i="8"/>
  <c r="V139" i="8"/>
  <c r="S140" i="8"/>
  <c r="T140" i="8"/>
  <c r="U140" i="8"/>
  <c r="V140" i="8"/>
  <c r="S141" i="8"/>
  <c r="T141" i="8"/>
  <c r="U141" i="8"/>
  <c r="V141" i="8"/>
  <c r="S142" i="8"/>
  <c r="T142" i="8"/>
  <c r="U142" i="8"/>
  <c r="V142" i="8"/>
  <c r="S143" i="8"/>
  <c r="T143" i="8"/>
  <c r="U143" i="8"/>
  <c r="V143" i="8"/>
  <c r="S144" i="8"/>
  <c r="T144" i="8"/>
  <c r="U144" i="8"/>
  <c r="V144" i="8"/>
  <c r="S145" i="8"/>
  <c r="T145" i="8"/>
  <c r="U145" i="8"/>
  <c r="V145" i="8"/>
  <c r="S146" i="8"/>
  <c r="T146" i="8"/>
  <c r="U146" i="8"/>
  <c r="V146" i="8"/>
  <c r="S147" i="8"/>
  <c r="T147" i="8"/>
  <c r="U147" i="8"/>
  <c r="V147" i="8"/>
  <c r="S148" i="8"/>
  <c r="T148" i="8"/>
  <c r="U148" i="8"/>
  <c r="V148" i="8"/>
  <c r="S149" i="8"/>
  <c r="T149" i="8"/>
  <c r="U149" i="8"/>
  <c r="V149" i="8"/>
  <c r="S150" i="8"/>
  <c r="T150" i="8"/>
  <c r="U150" i="8"/>
  <c r="V150" i="8"/>
  <c r="S151" i="8"/>
  <c r="T151" i="8"/>
  <c r="U151" i="8"/>
  <c r="V151" i="8"/>
  <c r="S152" i="8"/>
  <c r="T152" i="8"/>
  <c r="U152" i="8"/>
  <c r="V152" i="8"/>
  <c r="S153" i="8"/>
  <c r="T153" i="8"/>
  <c r="U153" i="8"/>
  <c r="V153" i="8"/>
  <c r="S154" i="8"/>
  <c r="T154" i="8"/>
  <c r="U154" i="8"/>
  <c r="V154" i="8"/>
  <c r="S155" i="8"/>
  <c r="T155" i="8"/>
  <c r="U155" i="8"/>
  <c r="V155" i="8"/>
  <c r="S156" i="8"/>
  <c r="T156" i="8"/>
  <c r="U156" i="8"/>
  <c r="V156" i="8"/>
  <c r="S157" i="8"/>
  <c r="T157" i="8"/>
  <c r="U157" i="8"/>
  <c r="V157" i="8"/>
  <c r="S158" i="8"/>
  <c r="T158" i="8"/>
  <c r="U158" i="8"/>
  <c r="V158" i="8"/>
  <c r="S159" i="8"/>
  <c r="T159" i="8"/>
  <c r="U159" i="8"/>
  <c r="V159" i="8"/>
  <c r="S160" i="8"/>
  <c r="T160" i="8"/>
  <c r="U160" i="8"/>
  <c r="V160" i="8"/>
  <c r="S161" i="8"/>
  <c r="T161" i="8"/>
  <c r="U161" i="8"/>
  <c r="V161" i="8"/>
  <c r="S162" i="8"/>
  <c r="T162" i="8"/>
  <c r="U162" i="8"/>
  <c r="V162" i="8"/>
  <c r="S163" i="8"/>
  <c r="T163" i="8"/>
  <c r="U163" i="8"/>
  <c r="V163" i="8"/>
  <c r="S164" i="8"/>
  <c r="T164" i="8"/>
  <c r="U164" i="8"/>
  <c r="V164" i="8"/>
  <c r="S165" i="8"/>
  <c r="T165" i="8"/>
  <c r="U165" i="8"/>
  <c r="V165" i="8"/>
  <c r="S166" i="8"/>
  <c r="T166" i="8"/>
  <c r="U166" i="8"/>
  <c r="V166" i="8"/>
  <c r="S167" i="8"/>
  <c r="T167" i="8"/>
  <c r="U167" i="8"/>
  <c r="V167" i="8"/>
  <c r="S168" i="8"/>
  <c r="T168" i="8"/>
  <c r="U168" i="8"/>
  <c r="V168" i="8"/>
  <c r="S169" i="8"/>
  <c r="T169" i="8"/>
  <c r="U169" i="8"/>
  <c r="V169" i="8"/>
  <c r="S170" i="8"/>
  <c r="T170" i="8"/>
  <c r="U170" i="8"/>
  <c r="V170" i="8"/>
  <c r="S171" i="8"/>
  <c r="T171" i="8"/>
  <c r="U171" i="8"/>
  <c r="V171" i="8"/>
  <c r="S172" i="8"/>
  <c r="T172" i="8"/>
  <c r="U172" i="8"/>
  <c r="V172" i="8"/>
  <c r="S173" i="8"/>
  <c r="T173" i="8"/>
  <c r="U173" i="8"/>
  <c r="V173" i="8"/>
  <c r="S174" i="8"/>
  <c r="T174" i="8"/>
  <c r="U174" i="8"/>
  <c r="V174" i="8"/>
  <c r="S175" i="8"/>
  <c r="T175" i="8"/>
  <c r="U175" i="8"/>
  <c r="V175" i="8"/>
  <c r="S176" i="8"/>
  <c r="T176" i="8"/>
  <c r="U176" i="8"/>
  <c r="V176" i="8"/>
  <c r="S177" i="8"/>
  <c r="T177" i="8"/>
  <c r="U177" i="8"/>
  <c r="V177" i="8"/>
  <c r="V138" i="8"/>
  <c r="U138" i="8"/>
  <c r="T138" i="8"/>
  <c r="F6" i="22" s="1"/>
  <c r="S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38" i="8"/>
  <c r="J153" i="8"/>
  <c r="G138" i="8"/>
  <c r="H16" i="22" l="1"/>
  <c r="K21" i="22"/>
  <c r="K22" i="22"/>
  <c r="K23" i="22"/>
  <c r="X266" i="9"/>
  <c r="X258" i="9"/>
  <c r="X250" i="9"/>
  <c r="X242" i="9"/>
  <c r="X234" i="9"/>
  <c r="K24" i="22"/>
  <c r="X487" i="9"/>
  <c r="X479" i="9"/>
  <c r="X463" i="9"/>
  <c r="X455" i="9"/>
  <c r="G29" i="22"/>
  <c r="H30" i="22"/>
  <c r="X563" i="9"/>
  <c r="X555" i="9"/>
  <c r="X547" i="9"/>
  <c r="G21" i="22"/>
  <c r="G22" i="22"/>
  <c r="X429" i="9"/>
  <c r="X421" i="9"/>
  <c r="X413" i="9"/>
  <c r="X536" i="9"/>
  <c r="X528" i="9"/>
  <c r="X520" i="9"/>
  <c r="X512" i="9"/>
  <c r="X504" i="9"/>
  <c r="G32" i="22"/>
  <c r="I29" i="22"/>
  <c r="E29" i="22"/>
  <c r="I21" i="22"/>
  <c r="E21" i="22"/>
  <c r="I22" i="22"/>
  <c r="E22" i="22"/>
  <c r="I23" i="22"/>
  <c r="E23" i="22"/>
  <c r="G27" i="22"/>
  <c r="G28" i="22"/>
  <c r="I32" i="22"/>
  <c r="E32" i="22"/>
  <c r="H21" i="22"/>
  <c r="H22" i="22"/>
  <c r="H32" i="22"/>
  <c r="G6" i="22"/>
  <c r="I27" i="22"/>
  <c r="E27" i="22"/>
  <c r="I28" i="22"/>
  <c r="E28" i="22"/>
  <c r="I31" i="22"/>
  <c r="E31" i="22"/>
  <c r="X522" i="8"/>
  <c r="H23" i="22"/>
  <c r="X588" i="9"/>
  <c r="J31" i="22" s="1"/>
  <c r="G31" i="22"/>
  <c r="K25" i="22"/>
  <c r="I30" i="22"/>
  <c r="E30" i="22"/>
  <c r="H6" i="22"/>
  <c r="H7" i="22"/>
  <c r="AD16" i="9"/>
  <c r="AC16" i="9"/>
  <c r="AD18" i="9"/>
  <c r="AC18" i="9"/>
  <c r="K7" i="22"/>
  <c r="K6" i="22"/>
  <c r="AD11" i="8"/>
  <c r="AC11" i="8"/>
  <c r="AD12" i="8"/>
  <c r="G17" i="22"/>
  <c r="E8" i="22"/>
  <c r="I8" i="22"/>
  <c r="K9" i="22"/>
  <c r="AD14" i="8"/>
  <c r="AC14" i="8"/>
  <c r="AD15" i="8"/>
  <c r="AC15" i="8"/>
  <c r="K11" i="22"/>
  <c r="AD16" i="8"/>
  <c r="AC16" i="8"/>
  <c r="I12" i="22"/>
  <c r="E12" i="22"/>
  <c r="G12" i="22"/>
  <c r="I13" i="22"/>
  <c r="E13" i="22"/>
  <c r="G13" i="22"/>
  <c r="I14" i="22"/>
  <c r="E14" i="22"/>
  <c r="G14" i="22"/>
  <c r="I15" i="22"/>
  <c r="E15" i="22"/>
  <c r="G15" i="22"/>
  <c r="X580" i="8"/>
  <c r="J16" i="22" s="1"/>
  <c r="G16" i="22"/>
  <c r="E17" i="22"/>
  <c r="I17" i="22"/>
  <c r="E6" i="22"/>
  <c r="I6" i="22"/>
  <c r="G7" i="22"/>
  <c r="K8" i="22"/>
  <c r="AD13" i="8"/>
  <c r="AC13" i="8"/>
  <c r="AD11" i="9"/>
  <c r="AC11" i="9"/>
  <c r="AD12" i="9"/>
  <c r="AC12" i="9"/>
  <c r="AF13" i="9"/>
  <c r="AC13" i="9"/>
  <c r="AD13" i="9"/>
  <c r="AC14" i="9"/>
  <c r="AD14" i="9"/>
  <c r="K10" i="22"/>
  <c r="E16" i="22"/>
  <c r="I16" i="22"/>
  <c r="AC15" i="9"/>
  <c r="AD15" i="9"/>
  <c r="X670" i="9"/>
  <c r="X662" i="9"/>
  <c r="X654" i="9"/>
  <c r="X646" i="9"/>
  <c r="X638" i="9"/>
  <c r="X175" i="8"/>
  <c r="X492" i="8"/>
  <c r="J14" i="22" s="1"/>
  <c r="X528" i="8"/>
  <c r="X520" i="8"/>
  <c r="X512" i="8"/>
  <c r="X504" i="8"/>
  <c r="X496" i="8"/>
  <c r="X536" i="8"/>
  <c r="J15" i="22" s="1"/>
  <c r="X572" i="8"/>
  <c r="X564" i="8"/>
  <c r="X556" i="8"/>
  <c r="X548" i="8"/>
  <c r="D164" i="8"/>
  <c r="X267" i="8"/>
  <c r="X263" i="8"/>
  <c r="X259" i="8"/>
  <c r="X255" i="8"/>
  <c r="X251" i="8"/>
  <c r="X247" i="8"/>
  <c r="X243" i="8"/>
  <c r="X239" i="8"/>
  <c r="X235" i="8"/>
  <c r="X231" i="8"/>
  <c r="X404" i="8"/>
  <c r="J12" i="22" s="1"/>
  <c r="X440" i="8"/>
  <c r="X432" i="8"/>
  <c r="X424" i="8"/>
  <c r="X416" i="8"/>
  <c r="X408" i="8"/>
  <c r="X448" i="8"/>
  <c r="J13" i="22" s="1"/>
  <c r="X540" i="8"/>
  <c r="X257" i="8"/>
  <c r="X253" i="8"/>
  <c r="X245" i="8"/>
  <c r="X241" i="8"/>
  <c r="X237" i="8"/>
  <c r="X233" i="8"/>
  <c r="X229" i="8"/>
  <c r="X265" i="8"/>
  <c r="X249" i="8"/>
  <c r="X443" i="8"/>
  <c r="X435" i="8"/>
  <c r="X427" i="8"/>
  <c r="X419" i="8"/>
  <c r="X411" i="8"/>
  <c r="X487" i="8"/>
  <c r="X479" i="8"/>
  <c r="X471" i="8"/>
  <c r="X463" i="8"/>
  <c r="X455" i="8"/>
  <c r="X531" i="8"/>
  <c r="X523" i="8"/>
  <c r="X515" i="8"/>
  <c r="X507" i="8"/>
  <c r="X499" i="8"/>
  <c r="X575" i="8"/>
  <c r="X567" i="8"/>
  <c r="X559" i="8"/>
  <c r="X551" i="8"/>
  <c r="X543" i="8"/>
  <c r="X179" i="9"/>
  <c r="X171" i="9"/>
  <c r="X163" i="9"/>
  <c r="X155" i="9"/>
  <c r="X147" i="9"/>
  <c r="X139" i="9"/>
  <c r="X224" i="9"/>
  <c r="X216" i="9"/>
  <c r="X208" i="9"/>
  <c r="X200" i="9"/>
  <c r="X192" i="9"/>
  <c r="X184" i="9"/>
  <c r="X443" i="9"/>
  <c r="X435" i="9"/>
  <c r="X427" i="9"/>
  <c r="X419" i="9"/>
  <c r="X411" i="9"/>
  <c r="X488" i="9"/>
  <c r="X480" i="9"/>
  <c r="X472" i="9"/>
  <c r="X464" i="9"/>
  <c r="X456" i="9"/>
  <c r="X534" i="9"/>
  <c r="X526" i="9"/>
  <c r="X518" i="9"/>
  <c r="X510" i="9"/>
  <c r="X502" i="9"/>
  <c r="X580" i="9"/>
  <c r="X572" i="9"/>
  <c r="X564" i="9"/>
  <c r="X556" i="9"/>
  <c r="X548" i="9"/>
  <c r="X261" i="8"/>
  <c r="X177" i="8"/>
  <c r="X173" i="8"/>
  <c r="X171" i="8"/>
  <c r="X169" i="8"/>
  <c r="X167" i="8"/>
  <c r="X165" i="8"/>
  <c r="X163" i="8"/>
  <c r="X161" i="8"/>
  <c r="X159" i="8"/>
  <c r="X157" i="8"/>
  <c r="X155" i="8"/>
  <c r="X153" i="8"/>
  <c r="X151" i="8"/>
  <c r="X149" i="8"/>
  <c r="X147" i="8"/>
  <c r="X145" i="8"/>
  <c r="X143" i="8"/>
  <c r="X141" i="8"/>
  <c r="X139" i="8"/>
  <c r="X222" i="8"/>
  <c r="X220" i="8"/>
  <c r="X218" i="8"/>
  <c r="X216" i="8"/>
  <c r="X214" i="8"/>
  <c r="X212" i="8"/>
  <c r="X210" i="8"/>
  <c r="X208" i="8"/>
  <c r="X206" i="8"/>
  <c r="X204" i="8"/>
  <c r="X202" i="8"/>
  <c r="X200" i="8"/>
  <c r="X198" i="8"/>
  <c r="X196" i="8"/>
  <c r="X194" i="8"/>
  <c r="X192" i="8"/>
  <c r="X190" i="8"/>
  <c r="X188" i="8"/>
  <c r="X186" i="8"/>
  <c r="X184" i="8"/>
  <c r="X438" i="8"/>
  <c r="X430" i="8"/>
  <c r="X422" i="8"/>
  <c r="X414" i="8"/>
  <c r="X406" i="8"/>
  <c r="X526" i="8"/>
  <c r="X518" i="8"/>
  <c r="X510" i="8"/>
  <c r="X502" i="8"/>
  <c r="X494" i="8"/>
  <c r="X174" i="9"/>
  <c r="X166" i="9"/>
  <c r="X158" i="9"/>
  <c r="X150" i="9"/>
  <c r="X142" i="9"/>
  <c r="X219" i="9"/>
  <c r="X211" i="9"/>
  <c r="X203" i="9"/>
  <c r="X195" i="9"/>
  <c r="X187" i="9"/>
  <c r="X267" i="9"/>
  <c r="X265" i="9"/>
  <c r="X263" i="9"/>
  <c r="X259" i="9"/>
  <c r="X257" i="9"/>
  <c r="X255" i="9"/>
  <c r="X251" i="9"/>
  <c r="X249" i="9"/>
  <c r="X247" i="9"/>
  <c r="X243" i="9"/>
  <c r="X241" i="9"/>
  <c r="X239" i="9"/>
  <c r="X235" i="9"/>
  <c r="X233" i="9"/>
  <c r="X231" i="9"/>
  <c r="W588" i="9"/>
  <c r="X669" i="9"/>
  <c r="X661" i="9"/>
  <c r="X653" i="9"/>
  <c r="X645" i="9"/>
  <c r="X637" i="9"/>
  <c r="X441" i="8"/>
  <c r="X529" i="8"/>
  <c r="X521" i="8"/>
  <c r="X513" i="8"/>
  <c r="X505" i="8"/>
  <c r="X497" i="8"/>
  <c r="X573" i="8"/>
  <c r="X565" i="8"/>
  <c r="X557" i="8"/>
  <c r="X549" i="8"/>
  <c r="X541" i="8"/>
  <c r="X417" i="8"/>
  <c r="X409" i="8"/>
  <c r="X266" i="8"/>
  <c r="X258" i="8"/>
  <c r="X250" i="8"/>
  <c r="X242" i="8"/>
  <c r="X234" i="8"/>
  <c r="X180" i="9"/>
  <c r="X172" i="9"/>
  <c r="X164" i="9"/>
  <c r="X156" i="9"/>
  <c r="X148" i="9"/>
  <c r="X140" i="9"/>
  <c r="X433" i="8"/>
  <c r="X425" i="8"/>
  <c r="X483" i="8"/>
  <c r="X475" i="8"/>
  <c r="X467" i="8"/>
  <c r="X459" i="8"/>
  <c r="X451" i="8"/>
  <c r="D156" i="8"/>
  <c r="X270" i="9"/>
  <c r="X262" i="9"/>
  <c r="X254" i="9"/>
  <c r="X246" i="9"/>
  <c r="X238" i="9"/>
  <c r="X230" i="9"/>
  <c r="X495" i="9"/>
  <c r="X525" i="9"/>
  <c r="X471" i="9"/>
  <c r="X426" i="9"/>
  <c r="X442" i="9"/>
  <c r="X579" i="9"/>
  <c r="X418" i="9"/>
  <c r="X186" i="9"/>
  <c r="X543" i="9"/>
  <c r="J30" i="22" s="1"/>
  <c r="X268" i="9"/>
  <c r="X260" i="9"/>
  <c r="X252" i="9"/>
  <c r="X244" i="9"/>
  <c r="X236" i="9"/>
  <c r="X138" i="8"/>
  <c r="J6" i="22" s="1"/>
  <c r="X183" i="8"/>
  <c r="J7" i="22" s="1"/>
  <c r="D138" i="9"/>
  <c r="X240" i="9"/>
  <c r="D228" i="9"/>
  <c r="X264" i="8"/>
  <c r="X262" i="8"/>
  <c r="X260" i="8"/>
  <c r="X256" i="8"/>
  <c r="X252" i="8"/>
  <c r="X248" i="8"/>
  <c r="X246" i="8"/>
  <c r="X244" i="8"/>
  <c r="X240" i="8"/>
  <c r="X238" i="8"/>
  <c r="X236" i="8"/>
  <c r="X232" i="8"/>
  <c r="X230" i="8"/>
  <c r="D272" i="8"/>
  <c r="X248" i="9"/>
  <c r="X232" i="9"/>
  <c r="X254" i="8"/>
  <c r="X264" i="9"/>
  <c r="X256" i="9"/>
  <c r="D148" i="8"/>
  <c r="X176" i="8"/>
  <c r="X172" i="8"/>
  <c r="X166" i="8"/>
  <c r="X162" i="8"/>
  <c r="X158" i="8"/>
  <c r="X156" i="8"/>
  <c r="X152" i="8"/>
  <c r="X150" i="8"/>
  <c r="X148" i="8"/>
  <c r="X146" i="8"/>
  <c r="X144" i="8"/>
  <c r="X140" i="8"/>
  <c r="D141" i="8"/>
  <c r="X221" i="8"/>
  <c r="X219" i="8"/>
  <c r="X217" i="8"/>
  <c r="X215" i="8"/>
  <c r="X213" i="8"/>
  <c r="X211" i="8"/>
  <c r="X209" i="8"/>
  <c r="X207" i="8"/>
  <c r="X205" i="8"/>
  <c r="X203" i="8"/>
  <c r="X201" i="8"/>
  <c r="X199" i="8"/>
  <c r="X197" i="8"/>
  <c r="X195" i="8"/>
  <c r="X193" i="8"/>
  <c r="X191" i="8"/>
  <c r="X189" i="8"/>
  <c r="X187" i="8"/>
  <c r="X185" i="8"/>
  <c r="D143" i="8"/>
  <c r="D140" i="8"/>
  <c r="X174" i="8"/>
  <c r="X170" i="8"/>
  <c r="X168" i="8"/>
  <c r="X164" i="8"/>
  <c r="X160" i="8"/>
  <c r="X154" i="8"/>
  <c r="X142" i="8"/>
  <c r="D172" i="8"/>
  <c r="X228" i="8"/>
  <c r="J8" i="22" s="1"/>
  <c r="X665" i="9"/>
  <c r="X657" i="9"/>
  <c r="X649" i="9"/>
  <c r="X641" i="9"/>
  <c r="X484" i="8"/>
  <c r="X476" i="8"/>
  <c r="X468" i="8"/>
  <c r="X460" i="8"/>
  <c r="X452" i="8"/>
  <c r="X570" i="8"/>
  <c r="X562" i="8"/>
  <c r="X554" i="8"/>
  <c r="X546" i="8"/>
  <c r="X538" i="8"/>
  <c r="X176" i="9"/>
  <c r="X168" i="9"/>
  <c r="X160" i="9"/>
  <c r="X152" i="9"/>
  <c r="X144" i="9"/>
  <c r="X436" i="8"/>
  <c r="X428" i="8"/>
  <c r="X420" i="8"/>
  <c r="X412" i="8"/>
  <c r="X486" i="8"/>
  <c r="X478" i="8"/>
  <c r="X470" i="8"/>
  <c r="X462" i="8"/>
  <c r="X454" i="8"/>
  <c r="X524" i="8"/>
  <c r="X516" i="8"/>
  <c r="X508" i="8"/>
  <c r="X500" i="8"/>
  <c r="X568" i="8"/>
  <c r="X560" i="8"/>
  <c r="X552" i="8"/>
  <c r="X544" i="8"/>
  <c r="X674" i="9"/>
  <c r="X666" i="9"/>
  <c r="X658" i="9"/>
  <c r="X650" i="9"/>
  <c r="X642" i="9"/>
  <c r="X634" i="9"/>
  <c r="X439" i="8"/>
  <c r="X431" i="8"/>
  <c r="X423" i="8"/>
  <c r="X415" i="8"/>
  <c r="X407" i="8"/>
  <c r="X527" i="8"/>
  <c r="X519" i="8"/>
  <c r="X511" i="8"/>
  <c r="X503" i="8"/>
  <c r="X495" i="8"/>
  <c r="X571" i="8"/>
  <c r="X563" i="8"/>
  <c r="X555" i="8"/>
  <c r="X547" i="8"/>
  <c r="X539" i="8"/>
  <c r="X138" i="9"/>
  <c r="J21" i="22" s="1"/>
  <c r="X177" i="9"/>
  <c r="X169" i="9"/>
  <c r="X161" i="9"/>
  <c r="X153" i="9"/>
  <c r="X145" i="9"/>
  <c r="X183" i="9"/>
  <c r="J22" i="22" s="1"/>
  <c r="X222" i="9"/>
  <c r="X214" i="9"/>
  <c r="X206" i="9"/>
  <c r="X198" i="9"/>
  <c r="X190" i="9"/>
  <c r="X269" i="9"/>
  <c r="X261" i="9"/>
  <c r="X253" i="9"/>
  <c r="X245" i="9"/>
  <c r="X237" i="9"/>
  <c r="X229" i="9"/>
  <c r="X446" i="9"/>
  <c r="X438" i="9"/>
  <c r="X430" i="9"/>
  <c r="X422" i="9"/>
  <c r="X414" i="9"/>
  <c r="X491" i="9"/>
  <c r="X483" i="9"/>
  <c r="X475" i="9"/>
  <c r="X467" i="9"/>
  <c r="X459" i="9"/>
  <c r="X498" i="9"/>
  <c r="J29" i="22" s="1"/>
  <c r="X537" i="9"/>
  <c r="X529" i="9"/>
  <c r="X521" i="9"/>
  <c r="X513" i="9"/>
  <c r="X505" i="9"/>
  <c r="X583" i="9"/>
  <c r="X575" i="9"/>
  <c r="X567" i="9"/>
  <c r="X559" i="9"/>
  <c r="X551" i="9"/>
  <c r="X442" i="8"/>
  <c r="X434" i="8"/>
  <c r="X426" i="8"/>
  <c r="X418" i="8"/>
  <c r="X410" i="8"/>
  <c r="X480" i="8"/>
  <c r="X472" i="8"/>
  <c r="X464" i="8"/>
  <c r="X456" i="8"/>
  <c r="X514" i="8"/>
  <c r="X506" i="8"/>
  <c r="X498" i="8"/>
  <c r="X225" i="9"/>
  <c r="X217" i="9"/>
  <c r="X209" i="9"/>
  <c r="X201" i="9"/>
  <c r="X193" i="9"/>
  <c r="X185" i="9"/>
  <c r="X449" i="9"/>
  <c r="X441" i="9"/>
  <c r="X433" i="9"/>
  <c r="X425" i="9"/>
  <c r="X417" i="9"/>
  <c r="X409" i="9"/>
  <c r="X494" i="9"/>
  <c r="X486" i="9"/>
  <c r="X478" i="9"/>
  <c r="X470" i="9"/>
  <c r="X462" i="9"/>
  <c r="X454" i="9"/>
  <c r="X540" i="9"/>
  <c r="X532" i="9"/>
  <c r="X524" i="9"/>
  <c r="X516" i="9"/>
  <c r="X508" i="9"/>
  <c r="X500" i="9"/>
  <c r="X578" i="9"/>
  <c r="X570" i="9"/>
  <c r="X562" i="9"/>
  <c r="X554" i="9"/>
  <c r="X546" i="9"/>
  <c r="X633" i="9"/>
  <c r="J32" i="22" s="1"/>
  <c r="X672" i="9"/>
  <c r="X664" i="9"/>
  <c r="X656" i="9"/>
  <c r="X648" i="9"/>
  <c r="X640" i="9"/>
  <c r="X437" i="8"/>
  <c r="X429" i="8"/>
  <c r="X421" i="8"/>
  <c r="X413" i="8"/>
  <c r="X405" i="8"/>
  <c r="X485" i="8"/>
  <c r="X477" i="8"/>
  <c r="X469" i="8"/>
  <c r="X461" i="8"/>
  <c r="X453" i="8"/>
  <c r="X525" i="8"/>
  <c r="X517" i="8"/>
  <c r="X509" i="8"/>
  <c r="X501" i="8"/>
  <c r="X493" i="8"/>
  <c r="X569" i="8"/>
  <c r="X561" i="8"/>
  <c r="X553" i="8"/>
  <c r="X545" i="8"/>
  <c r="X537" i="8"/>
  <c r="X624" i="8"/>
  <c r="J17" i="22" s="1"/>
  <c r="X175" i="9"/>
  <c r="X167" i="9"/>
  <c r="X159" i="9"/>
  <c r="X151" i="9"/>
  <c r="X143" i="9"/>
  <c r="X220" i="9"/>
  <c r="X212" i="9"/>
  <c r="X204" i="9"/>
  <c r="X196" i="9"/>
  <c r="X188" i="9"/>
  <c r="X444" i="9"/>
  <c r="X436" i="9"/>
  <c r="X428" i="9"/>
  <c r="X420" i="9"/>
  <c r="X412" i="9"/>
  <c r="X489" i="9"/>
  <c r="X481" i="9"/>
  <c r="X473" i="9"/>
  <c r="X465" i="9"/>
  <c r="X457" i="9"/>
  <c r="X535" i="9"/>
  <c r="X527" i="9"/>
  <c r="X519" i="9"/>
  <c r="X511" i="9"/>
  <c r="X503" i="9"/>
  <c r="X581" i="9"/>
  <c r="X573" i="9"/>
  <c r="X565" i="9"/>
  <c r="X557" i="9"/>
  <c r="X549" i="9"/>
  <c r="X675" i="9"/>
  <c r="X667" i="9"/>
  <c r="X659" i="9"/>
  <c r="X651" i="9"/>
  <c r="X643" i="9"/>
  <c r="X635" i="9"/>
  <c r="X482" i="8"/>
  <c r="X474" i="8"/>
  <c r="X466" i="8"/>
  <c r="X458" i="8"/>
  <c r="X450" i="8"/>
  <c r="X178" i="9"/>
  <c r="X170" i="9"/>
  <c r="X162" i="9"/>
  <c r="X154" i="9"/>
  <c r="X146" i="9"/>
  <c r="X223" i="9"/>
  <c r="X215" i="9"/>
  <c r="X207" i="9"/>
  <c r="X199" i="9"/>
  <c r="X191" i="9"/>
  <c r="X228" i="9"/>
  <c r="J23" i="22" s="1"/>
  <c r="X408" i="9"/>
  <c r="J27" i="22" s="1"/>
  <c r="X447" i="9"/>
  <c r="X439" i="9"/>
  <c r="X431" i="9"/>
  <c r="X423" i="9"/>
  <c r="X415" i="9"/>
  <c r="X453" i="9"/>
  <c r="J28" i="22" s="1"/>
  <c r="X492" i="9"/>
  <c r="X484" i="9"/>
  <c r="X476" i="9"/>
  <c r="X468" i="9"/>
  <c r="X460" i="9"/>
  <c r="X538" i="9"/>
  <c r="X530" i="9"/>
  <c r="X522" i="9"/>
  <c r="X514" i="9"/>
  <c r="X506" i="9"/>
  <c r="X584" i="9"/>
  <c r="X576" i="9"/>
  <c r="X568" i="9"/>
  <c r="X560" i="9"/>
  <c r="X552" i="9"/>
  <c r="X544" i="9"/>
  <c r="D171" i="8"/>
  <c r="D163" i="8"/>
  <c r="D155" i="8"/>
  <c r="D147" i="8"/>
  <c r="D139" i="8"/>
  <c r="D176" i="8"/>
  <c r="D168" i="8"/>
  <c r="D160" i="8"/>
  <c r="D152" i="8"/>
  <c r="D144" i="8"/>
  <c r="D175" i="8"/>
  <c r="D167" i="8"/>
  <c r="D159" i="8"/>
  <c r="D151" i="8"/>
  <c r="D138" i="8"/>
  <c r="D174" i="8"/>
  <c r="D170" i="8"/>
  <c r="D166" i="8"/>
  <c r="D162" i="8"/>
  <c r="D158" i="8"/>
  <c r="D154" i="8"/>
  <c r="D150" i="8"/>
  <c r="D146" i="8"/>
  <c r="D142" i="8"/>
  <c r="D177" i="8"/>
  <c r="D173" i="8"/>
  <c r="D169" i="8"/>
  <c r="D165" i="8"/>
  <c r="D161" i="8"/>
  <c r="D157" i="8"/>
  <c r="D153" i="8"/>
  <c r="D149" i="8"/>
  <c r="D145" i="8"/>
  <c r="S94" i="9"/>
  <c r="T94" i="9"/>
  <c r="U94" i="9"/>
  <c r="V94" i="9"/>
  <c r="S95" i="9"/>
  <c r="T95" i="9"/>
  <c r="U95" i="9"/>
  <c r="V95" i="9"/>
  <c r="S96" i="9"/>
  <c r="T96" i="9"/>
  <c r="U96" i="9"/>
  <c r="V96" i="9"/>
  <c r="S97" i="9"/>
  <c r="T97" i="9"/>
  <c r="U97" i="9"/>
  <c r="V97" i="9"/>
  <c r="S98" i="9"/>
  <c r="T98" i="9"/>
  <c r="U98" i="9"/>
  <c r="V98" i="9"/>
  <c r="S99" i="9"/>
  <c r="T99" i="9"/>
  <c r="U99" i="9"/>
  <c r="V99" i="9"/>
  <c r="S100" i="9"/>
  <c r="T100" i="9"/>
  <c r="U100" i="9"/>
  <c r="V100" i="9"/>
  <c r="S101" i="9"/>
  <c r="T101" i="9"/>
  <c r="U101" i="9"/>
  <c r="V101" i="9"/>
  <c r="S102" i="9"/>
  <c r="T102" i="9"/>
  <c r="U102" i="9"/>
  <c r="V102" i="9"/>
  <c r="S103" i="9"/>
  <c r="T103" i="9"/>
  <c r="U103" i="9"/>
  <c r="V103" i="9"/>
  <c r="S104" i="9"/>
  <c r="T104" i="9"/>
  <c r="U104" i="9"/>
  <c r="V104" i="9"/>
  <c r="S105" i="9"/>
  <c r="T105" i="9"/>
  <c r="U105" i="9"/>
  <c r="V105" i="9"/>
  <c r="S106" i="9"/>
  <c r="T106" i="9"/>
  <c r="U106" i="9"/>
  <c r="V106" i="9"/>
  <c r="S107" i="9"/>
  <c r="T107" i="9"/>
  <c r="U107" i="9"/>
  <c r="V107" i="9"/>
  <c r="S108" i="9"/>
  <c r="T108" i="9"/>
  <c r="U108" i="9"/>
  <c r="V108" i="9"/>
  <c r="S109" i="9"/>
  <c r="T109" i="9"/>
  <c r="U109" i="9"/>
  <c r="V109" i="9"/>
  <c r="S110" i="9"/>
  <c r="T110" i="9"/>
  <c r="U110" i="9"/>
  <c r="V110" i="9"/>
  <c r="S111" i="9"/>
  <c r="T111" i="9"/>
  <c r="U111" i="9"/>
  <c r="V111" i="9"/>
  <c r="S112" i="9"/>
  <c r="T112" i="9"/>
  <c r="U112" i="9"/>
  <c r="V112" i="9"/>
  <c r="S113" i="9"/>
  <c r="T113" i="9"/>
  <c r="U113" i="9"/>
  <c r="V113" i="9"/>
  <c r="S114" i="9"/>
  <c r="T114" i="9"/>
  <c r="U114" i="9"/>
  <c r="V114" i="9"/>
  <c r="S115" i="9"/>
  <c r="T115" i="9"/>
  <c r="U115" i="9"/>
  <c r="V115" i="9"/>
  <c r="S116" i="9"/>
  <c r="T116" i="9"/>
  <c r="U116" i="9"/>
  <c r="V116" i="9"/>
  <c r="S117" i="9"/>
  <c r="T117" i="9"/>
  <c r="U117" i="9"/>
  <c r="V117" i="9"/>
  <c r="S118" i="9"/>
  <c r="T118" i="9"/>
  <c r="U118" i="9"/>
  <c r="V118" i="9"/>
  <c r="S119" i="9"/>
  <c r="T119" i="9"/>
  <c r="U119" i="9"/>
  <c r="V119" i="9"/>
  <c r="S120" i="9"/>
  <c r="T120" i="9"/>
  <c r="U120" i="9"/>
  <c r="V120" i="9"/>
  <c r="S121" i="9"/>
  <c r="T121" i="9"/>
  <c r="U121" i="9"/>
  <c r="V121" i="9"/>
  <c r="S122" i="9"/>
  <c r="T122" i="9"/>
  <c r="U122" i="9"/>
  <c r="V122" i="9"/>
  <c r="S123" i="9"/>
  <c r="T123" i="9"/>
  <c r="U123" i="9"/>
  <c r="V123" i="9"/>
  <c r="S124" i="9"/>
  <c r="T124" i="9"/>
  <c r="U124" i="9"/>
  <c r="V124" i="9"/>
  <c r="S125" i="9"/>
  <c r="T125" i="9"/>
  <c r="U125" i="9"/>
  <c r="V125" i="9"/>
  <c r="S126" i="9"/>
  <c r="T126" i="9"/>
  <c r="U126" i="9"/>
  <c r="V126" i="9"/>
  <c r="S127" i="9"/>
  <c r="T127" i="9"/>
  <c r="U127" i="9"/>
  <c r="V127" i="9"/>
  <c r="S128" i="9"/>
  <c r="T128" i="9"/>
  <c r="U128" i="9"/>
  <c r="V128" i="9"/>
  <c r="S129" i="9"/>
  <c r="T129" i="9"/>
  <c r="U129" i="9"/>
  <c r="V129" i="9"/>
  <c r="S130" i="9"/>
  <c r="T130" i="9"/>
  <c r="U130" i="9"/>
  <c r="V130" i="9"/>
  <c r="S131" i="9"/>
  <c r="T131" i="9"/>
  <c r="U131" i="9"/>
  <c r="V131" i="9"/>
  <c r="S132" i="9"/>
  <c r="T132" i="9"/>
  <c r="U132" i="9"/>
  <c r="V132" i="9"/>
  <c r="S133" i="9"/>
  <c r="T133" i="9"/>
  <c r="U133" i="9"/>
  <c r="V133" i="9"/>
  <c r="S134" i="9"/>
  <c r="T134" i="9"/>
  <c r="U134" i="9"/>
  <c r="V134" i="9"/>
  <c r="S135" i="9"/>
  <c r="T135" i="9"/>
  <c r="U135" i="9"/>
  <c r="V135" i="9"/>
  <c r="V93" i="9"/>
  <c r="U93" i="9"/>
  <c r="T93" i="9"/>
  <c r="F20" i="22" s="1"/>
  <c r="S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93" i="9"/>
  <c r="G20" i="22" s="1"/>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93" i="9"/>
  <c r="R49" i="9"/>
  <c r="S49" i="9"/>
  <c r="T49" i="9"/>
  <c r="U49" i="9"/>
  <c r="V49" i="9"/>
  <c r="R50" i="9"/>
  <c r="S50" i="9"/>
  <c r="T50" i="9"/>
  <c r="U50" i="9"/>
  <c r="V50" i="9"/>
  <c r="R51" i="9"/>
  <c r="S51" i="9"/>
  <c r="T51" i="9"/>
  <c r="U51" i="9"/>
  <c r="V51" i="9"/>
  <c r="R52" i="9"/>
  <c r="S52" i="9"/>
  <c r="T52" i="9"/>
  <c r="U52" i="9"/>
  <c r="V52" i="9"/>
  <c r="X52" i="9" s="1"/>
  <c r="R53" i="9"/>
  <c r="S53" i="9"/>
  <c r="T53" i="9"/>
  <c r="U53" i="9"/>
  <c r="V53" i="9"/>
  <c r="R54" i="9"/>
  <c r="S54" i="9"/>
  <c r="T54" i="9"/>
  <c r="U54" i="9"/>
  <c r="V54" i="9"/>
  <c r="R55" i="9"/>
  <c r="S55" i="9"/>
  <c r="T55" i="9"/>
  <c r="U55" i="9"/>
  <c r="V55" i="9"/>
  <c r="R56" i="9"/>
  <c r="S56" i="9"/>
  <c r="T56" i="9"/>
  <c r="U56" i="9"/>
  <c r="V56" i="9"/>
  <c r="R57" i="9"/>
  <c r="S57" i="9"/>
  <c r="T57" i="9"/>
  <c r="U57" i="9"/>
  <c r="V57" i="9"/>
  <c r="R58" i="9"/>
  <c r="S58" i="9"/>
  <c r="T58" i="9"/>
  <c r="U58" i="9"/>
  <c r="V58" i="9"/>
  <c r="X58" i="9" s="1"/>
  <c r="R59" i="9"/>
  <c r="S59" i="9"/>
  <c r="T59" i="9"/>
  <c r="U59" i="9"/>
  <c r="V59" i="9"/>
  <c r="R60" i="9"/>
  <c r="S60" i="9"/>
  <c r="T60" i="9"/>
  <c r="U60" i="9"/>
  <c r="V60" i="9"/>
  <c r="X60" i="9" s="1"/>
  <c r="R61" i="9"/>
  <c r="S61" i="9"/>
  <c r="T61" i="9"/>
  <c r="U61" i="9"/>
  <c r="V61" i="9"/>
  <c r="R62" i="9"/>
  <c r="S62" i="9"/>
  <c r="T62" i="9"/>
  <c r="U62" i="9"/>
  <c r="V62" i="9"/>
  <c r="R63" i="9"/>
  <c r="S63" i="9"/>
  <c r="T63" i="9"/>
  <c r="U63" i="9"/>
  <c r="V63" i="9"/>
  <c r="R64" i="9"/>
  <c r="S64" i="9"/>
  <c r="T64" i="9"/>
  <c r="U64" i="9"/>
  <c r="V64" i="9"/>
  <c r="R65" i="9"/>
  <c r="S65" i="9"/>
  <c r="T65" i="9"/>
  <c r="U65" i="9"/>
  <c r="V65" i="9"/>
  <c r="R66" i="9"/>
  <c r="S66" i="9"/>
  <c r="T66" i="9"/>
  <c r="U66" i="9"/>
  <c r="V66" i="9"/>
  <c r="X66" i="9" s="1"/>
  <c r="R67" i="9"/>
  <c r="S67" i="9"/>
  <c r="T67" i="9"/>
  <c r="U67" i="9"/>
  <c r="V67" i="9"/>
  <c r="R68" i="9"/>
  <c r="S68" i="9"/>
  <c r="T68" i="9"/>
  <c r="U68" i="9"/>
  <c r="V68" i="9"/>
  <c r="R69" i="9"/>
  <c r="S69" i="9"/>
  <c r="T69" i="9"/>
  <c r="U69" i="9"/>
  <c r="V69" i="9"/>
  <c r="R70" i="9"/>
  <c r="S70" i="9"/>
  <c r="T70" i="9"/>
  <c r="U70" i="9"/>
  <c r="V70" i="9"/>
  <c r="R71" i="9"/>
  <c r="S71" i="9"/>
  <c r="T71" i="9"/>
  <c r="U71" i="9"/>
  <c r="V71" i="9"/>
  <c r="R72" i="9"/>
  <c r="S72" i="9"/>
  <c r="T72" i="9"/>
  <c r="U72" i="9"/>
  <c r="V72" i="9"/>
  <c r="R73" i="9"/>
  <c r="S73" i="9"/>
  <c r="T73" i="9"/>
  <c r="U73" i="9"/>
  <c r="V73" i="9"/>
  <c r="R74" i="9"/>
  <c r="S74" i="9"/>
  <c r="T74" i="9"/>
  <c r="U74" i="9"/>
  <c r="V74" i="9"/>
  <c r="X74" i="9" s="1"/>
  <c r="R75" i="9"/>
  <c r="S75" i="9"/>
  <c r="T75" i="9"/>
  <c r="U75" i="9"/>
  <c r="V75" i="9"/>
  <c r="R76" i="9"/>
  <c r="S76" i="9"/>
  <c r="T76" i="9"/>
  <c r="U76" i="9"/>
  <c r="V76" i="9"/>
  <c r="R77" i="9"/>
  <c r="S77" i="9"/>
  <c r="T77" i="9"/>
  <c r="U77" i="9"/>
  <c r="V77" i="9"/>
  <c r="R78" i="9"/>
  <c r="S78" i="9"/>
  <c r="T78" i="9"/>
  <c r="U78" i="9"/>
  <c r="V78" i="9"/>
  <c r="R79" i="9"/>
  <c r="S79" i="9"/>
  <c r="T79" i="9"/>
  <c r="U79" i="9"/>
  <c r="V79" i="9"/>
  <c r="R80" i="9"/>
  <c r="S80" i="9"/>
  <c r="T80" i="9"/>
  <c r="U80" i="9"/>
  <c r="V80" i="9"/>
  <c r="R81" i="9"/>
  <c r="S81" i="9"/>
  <c r="T81" i="9"/>
  <c r="U81" i="9"/>
  <c r="V81" i="9"/>
  <c r="R82" i="9"/>
  <c r="S82" i="9"/>
  <c r="T82" i="9"/>
  <c r="U82" i="9"/>
  <c r="V82" i="9"/>
  <c r="X82" i="9" s="1"/>
  <c r="R83" i="9"/>
  <c r="S83" i="9"/>
  <c r="T83" i="9"/>
  <c r="U83" i="9"/>
  <c r="V83" i="9"/>
  <c r="R84" i="9"/>
  <c r="S84" i="9"/>
  <c r="T84" i="9"/>
  <c r="U84" i="9"/>
  <c r="V84" i="9"/>
  <c r="X84" i="9" s="1"/>
  <c r="R85" i="9"/>
  <c r="S85" i="9"/>
  <c r="T85" i="9"/>
  <c r="U85" i="9"/>
  <c r="V85" i="9"/>
  <c r="R86" i="9"/>
  <c r="S86" i="9"/>
  <c r="T86" i="9"/>
  <c r="U86" i="9"/>
  <c r="V86" i="9"/>
  <c r="R87" i="9"/>
  <c r="S87" i="9"/>
  <c r="T87" i="9"/>
  <c r="U87" i="9"/>
  <c r="V87" i="9"/>
  <c r="R88" i="9"/>
  <c r="S88" i="9"/>
  <c r="T88" i="9"/>
  <c r="U88" i="9"/>
  <c r="V88" i="9"/>
  <c r="R89" i="9"/>
  <c r="S89" i="9"/>
  <c r="T89" i="9"/>
  <c r="U89" i="9"/>
  <c r="V89" i="9"/>
  <c r="R90" i="9"/>
  <c r="S90" i="9"/>
  <c r="T90" i="9"/>
  <c r="U90" i="9"/>
  <c r="V90" i="9"/>
  <c r="X90" i="9" s="1"/>
  <c r="V48" i="9"/>
  <c r="U48" i="9"/>
  <c r="T48" i="9"/>
  <c r="F19" i="22" s="1"/>
  <c r="S48" i="9"/>
  <c r="R48" i="9"/>
  <c r="C42" i="8"/>
  <c r="J42" i="8"/>
  <c r="C90" i="9"/>
  <c r="V94" i="8"/>
  <c r="V95" i="8"/>
  <c r="V96" i="8"/>
  <c r="V97" i="8"/>
  <c r="V98" i="8"/>
  <c r="V99" i="8"/>
  <c r="V100" i="8"/>
  <c r="V101" i="8"/>
  <c r="V102" i="8"/>
  <c r="V103" i="8"/>
  <c r="V104" i="8"/>
  <c r="V105" i="8"/>
  <c r="V106" i="8"/>
  <c r="V107" i="8"/>
  <c r="V108" i="8"/>
  <c r="V109" i="8"/>
  <c r="V110" i="8"/>
  <c r="V111" i="8"/>
  <c r="V112" i="8"/>
  <c r="V113" i="8"/>
  <c r="V114" i="8"/>
  <c r="V115" i="8"/>
  <c r="V116" i="8"/>
  <c r="V117" i="8"/>
  <c r="V118" i="8"/>
  <c r="V119" i="8"/>
  <c r="V120" i="8"/>
  <c r="V121" i="8"/>
  <c r="V122" i="8"/>
  <c r="V123" i="8"/>
  <c r="V124" i="8"/>
  <c r="V125" i="8"/>
  <c r="V126" i="8"/>
  <c r="V127" i="8"/>
  <c r="V128" i="8"/>
  <c r="V129" i="8"/>
  <c r="V130" i="8"/>
  <c r="V131" i="8"/>
  <c r="V132" i="8"/>
  <c r="V93" i="8"/>
  <c r="U94" i="8"/>
  <c r="U95" i="8"/>
  <c r="U96" i="8"/>
  <c r="U97" i="8"/>
  <c r="U98" i="8"/>
  <c r="U99" i="8"/>
  <c r="U100" i="8"/>
  <c r="U101" i="8"/>
  <c r="U102" i="8"/>
  <c r="U103" i="8"/>
  <c r="U104" i="8"/>
  <c r="U105" i="8"/>
  <c r="U106" i="8"/>
  <c r="U107" i="8"/>
  <c r="U108" i="8"/>
  <c r="U109" i="8"/>
  <c r="U110" i="8"/>
  <c r="U111" i="8"/>
  <c r="U112" i="8"/>
  <c r="U113" i="8"/>
  <c r="U114" i="8"/>
  <c r="U115" i="8"/>
  <c r="U116" i="8"/>
  <c r="U117" i="8"/>
  <c r="U118" i="8"/>
  <c r="U119" i="8"/>
  <c r="U120" i="8"/>
  <c r="U121" i="8"/>
  <c r="U122" i="8"/>
  <c r="U123" i="8"/>
  <c r="U124" i="8"/>
  <c r="U125" i="8"/>
  <c r="U126" i="8"/>
  <c r="U127" i="8"/>
  <c r="U128" i="8"/>
  <c r="U129" i="8"/>
  <c r="U130" i="8"/>
  <c r="U131" i="8"/>
  <c r="U132" i="8"/>
  <c r="U93" i="8"/>
  <c r="T94" i="8"/>
  <c r="T95" i="8"/>
  <c r="T96" i="8"/>
  <c r="T97" i="8"/>
  <c r="T98" i="8"/>
  <c r="T99" i="8"/>
  <c r="T100" i="8"/>
  <c r="T101" i="8"/>
  <c r="T102" i="8"/>
  <c r="T103" i="8"/>
  <c r="T104" i="8"/>
  <c r="T105" i="8"/>
  <c r="T106" i="8"/>
  <c r="T107" i="8"/>
  <c r="T108" i="8"/>
  <c r="T109" i="8"/>
  <c r="T110" i="8"/>
  <c r="T111" i="8"/>
  <c r="T112" i="8"/>
  <c r="T113" i="8"/>
  <c r="T114" i="8"/>
  <c r="T115" i="8"/>
  <c r="T116" i="8"/>
  <c r="T117" i="8"/>
  <c r="T118" i="8"/>
  <c r="T119" i="8"/>
  <c r="T120" i="8"/>
  <c r="T121" i="8"/>
  <c r="T122" i="8"/>
  <c r="T123" i="8"/>
  <c r="T124" i="8"/>
  <c r="T125" i="8"/>
  <c r="T126" i="8"/>
  <c r="T127" i="8"/>
  <c r="T128" i="8"/>
  <c r="T129" i="8"/>
  <c r="T130" i="8"/>
  <c r="T131" i="8"/>
  <c r="T132" i="8"/>
  <c r="T93" i="8"/>
  <c r="F5" i="22" s="1"/>
  <c r="S94" i="8"/>
  <c r="S95" i="8"/>
  <c r="S96" i="8"/>
  <c r="S97" i="8"/>
  <c r="S98" i="8"/>
  <c r="S99" i="8"/>
  <c r="S100" i="8"/>
  <c r="S101" i="8"/>
  <c r="S102" i="8"/>
  <c r="S103" i="8"/>
  <c r="S104" i="8"/>
  <c r="S105" i="8"/>
  <c r="S106" i="8"/>
  <c r="S107" i="8"/>
  <c r="S108" i="8"/>
  <c r="S109" i="8"/>
  <c r="S110" i="8"/>
  <c r="S111" i="8"/>
  <c r="S112" i="8"/>
  <c r="S113" i="8"/>
  <c r="S114" i="8"/>
  <c r="S115" i="8"/>
  <c r="S116" i="8"/>
  <c r="S117" i="8"/>
  <c r="S118" i="8"/>
  <c r="S119" i="8"/>
  <c r="S120" i="8"/>
  <c r="S121" i="8"/>
  <c r="S122" i="8"/>
  <c r="S123" i="8"/>
  <c r="S124" i="8"/>
  <c r="S125" i="8"/>
  <c r="S126" i="8"/>
  <c r="S127" i="8"/>
  <c r="S128" i="8"/>
  <c r="S129" i="8"/>
  <c r="S130" i="8"/>
  <c r="S131" i="8"/>
  <c r="S132" i="8"/>
  <c r="S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93"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48" i="8"/>
  <c r="U49" i="8"/>
  <c r="U50" i="8"/>
  <c r="U51" i="8"/>
  <c r="U52" i="8"/>
  <c r="U53" i="8"/>
  <c r="U54" i="8"/>
  <c r="U55" i="8"/>
  <c r="U56" i="8"/>
  <c r="U57" i="8"/>
  <c r="U58" i="8"/>
  <c r="U59" i="8"/>
  <c r="U60" i="8"/>
  <c r="U61" i="8"/>
  <c r="U62" i="8"/>
  <c r="U63" i="8"/>
  <c r="U64" i="8"/>
  <c r="U65" i="8"/>
  <c r="U66" i="8"/>
  <c r="U67" i="8"/>
  <c r="U68" i="8"/>
  <c r="U69" i="8"/>
  <c r="U70" i="8"/>
  <c r="U71" i="8"/>
  <c r="U72" i="8"/>
  <c r="U73" i="8"/>
  <c r="U74" i="8"/>
  <c r="U75" i="8"/>
  <c r="U76" i="8"/>
  <c r="U77" i="8"/>
  <c r="U78" i="8"/>
  <c r="U79" i="8"/>
  <c r="U80" i="8"/>
  <c r="U81" i="8"/>
  <c r="U82" i="8"/>
  <c r="U83" i="8"/>
  <c r="U84" i="8"/>
  <c r="U85" i="8"/>
  <c r="U86" i="8"/>
  <c r="U87" i="8"/>
  <c r="U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48" i="8"/>
  <c r="F4" i="22" s="1"/>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E7" i="22" s="1"/>
  <c r="L84" i="8"/>
  <c r="L85" i="8"/>
  <c r="L86" i="8"/>
  <c r="L87" i="8"/>
  <c r="L48" i="8"/>
  <c r="C23" i="22" l="1"/>
  <c r="O9" i="25"/>
  <c r="I20" i="22"/>
  <c r="E20" i="22"/>
  <c r="H20" i="22"/>
  <c r="H19" i="22"/>
  <c r="E4" i="22"/>
  <c r="I4" i="22"/>
  <c r="G4" i="22"/>
  <c r="H4" i="22"/>
  <c r="E5" i="22"/>
  <c r="I5" i="22"/>
  <c r="G5" i="22"/>
  <c r="H5" i="22"/>
  <c r="X67" i="9"/>
  <c r="X51" i="9"/>
  <c r="X126" i="8"/>
  <c r="X87" i="9"/>
  <c r="X71" i="9"/>
  <c r="X63" i="9"/>
  <c r="X85" i="9"/>
  <c r="X77" i="9"/>
  <c r="X69" i="9"/>
  <c r="X61" i="9"/>
  <c r="X53" i="9"/>
  <c r="X86" i="9"/>
  <c r="X78" i="9"/>
  <c r="X70" i="9"/>
  <c r="X62" i="9"/>
  <c r="X68" i="9"/>
  <c r="X50" i="9"/>
  <c r="X79" i="9"/>
  <c r="X76" i="9"/>
  <c r="X59" i="9"/>
  <c r="X134" i="9"/>
  <c r="X48" i="9"/>
  <c r="X132" i="9"/>
  <c r="X128" i="9"/>
  <c r="X126" i="9"/>
  <c r="X124" i="9"/>
  <c r="X120" i="9"/>
  <c r="X118" i="9"/>
  <c r="X116" i="9"/>
  <c r="X112" i="9"/>
  <c r="X110" i="9"/>
  <c r="X108" i="9"/>
  <c r="X104" i="9"/>
  <c r="X102" i="9"/>
  <c r="X93" i="9"/>
  <c r="J20" i="22" s="1"/>
  <c r="X135" i="9"/>
  <c r="X131" i="9"/>
  <c r="X127" i="9"/>
  <c r="X123" i="9"/>
  <c r="X119" i="9"/>
  <c r="X115" i="9"/>
  <c r="X111" i="9"/>
  <c r="X107" i="9"/>
  <c r="X103" i="9"/>
  <c r="X100" i="9"/>
  <c r="X99" i="9"/>
  <c r="X96" i="9"/>
  <c r="X95" i="9"/>
  <c r="X127" i="8"/>
  <c r="X111" i="8"/>
  <c r="X81" i="8"/>
  <c r="X73" i="8"/>
  <c r="X65" i="8"/>
  <c r="X57" i="8"/>
  <c r="X49" i="8"/>
  <c r="X103" i="8"/>
  <c r="X119" i="8"/>
  <c r="X95" i="8"/>
  <c r="X72" i="8"/>
  <c r="X84" i="8"/>
  <c r="X60" i="8"/>
  <c r="X83" i="8"/>
  <c r="X75" i="8"/>
  <c r="X67" i="8"/>
  <c r="X59" i="8"/>
  <c r="X51" i="8"/>
  <c r="X129" i="8"/>
  <c r="X121" i="8"/>
  <c r="X113" i="8"/>
  <c r="X105" i="8"/>
  <c r="X97" i="8"/>
  <c r="X54" i="9"/>
  <c r="X48" i="8"/>
  <c r="J4" i="22" s="1"/>
  <c r="X64" i="8"/>
  <c r="X68" i="8"/>
  <c r="X82" i="8"/>
  <c r="X74" i="8"/>
  <c r="X66" i="8"/>
  <c r="X58" i="8"/>
  <c r="X50" i="8"/>
  <c r="X128" i="8"/>
  <c r="X120" i="8"/>
  <c r="X112" i="8"/>
  <c r="X104" i="8"/>
  <c r="X96" i="8"/>
  <c r="X89" i="9"/>
  <c r="X81" i="9"/>
  <c r="X73" i="9"/>
  <c r="X65" i="9"/>
  <c r="X57" i="9"/>
  <c r="X49" i="9"/>
  <c r="X55" i="9"/>
  <c r="X133" i="9"/>
  <c r="X129" i="9"/>
  <c r="X125" i="9"/>
  <c r="X121" i="9"/>
  <c r="X117" i="9"/>
  <c r="X113" i="9"/>
  <c r="X109" i="9"/>
  <c r="X105" i="9"/>
  <c r="X101" i="9"/>
  <c r="X97" i="9"/>
  <c r="X80" i="8"/>
  <c r="X118" i="8"/>
  <c r="X110" i="8"/>
  <c r="X94" i="8"/>
  <c r="X87" i="8"/>
  <c r="X79" i="8"/>
  <c r="X71" i="8"/>
  <c r="X63" i="8"/>
  <c r="X55" i="8"/>
  <c r="X93" i="8"/>
  <c r="J5" i="22" s="1"/>
  <c r="X125" i="8"/>
  <c r="X117" i="8"/>
  <c r="X109" i="8"/>
  <c r="X101" i="8"/>
  <c r="X102" i="8"/>
  <c r="X86" i="8"/>
  <c r="X78" i="8"/>
  <c r="X70" i="8"/>
  <c r="X62" i="8"/>
  <c r="X54" i="8"/>
  <c r="X132" i="8"/>
  <c r="X124" i="8"/>
  <c r="X116" i="8"/>
  <c r="X108" i="8"/>
  <c r="X100" i="8"/>
  <c r="X85" i="8"/>
  <c r="X77" i="8"/>
  <c r="X69" i="8"/>
  <c r="X61" i="8"/>
  <c r="X53" i="8"/>
  <c r="X131" i="8"/>
  <c r="X123" i="8"/>
  <c r="X115" i="8"/>
  <c r="X107" i="8"/>
  <c r="X99" i="8"/>
  <c r="X88" i="9"/>
  <c r="X80" i="9"/>
  <c r="X72" i="9"/>
  <c r="X64" i="9"/>
  <c r="X56" i="9"/>
  <c r="X56" i="8"/>
  <c r="X76" i="8"/>
  <c r="X52" i="8"/>
  <c r="X130" i="8"/>
  <c r="X122" i="8"/>
  <c r="X114" i="8"/>
  <c r="X106" i="8"/>
  <c r="X98" i="8"/>
  <c r="X83" i="9"/>
  <c r="X75" i="9"/>
  <c r="X130" i="9"/>
  <c r="X122" i="9"/>
  <c r="X114" i="9"/>
  <c r="X106" i="9"/>
  <c r="X98" i="9"/>
  <c r="X94" i="9"/>
  <c r="N49" i="9"/>
  <c r="O49" i="9" s="1"/>
  <c r="N50" i="9"/>
  <c r="O50" i="9" s="1"/>
  <c r="N51" i="9"/>
  <c r="O51" i="9" s="1"/>
  <c r="N52" i="9"/>
  <c r="O52" i="9" s="1"/>
  <c r="N53" i="9"/>
  <c r="O53" i="9" s="1"/>
  <c r="N54" i="9"/>
  <c r="O54" i="9" s="1"/>
  <c r="N55" i="9"/>
  <c r="O55" i="9" s="1"/>
  <c r="N56" i="9"/>
  <c r="O56" i="9" s="1"/>
  <c r="N57" i="9"/>
  <c r="O57" i="9" s="1"/>
  <c r="N58" i="9"/>
  <c r="O58" i="9" s="1"/>
  <c r="N59" i="9"/>
  <c r="O59" i="9" s="1"/>
  <c r="N60" i="9"/>
  <c r="O60" i="9" s="1"/>
  <c r="N61" i="9"/>
  <c r="O61" i="9" s="1"/>
  <c r="N62" i="9"/>
  <c r="O62" i="9" s="1"/>
  <c r="N63" i="9"/>
  <c r="O63" i="9" s="1"/>
  <c r="N64" i="9"/>
  <c r="O64" i="9" s="1"/>
  <c r="N65" i="9"/>
  <c r="O65" i="9" s="1"/>
  <c r="N66" i="9"/>
  <c r="O66" i="9" s="1"/>
  <c r="N67" i="9"/>
  <c r="O67" i="9" s="1"/>
  <c r="N68" i="9"/>
  <c r="O68" i="9" s="1"/>
  <c r="N69" i="9"/>
  <c r="O69" i="9" s="1"/>
  <c r="N70" i="9"/>
  <c r="O70" i="9" s="1"/>
  <c r="N71" i="9"/>
  <c r="O71" i="9" s="1"/>
  <c r="N72" i="9"/>
  <c r="O72" i="9" s="1"/>
  <c r="N73" i="9"/>
  <c r="O73" i="9" s="1"/>
  <c r="N74" i="9"/>
  <c r="O74" i="9" s="1"/>
  <c r="N75" i="9"/>
  <c r="O75" i="9" s="1"/>
  <c r="N76" i="9"/>
  <c r="O76" i="9" s="1"/>
  <c r="N77" i="9"/>
  <c r="O77" i="9" s="1"/>
  <c r="N78" i="9"/>
  <c r="O78" i="9" s="1"/>
  <c r="N79" i="9"/>
  <c r="O79" i="9" s="1"/>
  <c r="N80" i="9"/>
  <c r="O80" i="9" s="1"/>
  <c r="N81" i="9"/>
  <c r="O81" i="9" s="1"/>
  <c r="N82" i="9"/>
  <c r="O82" i="9" s="1"/>
  <c r="N83" i="9"/>
  <c r="O83" i="9" s="1"/>
  <c r="N84" i="9"/>
  <c r="O84" i="9" s="1"/>
  <c r="N85" i="9"/>
  <c r="O85" i="9" s="1"/>
  <c r="N86" i="9"/>
  <c r="O86" i="9" s="1"/>
  <c r="N87" i="9"/>
  <c r="O87" i="9" s="1"/>
  <c r="N88" i="9"/>
  <c r="O88" i="9" s="1"/>
  <c r="N89" i="9"/>
  <c r="O89" i="9" s="1"/>
  <c r="N90" i="9"/>
  <c r="O90" i="9" s="1"/>
  <c r="N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48" i="9"/>
  <c r="G19" i="22" s="1"/>
  <c r="C94" i="9"/>
  <c r="C95" i="9"/>
  <c r="C96" i="9"/>
  <c r="C97"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W90" i="9" s="1"/>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T4" i="9"/>
  <c r="U4" i="9"/>
  <c r="V4" i="9"/>
  <c r="T5" i="9"/>
  <c r="U5" i="9"/>
  <c r="V5" i="9"/>
  <c r="T6" i="9"/>
  <c r="U6" i="9"/>
  <c r="V6" i="9"/>
  <c r="T7" i="9"/>
  <c r="U7" i="9"/>
  <c r="V7" i="9"/>
  <c r="T8" i="9"/>
  <c r="U8" i="9"/>
  <c r="V8" i="9"/>
  <c r="T9" i="9"/>
  <c r="U9" i="9"/>
  <c r="V9" i="9"/>
  <c r="T10" i="9"/>
  <c r="U10" i="9"/>
  <c r="V10" i="9"/>
  <c r="T11" i="9"/>
  <c r="U11" i="9"/>
  <c r="V11" i="9"/>
  <c r="T12" i="9"/>
  <c r="U12" i="9"/>
  <c r="V12" i="9"/>
  <c r="T13" i="9"/>
  <c r="U13" i="9"/>
  <c r="V13" i="9"/>
  <c r="T14" i="9"/>
  <c r="U14" i="9"/>
  <c r="V14" i="9"/>
  <c r="T15" i="9"/>
  <c r="U15" i="9"/>
  <c r="V15" i="9"/>
  <c r="T16" i="9"/>
  <c r="U16" i="9"/>
  <c r="V16" i="9"/>
  <c r="T17" i="9"/>
  <c r="U17" i="9"/>
  <c r="V17" i="9"/>
  <c r="T18" i="9"/>
  <c r="U18" i="9"/>
  <c r="V18" i="9"/>
  <c r="T19" i="9"/>
  <c r="U19" i="9"/>
  <c r="V19" i="9"/>
  <c r="T20" i="9"/>
  <c r="U20" i="9"/>
  <c r="V20" i="9"/>
  <c r="T21" i="9"/>
  <c r="U21" i="9"/>
  <c r="V21" i="9"/>
  <c r="T22" i="9"/>
  <c r="U22" i="9"/>
  <c r="V22" i="9"/>
  <c r="T23" i="9"/>
  <c r="U23" i="9"/>
  <c r="V23" i="9"/>
  <c r="T24" i="9"/>
  <c r="U24" i="9"/>
  <c r="V24" i="9"/>
  <c r="T25" i="9"/>
  <c r="U25" i="9"/>
  <c r="V25" i="9"/>
  <c r="T26" i="9"/>
  <c r="U26" i="9"/>
  <c r="V26" i="9"/>
  <c r="T27" i="9"/>
  <c r="U27" i="9"/>
  <c r="V27" i="9"/>
  <c r="T28" i="9"/>
  <c r="U28" i="9"/>
  <c r="V28" i="9"/>
  <c r="T29" i="9"/>
  <c r="U29" i="9"/>
  <c r="V29" i="9"/>
  <c r="T30" i="9"/>
  <c r="U30" i="9"/>
  <c r="V30" i="9"/>
  <c r="T31" i="9"/>
  <c r="U31" i="9"/>
  <c r="V31" i="9"/>
  <c r="T32" i="9"/>
  <c r="U32" i="9"/>
  <c r="V32" i="9"/>
  <c r="T33" i="9"/>
  <c r="U33" i="9"/>
  <c r="V33" i="9"/>
  <c r="T34" i="9"/>
  <c r="U34" i="9"/>
  <c r="V34" i="9"/>
  <c r="T35" i="9"/>
  <c r="U35" i="9"/>
  <c r="V35" i="9"/>
  <c r="T36" i="9"/>
  <c r="U36" i="9"/>
  <c r="V36" i="9"/>
  <c r="T37" i="9"/>
  <c r="U37" i="9"/>
  <c r="V37" i="9"/>
  <c r="T38" i="9"/>
  <c r="U38" i="9"/>
  <c r="V38" i="9"/>
  <c r="T39" i="9"/>
  <c r="U39" i="9"/>
  <c r="V39" i="9"/>
  <c r="T40" i="9"/>
  <c r="U40" i="9"/>
  <c r="V40" i="9"/>
  <c r="T41" i="9"/>
  <c r="U41" i="9"/>
  <c r="V41" i="9"/>
  <c r="T42" i="9"/>
  <c r="U42" i="9"/>
  <c r="V42" i="9"/>
  <c r="T43" i="9"/>
  <c r="U43" i="9"/>
  <c r="V43" i="9"/>
  <c r="T44" i="9"/>
  <c r="U44" i="9"/>
  <c r="V44" i="9"/>
  <c r="T45" i="9"/>
  <c r="U45" i="9"/>
  <c r="V45"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49" i="9"/>
  <c r="G48" i="9"/>
  <c r="K20" i="22" l="1"/>
  <c r="I19" i="22"/>
  <c r="E19" i="22"/>
  <c r="AC10" i="9"/>
  <c r="AD10" i="9"/>
  <c r="D109" i="9"/>
  <c r="I660" i="17" a="1"/>
  <c r="I660" i="17" s="1"/>
  <c r="G660" i="17" a="1"/>
  <c r="G660" i="17" s="1"/>
  <c r="D99" i="9"/>
  <c r="X45" i="9"/>
  <c r="X44" i="9"/>
  <c r="X42" i="9"/>
  <c r="X41" i="9"/>
  <c r="X38" i="9"/>
  <c r="X37" i="9"/>
  <c r="X36" i="9"/>
  <c r="X34" i="9"/>
  <c r="X33" i="9"/>
  <c r="X30" i="9"/>
  <c r="X29" i="9"/>
  <c r="X28" i="9"/>
  <c r="X26" i="9"/>
  <c r="X25" i="9"/>
  <c r="X22" i="9"/>
  <c r="X21" i="9"/>
  <c r="X20" i="9"/>
  <c r="X18" i="9"/>
  <c r="X17" i="9"/>
  <c r="X14" i="9"/>
  <c r="X13" i="9"/>
  <c r="X12" i="9"/>
  <c r="X10" i="9"/>
  <c r="X6" i="9"/>
  <c r="X4" i="9"/>
  <c r="D135" i="9"/>
  <c r="D117" i="9"/>
  <c r="D127" i="9"/>
  <c r="D119" i="9"/>
  <c r="D111" i="9"/>
  <c r="D103" i="9"/>
  <c r="D95" i="9"/>
  <c r="D125" i="9"/>
  <c r="X43" i="9"/>
  <c r="D134" i="9"/>
  <c r="D126" i="9"/>
  <c r="D118" i="9"/>
  <c r="D110" i="9"/>
  <c r="D102" i="9"/>
  <c r="D94" i="9"/>
  <c r="X8" i="9"/>
  <c r="J19" i="22" s="1"/>
  <c r="D132" i="9"/>
  <c r="D124" i="9"/>
  <c r="D116" i="9"/>
  <c r="D108" i="9"/>
  <c r="D100" i="9"/>
  <c r="D131" i="9"/>
  <c r="D123" i="9"/>
  <c r="D115" i="9"/>
  <c r="D107" i="9"/>
  <c r="X40" i="9"/>
  <c r="X32" i="9"/>
  <c r="X24" i="9"/>
  <c r="D130" i="9"/>
  <c r="D122" i="9"/>
  <c r="D114" i="9"/>
  <c r="D106" i="9"/>
  <c r="D98" i="9"/>
  <c r="D133" i="9"/>
  <c r="X16" i="9"/>
  <c r="D129" i="9"/>
  <c r="D121" i="9"/>
  <c r="D113" i="9"/>
  <c r="D105" i="9"/>
  <c r="D97" i="9"/>
  <c r="D101" i="9"/>
  <c r="X39" i="9"/>
  <c r="X35" i="9"/>
  <c r="X31" i="9"/>
  <c r="X27" i="9"/>
  <c r="X23" i="9"/>
  <c r="X19" i="9"/>
  <c r="X15" i="9"/>
  <c r="X11" i="9"/>
  <c r="X9" i="9"/>
  <c r="X7" i="9"/>
  <c r="X5" i="9"/>
  <c r="D93" i="9"/>
  <c r="D128" i="9"/>
  <c r="D120" i="9"/>
  <c r="D112" i="9"/>
  <c r="D104" i="9"/>
  <c r="D96" i="9"/>
  <c r="F12" i="10"/>
  <c r="I12" i="10"/>
  <c r="H12" i="10"/>
  <c r="G12" i="10"/>
  <c r="E12" i="10"/>
  <c r="V3" i="9"/>
  <c r="Q660" i="17" s="1" a="1"/>
  <c r="Q660" i="17" s="1"/>
  <c r="U3" i="9"/>
  <c r="T3" i="9"/>
  <c r="N660" i="17" a="1"/>
  <c r="N660" i="17" s="1"/>
  <c r="R3" i="9"/>
  <c r="M660" i="17" l="1" a="1"/>
  <c r="M660" i="17" s="1"/>
  <c r="G18" i="22"/>
  <c r="O660" i="17" a="1"/>
  <c r="O660" i="17" s="1"/>
  <c r="F18" i="22"/>
  <c r="P660" i="17" a="1"/>
  <c r="P660" i="17" s="1"/>
  <c r="H18" i="22"/>
  <c r="X3" i="9"/>
  <c r="C49" i="8"/>
  <c r="O636" i="9"/>
  <c r="O640" i="9"/>
  <c r="O644" i="9"/>
  <c r="O648" i="9"/>
  <c r="O652" i="9"/>
  <c r="O660" i="9"/>
  <c r="O664" i="9"/>
  <c r="O668" i="9"/>
  <c r="O672"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O675" i="9"/>
  <c r="M675" i="9"/>
  <c r="J675" i="9"/>
  <c r="G675" i="9"/>
  <c r="O674" i="9"/>
  <c r="M674" i="9"/>
  <c r="J674" i="9"/>
  <c r="G674" i="9"/>
  <c r="O673" i="9"/>
  <c r="M673" i="9"/>
  <c r="J673" i="9"/>
  <c r="G673" i="9"/>
  <c r="M672" i="9"/>
  <c r="J672" i="9"/>
  <c r="G672" i="9"/>
  <c r="O671" i="9"/>
  <c r="M671" i="9"/>
  <c r="J671" i="9"/>
  <c r="G671" i="9"/>
  <c r="O670" i="9"/>
  <c r="M670" i="9"/>
  <c r="J670" i="9"/>
  <c r="G670" i="9"/>
  <c r="O669" i="9"/>
  <c r="M669" i="9"/>
  <c r="J669" i="9"/>
  <c r="G669" i="9"/>
  <c r="M668" i="9"/>
  <c r="J668" i="9"/>
  <c r="G668" i="9"/>
  <c r="O667" i="9"/>
  <c r="M667" i="9"/>
  <c r="J667" i="9"/>
  <c r="G667" i="9"/>
  <c r="O666" i="9"/>
  <c r="M666" i="9"/>
  <c r="J666" i="9"/>
  <c r="G666" i="9"/>
  <c r="O665" i="9"/>
  <c r="M665" i="9"/>
  <c r="J665" i="9"/>
  <c r="G665" i="9"/>
  <c r="M664" i="9"/>
  <c r="J664" i="9"/>
  <c r="G664" i="9"/>
  <c r="O663" i="9"/>
  <c r="M663" i="9"/>
  <c r="J663" i="9"/>
  <c r="G663" i="9"/>
  <c r="O662" i="9"/>
  <c r="M662" i="9"/>
  <c r="J662" i="9"/>
  <c r="G662" i="9"/>
  <c r="O661" i="9"/>
  <c r="M661" i="9"/>
  <c r="J661" i="9"/>
  <c r="G661" i="9"/>
  <c r="M660" i="9"/>
  <c r="J660" i="9"/>
  <c r="G660" i="9"/>
  <c r="O659" i="9"/>
  <c r="M659" i="9"/>
  <c r="J659" i="9"/>
  <c r="G659" i="9"/>
  <c r="O658" i="9"/>
  <c r="M658" i="9"/>
  <c r="J658" i="9"/>
  <c r="G658" i="9"/>
  <c r="O657" i="9"/>
  <c r="M657" i="9"/>
  <c r="J657" i="9"/>
  <c r="G657" i="9"/>
  <c r="O656" i="9"/>
  <c r="M656" i="9"/>
  <c r="J656" i="9"/>
  <c r="G656" i="9"/>
  <c r="O655" i="9"/>
  <c r="M655" i="9"/>
  <c r="J655" i="9"/>
  <c r="G655" i="9"/>
  <c r="O654" i="9"/>
  <c r="M654" i="9"/>
  <c r="J654" i="9"/>
  <c r="G654" i="9"/>
  <c r="O653" i="9"/>
  <c r="M653" i="9"/>
  <c r="J653" i="9"/>
  <c r="G653" i="9"/>
  <c r="M652" i="9"/>
  <c r="J652" i="9"/>
  <c r="G652" i="9"/>
  <c r="O651" i="9"/>
  <c r="M651" i="9"/>
  <c r="J651" i="9"/>
  <c r="G651" i="9"/>
  <c r="O650" i="9"/>
  <c r="M650" i="9"/>
  <c r="J650" i="9"/>
  <c r="G650" i="9"/>
  <c r="O649" i="9"/>
  <c r="M649" i="9"/>
  <c r="J649" i="9"/>
  <c r="G649" i="9"/>
  <c r="M648" i="9"/>
  <c r="J648" i="9"/>
  <c r="G648" i="9"/>
  <c r="O647" i="9"/>
  <c r="M647" i="9"/>
  <c r="J647" i="9"/>
  <c r="G647" i="9"/>
  <c r="O646" i="9"/>
  <c r="M646" i="9"/>
  <c r="J646" i="9"/>
  <c r="G646" i="9"/>
  <c r="O645" i="9"/>
  <c r="M645" i="9"/>
  <c r="J645" i="9"/>
  <c r="G645" i="9"/>
  <c r="M644" i="9"/>
  <c r="J644" i="9"/>
  <c r="G644" i="9"/>
  <c r="O643" i="9"/>
  <c r="M643" i="9"/>
  <c r="J643" i="9"/>
  <c r="G643" i="9"/>
  <c r="O642" i="9"/>
  <c r="M642" i="9"/>
  <c r="J642" i="9"/>
  <c r="G642" i="9"/>
  <c r="O641" i="9"/>
  <c r="M641" i="9"/>
  <c r="J641" i="9"/>
  <c r="G641" i="9"/>
  <c r="M640" i="9"/>
  <c r="J640" i="9"/>
  <c r="G640" i="9"/>
  <c r="O639" i="9"/>
  <c r="M639" i="9"/>
  <c r="J639" i="9"/>
  <c r="G639" i="9"/>
  <c r="O638" i="9"/>
  <c r="M638" i="9"/>
  <c r="J638" i="9"/>
  <c r="G638" i="9"/>
  <c r="O637" i="9"/>
  <c r="M637" i="9"/>
  <c r="J637" i="9"/>
  <c r="G637" i="9"/>
  <c r="M636" i="9"/>
  <c r="J636" i="9"/>
  <c r="G636" i="9"/>
  <c r="O635" i="9"/>
  <c r="M635" i="9"/>
  <c r="J635" i="9"/>
  <c r="G635" i="9"/>
  <c r="O634" i="9"/>
  <c r="M634" i="9"/>
  <c r="J634" i="9"/>
  <c r="G634" i="9"/>
  <c r="O633" i="9"/>
  <c r="M633" i="9"/>
  <c r="W633" i="9" s="1"/>
  <c r="J633" i="9"/>
  <c r="G633" i="9"/>
  <c r="O625" i="8"/>
  <c r="O626" i="8"/>
  <c r="O627" i="8"/>
  <c r="O628" i="8"/>
  <c r="O629" i="8"/>
  <c r="O630" i="8"/>
  <c r="O631" i="8"/>
  <c r="O632" i="8"/>
  <c r="O633" i="8"/>
  <c r="O634" i="8"/>
  <c r="O635" i="8"/>
  <c r="O636" i="8"/>
  <c r="O637" i="8"/>
  <c r="O638" i="8"/>
  <c r="O639" i="8"/>
  <c r="O640" i="8"/>
  <c r="O641" i="8"/>
  <c r="O642" i="8"/>
  <c r="O643" i="8"/>
  <c r="O644" i="8"/>
  <c r="O645" i="8"/>
  <c r="O646" i="8"/>
  <c r="O647" i="8"/>
  <c r="O648" i="8"/>
  <c r="O649" i="8"/>
  <c r="O650" i="8"/>
  <c r="O651" i="8"/>
  <c r="O652" i="8"/>
  <c r="O653" i="8"/>
  <c r="O654" i="8"/>
  <c r="O655" i="8"/>
  <c r="O656" i="8"/>
  <c r="O657" i="8"/>
  <c r="O658" i="8"/>
  <c r="O659" i="8"/>
  <c r="O660" i="8"/>
  <c r="O661" i="8"/>
  <c r="O662" i="8"/>
  <c r="O663" i="8"/>
  <c r="O624" i="8"/>
  <c r="C625" i="8"/>
  <c r="W625" i="8" s="1"/>
  <c r="C626" i="8"/>
  <c r="W626" i="8" s="1"/>
  <c r="C627" i="8"/>
  <c r="W627" i="8" s="1"/>
  <c r="C628" i="8"/>
  <c r="W628" i="8" s="1"/>
  <c r="C629" i="8"/>
  <c r="W629" i="8" s="1"/>
  <c r="C630" i="8"/>
  <c r="W630" i="8" s="1"/>
  <c r="C631" i="8"/>
  <c r="W631" i="8" s="1"/>
  <c r="C632" i="8"/>
  <c r="W632" i="8" s="1"/>
  <c r="C633" i="8"/>
  <c r="W633" i="8" s="1"/>
  <c r="C634" i="8"/>
  <c r="W634" i="8" s="1"/>
  <c r="C635" i="8"/>
  <c r="W635" i="8" s="1"/>
  <c r="C636" i="8"/>
  <c r="W636" i="8" s="1"/>
  <c r="C637" i="8"/>
  <c r="W637" i="8" s="1"/>
  <c r="C638" i="8"/>
  <c r="C639" i="8"/>
  <c r="W639" i="8" s="1"/>
  <c r="C640" i="8"/>
  <c r="W640" i="8" s="1"/>
  <c r="C641" i="8"/>
  <c r="W641" i="8" s="1"/>
  <c r="C642" i="8"/>
  <c r="W642" i="8" s="1"/>
  <c r="C643" i="8"/>
  <c r="W643" i="8" s="1"/>
  <c r="C644" i="8"/>
  <c r="W644" i="8" s="1"/>
  <c r="C645" i="8"/>
  <c r="W645" i="8" s="1"/>
  <c r="C646" i="8"/>
  <c r="W646" i="8" s="1"/>
  <c r="C647" i="8"/>
  <c r="W647" i="8" s="1"/>
  <c r="C648" i="8"/>
  <c r="W648" i="8" s="1"/>
  <c r="C649" i="8"/>
  <c r="W649" i="8" s="1"/>
  <c r="C650" i="8"/>
  <c r="W650" i="8" s="1"/>
  <c r="C651" i="8"/>
  <c r="W651" i="8" s="1"/>
  <c r="C652" i="8"/>
  <c r="W652" i="8" s="1"/>
  <c r="C653" i="8"/>
  <c r="W653" i="8" s="1"/>
  <c r="C654" i="8"/>
  <c r="W654" i="8" s="1"/>
  <c r="C655" i="8"/>
  <c r="W655" i="8" s="1"/>
  <c r="C656" i="8"/>
  <c r="W656" i="8" s="1"/>
  <c r="C657" i="8"/>
  <c r="W657" i="8" s="1"/>
  <c r="C658" i="8"/>
  <c r="W658" i="8" s="1"/>
  <c r="C659" i="8"/>
  <c r="W659" i="8" s="1"/>
  <c r="C660" i="8"/>
  <c r="W660" i="8" s="1"/>
  <c r="C661" i="8"/>
  <c r="W661" i="8" s="1"/>
  <c r="C662" i="8"/>
  <c r="W662" i="8" s="1"/>
  <c r="C663" i="8"/>
  <c r="W663" i="8" s="1"/>
  <c r="C624" i="8"/>
  <c r="C581" i="8"/>
  <c r="W581" i="8" s="1"/>
  <c r="C582" i="8"/>
  <c r="W582" i="8" s="1"/>
  <c r="C583" i="8"/>
  <c r="W583" i="8" s="1"/>
  <c r="C584" i="8"/>
  <c r="C585" i="8"/>
  <c r="W585" i="8" s="1"/>
  <c r="C586" i="8"/>
  <c r="W586" i="8" s="1"/>
  <c r="C587" i="8"/>
  <c r="W587" i="8" s="1"/>
  <c r="C588" i="8"/>
  <c r="W588" i="8" s="1"/>
  <c r="C589" i="8"/>
  <c r="W589" i="8" s="1"/>
  <c r="C590" i="8"/>
  <c r="W590" i="8" s="1"/>
  <c r="C591" i="8"/>
  <c r="W591" i="8" s="1"/>
  <c r="C592" i="8"/>
  <c r="W592" i="8" s="1"/>
  <c r="C593" i="8"/>
  <c r="C594" i="8"/>
  <c r="W594" i="8" s="1"/>
  <c r="C595" i="8"/>
  <c r="W595" i="8" s="1"/>
  <c r="C596" i="8"/>
  <c r="W596" i="8" s="1"/>
  <c r="C597" i="8"/>
  <c r="W597" i="8" s="1"/>
  <c r="C598" i="8"/>
  <c r="W598" i="8" s="1"/>
  <c r="C599" i="8"/>
  <c r="W599" i="8" s="1"/>
  <c r="C600" i="8"/>
  <c r="W600" i="8" s="1"/>
  <c r="C601" i="8"/>
  <c r="W601" i="8" s="1"/>
  <c r="C602" i="8"/>
  <c r="W602" i="8" s="1"/>
  <c r="C603" i="8"/>
  <c r="W603" i="8" s="1"/>
  <c r="C604" i="8"/>
  <c r="W604" i="8" s="1"/>
  <c r="C605" i="8"/>
  <c r="W605" i="8" s="1"/>
  <c r="C606" i="8"/>
  <c r="W606" i="8" s="1"/>
  <c r="C607" i="8"/>
  <c r="W607" i="8" s="1"/>
  <c r="C608" i="8"/>
  <c r="W608" i="8" s="1"/>
  <c r="C609" i="8"/>
  <c r="W609" i="8" s="1"/>
  <c r="C610" i="8"/>
  <c r="W610" i="8" s="1"/>
  <c r="C611" i="8"/>
  <c r="W611" i="8" s="1"/>
  <c r="C612" i="8"/>
  <c r="W612" i="8" s="1"/>
  <c r="C613" i="8"/>
  <c r="W613" i="8" s="1"/>
  <c r="C614" i="8"/>
  <c r="W614" i="8" s="1"/>
  <c r="C615" i="8"/>
  <c r="W615" i="8" s="1"/>
  <c r="C616" i="8"/>
  <c r="W616" i="8" s="1"/>
  <c r="C617" i="8"/>
  <c r="W617" i="8" s="1"/>
  <c r="C618" i="8"/>
  <c r="W618" i="8" s="1"/>
  <c r="C619" i="8"/>
  <c r="W619" i="8" s="1"/>
  <c r="C580" i="8"/>
  <c r="J663" i="8"/>
  <c r="G663" i="8"/>
  <c r="J662" i="8"/>
  <c r="G662" i="8"/>
  <c r="J661" i="8"/>
  <c r="G661" i="8"/>
  <c r="J660" i="8"/>
  <c r="G660" i="8"/>
  <c r="J659" i="8"/>
  <c r="G659" i="8"/>
  <c r="J658" i="8"/>
  <c r="G658" i="8"/>
  <c r="J657" i="8"/>
  <c r="G657" i="8"/>
  <c r="J656" i="8"/>
  <c r="G656" i="8"/>
  <c r="J655" i="8"/>
  <c r="G655" i="8"/>
  <c r="J654" i="8"/>
  <c r="G654" i="8"/>
  <c r="J653" i="8"/>
  <c r="G653" i="8"/>
  <c r="J652" i="8"/>
  <c r="G652" i="8"/>
  <c r="J651" i="8"/>
  <c r="G651" i="8"/>
  <c r="J650" i="8"/>
  <c r="G650" i="8"/>
  <c r="J649" i="8"/>
  <c r="G649" i="8"/>
  <c r="J648" i="8"/>
  <c r="G648" i="8"/>
  <c r="J647" i="8"/>
  <c r="G647" i="8"/>
  <c r="J646" i="8"/>
  <c r="G646" i="8"/>
  <c r="J645" i="8"/>
  <c r="G645" i="8"/>
  <c r="J644" i="8"/>
  <c r="G644" i="8"/>
  <c r="J643" i="8"/>
  <c r="G643" i="8"/>
  <c r="J642" i="8"/>
  <c r="G642" i="8"/>
  <c r="J641" i="8"/>
  <c r="G641" i="8"/>
  <c r="J640" i="8"/>
  <c r="G640" i="8"/>
  <c r="J639" i="8"/>
  <c r="G639" i="8"/>
  <c r="J638" i="8"/>
  <c r="G638" i="8"/>
  <c r="J637" i="8"/>
  <c r="G637" i="8"/>
  <c r="J636" i="8"/>
  <c r="G636" i="8"/>
  <c r="J635" i="8"/>
  <c r="G635" i="8"/>
  <c r="J634" i="8"/>
  <c r="G634" i="8"/>
  <c r="J633" i="8"/>
  <c r="G633" i="8"/>
  <c r="J632" i="8"/>
  <c r="G632" i="8"/>
  <c r="J631" i="8"/>
  <c r="G631" i="8"/>
  <c r="J630" i="8"/>
  <c r="G630" i="8"/>
  <c r="J629" i="8"/>
  <c r="G629" i="8"/>
  <c r="J628" i="8"/>
  <c r="G628" i="8"/>
  <c r="J627" i="8"/>
  <c r="G627" i="8"/>
  <c r="J626" i="8"/>
  <c r="G626" i="8"/>
  <c r="J625" i="8"/>
  <c r="G625" i="8"/>
  <c r="M624" i="8"/>
  <c r="J624" i="8"/>
  <c r="G624" i="8"/>
  <c r="O589" i="9"/>
  <c r="O590" i="9"/>
  <c r="O591" i="9"/>
  <c r="O592" i="9"/>
  <c r="O593" i="9"/>
  <c r="O594" i="9"/>
  <c r="O595" i="9"/>
  <c r="O596" i="9"/>
  <c r="O597" i="9"/>
  <c r="O598" i="9"/>
  <c r="O599" i="9"/>
  <c r="O600" i="9"/>
  <c r="O601" i="9"/>
  <c r="O602" i="9"/>
  <c r="O603" i="9"/>
  <c r="O604" i="9"/>
  <c r="O605" i="9"/>
  <c r="O606" i="9"/>
  <c r="O607" i="9"/>
  <c r="O608" i="9"/>
  <c r="O609" i="9"/>
  <c r="O610" i="9"/>
  <c r="O611" i="9"/>
  <c r="O612" i="9"/>
  <c r="O613" i="9"/>
  <c r="O614" i="9"/>
  <c r="O615" i="9"/>
  <c r="O616" i="9"/>
  <c r="O617" i="9"/>
  <c r="O618" i="9"/>
  <c r="O619" i="9"/>
  <c r="O620" i="9"/>
  <c r="O621" i="9"/>
  <c r="O622" i="9"/>
  <c r="O623" i="9"/>
  <c r="O624" i="9"/>
  <c r="O625" i="9"/>
  <c r="O626" i="9"/>
  <c r="O627" i="9"/>
  <c r="O628" i="9"/>
  <c r="O629" i="9"/>
  <c r="O630" i="9"/>
  <c r="O588" i="9"/>
  <c r="C589" i="9"/>
  <c r="C590" i="9"/>
  <c r="C591" i="9"/>
  <c r="W591" i="9" s="1"/>
  <c r="C592" i="9"/>
  <c r="W592" i="9" s="1"/>
  <c r="C593" i="9"/>
  <c r="W593" i="9" s="1"/>
  <c r="C594" i="9"/>
  <c r="W594" i="9" s="1"/>
  <c r="C595" i="9"/>
  <c r="W595" i="9" s="1"/>
  <c r="C596" i="9"/>
  <c r="W596" i="9" s="1"/>
  <c r="C597" i="9"/>
  <c r="W597" i="9" s="1"/>
  <c r="C598" i="9"/>
  <c r="W598" i="9" s="1"/>
  <c r="C599" i="9"/>
  <c r="W599" i="9" s="1"/>
  <c r="C600" i="9"/>
  <c r="W600" i="9" s="1"/>
  <c r="C601" i="9"/>
  <c r="W601" i="9" s="1"/>
  <c r="C602" i="9"/>
  <c r="W602" i="9" s="1"/>
  <c r="C603" i="9"/>
  <c r="W603" i="9" s="1"/>
  <c r="C604" i="9"/>
  <c r="W604" i="9" s="1"/>
  <c r="C605" i="9"/>
  <c r="W605" i="9" s="1"/>
  <c r="C606" i="9"/>
  <c r="W606" i="9" s="1"/>
  <c r="C607" i="9"/>
  <c r="W607" i="9" s="1"/>
  <c r="C608" i="9"/>
  <c r="W608" i="9" s="1"/>
  <c r="C609" i="9"/>
  <c r="W609" i="9" s="1"/>
  <c r="C610" i="9"/>
  <c r="W610" i="9" s="1"/>
  <c r="C611" i="9"/>
  <c r="W611" i="9" s="1"/>
  <c r="C612" i="9"/>
  <c r="W612" i="9" s="1"/>
  <c r="C613" i="9"/>
  <c r="W613" i="9" s="1"/>
  <c r="C614" i="9"/>
  <c r="W614" i="9" s="1"/>
  <c r="C615" i="9"/>
  <c r="W615" i="9" s="1"/>
  <c r="C616" i="9"/>
  <c r="W616" i="9" s="1"/>
  <c r="C617" i="9"/>
  <c r="W617" i="9" s="1"/>
  <c r="C618" i="9"/>
  <c r="W618" i="9" s="1"/>
  <c r="C619" i="9"/>
  <c r="W619" i="9" s="1"/>
  <c r="C620" i="9"/>
  <c r="W620" i="9" s="1"/>
  <c r="C621" i="9"/>
  <c r="W621" i="9" s="1"/>
  <c r="C622" i="9"/>
  <c r="W622" i="9" s="1"/>
  <c r="C623" i="9"/>
  <c r="W623" i="9" s="1"/>
  <c r="C624" i="9"/>
  <c r="W624" i="9" s="1"/>
  <c r="C625" i="9"/>
  <c r="W625" i="9" s="1"/>
  <c r="C626" i="9"/>
  <c r="W626" i="9" s="1"/>
  <c r="C627" i="9"/>
  <c r="W627" i="9" s="1"/>
  <c r="C628" i="9"/>
  <c r="W628" i="9" s="1"/>
  <c r="C629" i="9"/>
  <c r="W629" i="9" s="1"/>
  <c r="C630" i="9"/>
  <c r="W630" i="9" s="1"/>
  <c r="J630" i="9"/>
  <c r="G630" i="9"/>
  <c r="J629" i="9"/>
  <c r="G629" i="9"/>
  <c r="J628" i="9"/>
  <c r="G628" i="9"/>
  <c r="J627" i="9"/>
  <c r="G627" i="9"/>
  <c r="J626" i="9"/>
  <c r="G626" i="9"/>
  <c r="J625" i="9"/>
  <c r="G625" i="9"/>
  <c r="J624" i="9"/>
  <c r="G624" i="9"/>
  <c r="J623" i="9"/>
  <c r="G623" i="9"/>
  <c r="J622" i="9"/>
  <c r="G622" i="9"/>
  <c r="J621" i="9"/>
  <c r="G621" i="9"/>
  <c r="J620" i="9"/>
  <c r="G620" i="9"/>
  <c r="J619" i="9"/>
  <c r="G619" i="9"/>
  <c r="J618" i="9"/>
  <c r="G618" i="9"/>
  <c r="J617" i="9"/>
  <c r="G617" i="9"/>
  <c r="J616" i="9"/>
  <c r="G616" i="9"/>
  <c r="J615" i="9"/>
  <c r="G615" i="9"/>
  <c r="J614" i="9"/>
  <c r="G614" i="9"/>
  <c r="J613" i="9"/>
  <c r="G613" i="9"/>
  <c r="J612" i="9"/>
  <c r="G612" i="9"/>
  <c r="J611" i="9"/>
  <c r="G611" i="9"/>
  <c r="J610" i="9"/>
  <c r="G610" i="9"/>
  <c r="J609" i="9"/>
  <c r="G609" i="9"/>
  <c r="J608" i="9"/>
  <c r="G608" i="9"/>
  <c r="J607" i="9"/>
  <c r="G607" i="9"/>
  <c r="J606" i="9"/>
  <c r="G606" i="9"/>
  <c r="J605" i="9"/>
  <c r="G605" i="9"/>
  <c r="J604" i="9"/>
  <c r="G604" i="9"/>
  <c r="J603" i="9"/>
  <c r="G603" i="9"/>
  <c r="J602" i="9"/>
  <c r="G602" i="9"/>
  <c r="J601" i="9"/>
  <c r="G601" i="9"/>
  <c r="J600" i="9"/>
  <c r="G600" i="9"/>
  <c r="J599" i="9"/>
  <c r="G599" i="9"/>
  <c r="J598" i="9"/>
  <c r="G598" i="9"/>
  <c r="J597" i="9"/>
  <c r="G597" i="9"/>
  <c r="J596" i="9"/>
  <c r="G596" i="9"/>
  <c r="J595" i="9"/>
  <c r="G595" i="9"/>
  <c r="J594" i="9"/>
  <c r="G594" i="9"/>
  <c r="J593" i="9"/>
  <c r="G593" i="9"/>
  <c r="J592" i="9"/>
  <c r="G592" i="9"/>
  <c r="J591" i="9"/>
  <c r="G591" i="9"/>
  <c r="J590" i="9"/>
  <c r="G590" i="9"/>
  <c r="J589" i="9"/>
  <c r="G589" i="9"/>
  <c r="J588" i="9"/>
  <c r="G588" i="9"/>
  <c r="O581" i="8"/>
  <c r="O582" i="8"/>
  <c r="O583" i="8"/>
  <c r="O584" i="8"/>
  <c r="O585" i="8"/>
  <c r="O586" i="8"/>
  <c r="O587" i="8"/>
  <c r="O588" i="8"/>
  <c r="O589" i="8"/>
  <c r="O590" i="8"/>
  <c r="O591" i="8"/>
  <c r="O592" i="8"/>
  <c r="O593" i="8"/>
  <c r="O594" i="8"/>
  <c r="O595" i="8"/>
  <c r="O596" i="8"/>
  <c r="O597" i="8"/>
  <c r="O598" i="8"/>
  <c r="O599" i="8"/>
  <c r="O600" i="8"/>
  <c r="O601" i="8"/>
  <c r="O602" i="8"/>
  <c r="O603" i="8"/>
  <c r="O604" i="8"/>
  <c r="O605" i="8"/>
  <c r="O606" i="8"/>
  <c r="O607" i="8"/>
  <c r="O608" i="8"/>
  <c r="O609" i="8"/>
  <c r="O610" i="8"/>
  <c r="O611" i="8"/>
  <c r="O612" i="8"/>
  <c r="O613" i="8"/>
  <c r="O614" i="8"/>
  <c r="O615" i="8"/>
  <c r="O616" i="8"/>
  <c r="O617" i="8"/>
  <c r="O618" i="8"/>
  <c r="O619" i="8"/>
  <c r="O580" i="8"/>
  <c r="J619" i="8"/>
  <c r="G619" i="8"/>
  <c r="J618" i="8"/>
  <c r="G618" i="8"/>
  <c r="J617" i="8"/>
  <c r="G617" i="8"/>
  <c r="J616" i="8"/>
  <c r="G616" i="8"/>
  <c r="J615" i="8"/>
  <c r="G615" i="8"/>
  <c r="J614" i="8"/>
  <c r="G614" i="8"/>
  <c r="J613" i="8"/>
  <c r="G613" i="8"/>
  <c r="J612" i="8"/>
  <c r="G612" i="8"/>
  <c r="J611" i="8"/>
  <c r="G611" i="8"/>
  <c r="J610" i="8"/>
  <c r="G610" i="8"/>
  <c r="J609" i="8"/>
  <c r="G609" i="8"/>
  <c r="J608" i="8"/>
  <c r="G608" i="8"/>
  <c r="J607" i="8"/>
  <c r="G607" i="8"/>
  <c r="J606" i="8"/>
  <c r="G606" i="8"/>
  <c r="J605" i="8"/>
  <c r="G605" i="8"/>
  <c r="J604" i="8"/>
  <c r="G604" i="8"/>
  <c r="J603" i="8"/>
  <c r="G603" i="8"/>
  <c r="J602" i="8"/>
  <c r="G602" i="8"/>
  <c r="J601" i="8"/>
  <c r="G601" i="8"/>
  <c r="J600" i="8"/>
  <c r="G600" i="8"/>
  <c r="J599" i="8"/>
  <c r="G599" i="8"/>
  <c r="J598" i="8"/>
  <c r="G598" i="8"/>
  <c r="J597" i="8"/>
  <c r="G597" i="8"/>
  <c r="J596" i="8"/>
  <c r="G596" i="8"/>
  <c r="J595" i="8"/>
  <c r="G595" i="8"/>
  <c r="J594" i="8"/>
  <c r="G594" i="8"/>
  <c r="J593" i="8"/>
  <c r="G593" i="8"/>
  <c r="J592" i="8"/>
  <c r="G592" i="8"/>
  <c r="J591" i="8"/>
  <c r="G591" i="8"/>
  <c r="J590" i="8"/>
  <c r="G590" i="8"/>
  <c r="J589" i="8"/>
  <c r="G589" i="8"/>
  <c r="J588" i="8"/>
  <c r="G588" i="8"/>
  <c r="J587" i="8"/>
  <c r="G587" i="8"/>
  <c r="J586" i="8"/>
  <c r="G586" i="8"/>
  <c r="J585" i="8"/>
  <c r="G585" i="8"/>
  <c r="J584" i="8"/>
  <c r="G584" i="8"/>
  <c r="J583" i="8"/>
  <c r="G583" i="8"/>
  <c r="J582" i="8"/>
  <c r="G582" i="8"/>
  <c r="J581" i="8"/>
  <c r="G581" i="8"/>
  <c r="M580" i="8"/>
  <c r="J580" i="8"/>
  <c r="G580" i="8"/>
  <c r="O544" i="9"/>
  <c r="O545" i="9"/>
  <c r="O546" i="9"/>
  <c r="O547" i="9"/>
  <c r="O548" i="9"/>
  <c r="O549" i="9"/>
  <c r="O550" i="9"/>
  <c r="O551" i="9"/>
  <c r="O552" i="9"/>
  <c r="O553" i="9"/>
  <c r="O554" i="9"/>
  <c r="O555" i="9"/>
  <c r="O556" i="9"/>
  <c r="O557" i="9"/>
  <c r="O558" i="9"/>
  <c r="O559" i="9"/>
  <c r="O560" i="9"/>
  <c r="O561" i="9"/>
  <c r="O562" i="9"/>
  <c r="O563" i="9"/>
  <c r="O564" i="9"/>
  <c r="O565" i="9"/>
  <c r="O566" i="9"/>
  <c r="O567" i="9"/>
  <c r="O568" i="9"/>
  <c r="O569" i="9"/>
  <c r="O570" i="9"/>
  <c r="O571" i="9"/>
  <c r="O572" i="9"/>
  <c r="O573" i="9"/>
  <c r="O574" i="9"/>
  <c r="O575" i="9"/>
  <c r="O576" i="9"/>
  <c r="O577" i="9"/>
  <c r="O578" i="9"/>
  <c r="O579" i="9"/>
  <c r="O580" i="9"/>
  <c r="O581" i="9"/>
  <c r="O582" i="9"/>
  <c r="O583" i="9"/>
  <c r="O584" i="9"/>
  <c r="O585" i="9"/>
  <c r="O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43" i="9"/>
  <c r="K30" i="22" s="1"/>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36" i="8"/>
  <c r="M585" i="9"/>
  <c r="J585" i="9"/>
  <c r="G585" i="9"/>
  <c r="M584" i="9"/>
  <c r="J584" i="9"/>
  <c r="G584" i="9"/>
  <c r="M583" i="9"/>
  <c r="J583" i="9"/>
  <c r="G583" i="9"/>
  <c r="M582" i="9"/>
  <c r="J582" i="9"/>
  <c r="G582" i="9"/>
  <c r="M581" i="9"/>
  <c r="J581" i="9"/>
  <c r="G581" i="9"/>
  <c r="M580" i="9"/>
  <c r="J580" i="9"/>
  <c r="G580" i="9"/>
  <c r="M579" i="9"/>
  <c r="J579" i="9"/>
  <c r="G579" i="9"/>
  <c r="M578" i="9"/>
  <c r="J578" i="9"/>
  <c r="G578" i="9"/>
  <c r="M577" i="9"/>
  <c r="J577" i="9"/>
  <c r="G577" i="9"/>
  <c r="M576" i="9"/>
  <c r="J576" i="9"/>
  <c r="G576" i="9"/>
  <c r="M575" i="9"/>
  <c r="J575" i="9"/>
  <c r="G575" i="9"/>
  <c r="M574" i="9"/>
  <c r="J574" i="9"/>
  <c r="G574" i="9"/>
  <c r="M573" i="9"/>
  <c r="J573" i="9"/>
  <c r="G573" i="9"/>
  <c r="M572" i="9"/>
  <c r="J572" i="9"/>
  <c r="G572" i="9"/>
  <c r="M571" i="9"/>
  <c r="J571" i="9"/>
  <c r="G571" i="9"/>
  <c r="M570" i="9"/>
  <c r="J570" i="9"/>
  <c r="G570" i="9"/>
  <c r="M569" i="9"/>
  <c r="J569" i="9"/>
  <c r="G569" i="9"/>
  <c r="M568" i="9"/>
  <c r="J568" i="9"/>
  <c r="G568" i="9"/>
  <c r="M567" i="9"/>
  <c r="J567" i="9"/>
  <c r="G567" i="9"/>
  <c r="M566" i="9"/>
  <c r="J566" i="9"/>
  <c r="G566" i="9"/>
  <c r="M565" i="9"/>
  <c r="J565" i="9"/>
  <c r="G565" i="9"/>
  <c r="M564" i="9"/>
  <c r="J564" i="9"/>
  <c r="G564" i="9"/>
  <c r="M563" i="9"/>
  <c r="J563" i="9"/>
  <c r="G563" i="9"/>
  <c r="M562" i="9"/>
  <c r="J562" i="9"/>
  <c r="G562" i="9"/>
  <c r="M561" i="9"/>
  <c r="J561" i="9"/>
  <c r="G561" i="9"/>
  <c r="M560" i="9"/>
  <c r="J560" i="9"/>
  <c r="G560" i="9"/>
  <c r="M559" i="9"/>
  <c r="J559" i="9"/>
  <c r="G559" i="9"/>
  <c r="M558" i="9"/>
  <c r="J558" i="9"/>
  <c r="G558" i="9"/>
  <c r="M557" i="9"/>
  <c r="J557" i="9"/>
  <c r="G557" i="9"/>
  <c r="M556" i="9"/>
  <c r="J556" i="9"/>
  <c r="G556" i="9"/>
  <c r="M555" i="9"/>
  <c r="J555" i="9"/>
  <c r="G555" i="9"/>
  <c r="M554" i="9"/>
  <c r="J554" i="9"/>
  <c r="G554" i="9"/>
  <c r="M553" i="9"/>
  <c r="J553" i="9"/>
  <c r="G553" i="9"/>
  <c r="M552" i="9"/>
  <c r="J552" i="9"/>
  <c r="G552" i="9"/>
  <c r="M551" i="9"/>
  <c r="J551" i="9"/>
  <c r="G551" i="9"/>
  <c r="M550" i="9"/>
  <c r="J550" i="9"/>
  <c r="G550" i="9"/>
  <c r="M549" i="9"/>
  <c r="J549" i="9"/>
  <c r="G549" i="9"/>
  <c r="M548" i="9"/>
  <c r="J548" i="9"/>
  <c r="G548" i="9"/>
  <c r="M547" i="9"/>
  <c r="J547" i="9"/>
  <c r="G547" i="9"/>
  <c r="M546" i="9"/>
  <c r="J546" i="9"/>
  <c r="G546" i="9"/>
  <c r="M545" i="9"/>
  <c r="J545" i="9"/>
  <c r="G545" i="9"/>
  <c r="M544" i="9"/>
  <c r="J544" i="9"/>
  <c r="G544" i="9"/>
  <c r="M543" i="9"/>
  <c r="J543" i="9"/>
  <c r="G543" i="9"/>
  <c r="O537" i="8"/>
  <c r="O538" i="8"/>
  <c r="O539" i="8"/>
  <c r="O540" i="8"/>
  <c r="O541" i="8"/>
  <c r="O542" i="8"/>
  <c r="O543" i="8"/>
  <c r="O544" i="8"/>
  <c r="O545" i="8"/>
  <c r="O546" i="8"/>
  <c r="O547" i="8"/>
  <c r="O548" i="8"/>
  <c r="O549" i="8"/>
  <c r="O550" i="8"/>
  <c r="O551" i="8"/>
  <c r="O552" i="8"/>
  <c r="O553" i="8"/>
  <c r="O554" i="8"/>
  <c r="O555" i="8"/>
  <c r="O556" i="8"/>
  <c r="O557" i="8"/>
  <c r="O558" i="8"/>
  <c r="O559" i="8"/>
  <c r="O560" i="8"/>
  <c r="O561" i="8"/>
  <c r="O562" i="8"/>
  <c r="O563" i="8"/>
  <c r="O564" i="8"/>
  <c r="O565" i="8"/>
  <c r="O566" i="8"/>
  <c r="O567" i="8"/>
  <c r="O568" i="8"/>
  <c r="O569" i="8"/>
  <c r="O570" i="8"/>
  <c r="O571" i="8"/>
  <c r="O572" i="8"/>
  <c r="O573" i="8"/>
  <c r="O574" i="8"/>
  <c r="O575" i="8"/>
  <c r="O536" i="8"/>
  <c r="M575" i="8"/>
  <c r="J575" i="8"/>
  <c r="G575" i="8"/>
  <c r="M574" i="8"/>
  <c r="J574" i="8"/>
  <c r="G574" i="8"/>
  <c r="M573" i="8"/>
  <c r="J573" i="8"/>
  <c r="G573" i="8"/>
  <c r="M572" i="8"/>
  <c r="J572" i="8"/>
  <c r="G572" i="8"/>
  <c r="M571" i="8"/>
  <c r="J571" i="8"/>
  <c r="G571" i="8"/>
  <c r="M570" i="8"/>
  <c r="J570" i="8"/>
  <c r="G570" i="8"/>
  <c r="M569" i="8"/>
  <c r="J569" i="8"/>
  <c r="G569" i="8"/>
  <c r="M568" i="8"/>
  <c r="J568" i="8"/>
  <c r="G568" i="8"/>
  <c r="M567" i="8"/>
  <c r="J567" i="8"/>
  <c r="G567" i="8"/>
  <c r="M566" i="8"/>
  <c r="J566" i="8"/>
  <c r="G566" i="8"/>
  <c r="M565" i="8"/>
  <c r="J565" i="8"/>
  <c r="G565" i="8"/>
  <c r="M564" i="8"/>
  <c r="J564" i="8"/>
  <c r="G564" i="8"/>
  <c r="M563" i="8"/>
  <c r="J563" i="8"/>
  <c r="G563" i="8"/>
  <c r="M562" i="8"/>
  <c r="J562" i="8"/>
  <c r="G562" i="8"/>
  <c r="M561" i="8"/>
  <c r="J561" i="8"/>
  <c r="G561" i="8"/>
  <c r="M560" i="8"/>
  <c r="J560" i="8"/>
  <c r="G560" i="8"/>
  <c r="M559" i="8"/>
  <c r="J559" i="8"/>
  <c r="G559" i="8"/>
  <c r="M558" i="8"/>
  <c r="J558" i="8"/>
  <c r="G558" i="8"/>
  <c r="M557" i="8"/>
  <c r="J557" i="8"/>
  <c r="G557" i="8"/>
  <c r="M556" i="8"/>
  <c r="J556" i="8"/>
  <c r="G556" i="8"/>
  <c r="M555" i="8"/>
  <c r="J555" i="8"/>
  <c r="G555" i="8"/>
  <c r="M554" i="8"/>
  <c r="J554" i="8"/>
  <c r="G554" i="8"/>
  <c r="M553" i="8"/>
  <c r="J553" i="8"/>
  <c r="G553" i="8"/>
  <c r="M552" i="8"/>
  <c r="J552" i="8"/>
  <c r="G552" i="8"/>
  <c r="M551" i="8"/>
  <c r="J551" i="8"/>
  <c r="G551" i="8"/>
  <c r="M550" i="8"/>
  <c r="J550" i="8"/>
  <c r="G550" i="8"/>
  <c r="M549" i="8"/>
  <c r="J549" i="8"/>
  <c r="G549" i="8"/>
  <c r="M548" i="8"/>
  <c r="J548" i="8"/>
  <c r="G548" i="8"/>
  <c r="M547" i="8"/>
  <c r="J547" i="8"/>
  <c r="G547" i="8"/>
  <c r="M546" i="8"/>
  <c r="J546" i="8"/>
  <c r="G546" i="8"/>
  <c r="M545" i="8"/>
  <c r="J545" i="8"/>
  <c r="G545" i="8"/>
  <c r="M544" i="8"/>
  <c r="J544" i="8"/>
  <c r="G544" i="8"/>
  <c r="M543" i="8"/>
  <c r="J543" i="8"/>
  <c r="G543" i="8"/>
  <c r="M542" i="8"/>
  <c r="J542" i="8"/>
  <c r="G542" i="8"/>
  <c r="M541" i="8"/>
  <c r="J541" i="8"/>
  <c r="G541" i="8"/>
  <c r="M540" i="8"/>
  <c r="J540" i="8"/>
  <c r="G540" i="8"/>
  <c r="M539" i="8"/>
  <c r="J539" i="8"/>
  <c r="G539" i="8"/>
  <c r="M538" i="8"/>
  <c r="J538" i="8"/>
  <c r="G538" i="8"/>
  <c r="M537" i="8"/>
  <c r="J537" i="8"/>
  <c r="G537" i="8"/>
  <c r="M536" i="8"/>
  <c r="J536" i="8"/>
  <c r="G536" i="8"/>
  <c r="S660" i="17" l="1" a="1"/>
  <c r="S660" i="17" s="1"/>
  <c r="J18" i="22"/>
  <c r="K31" i="22"/>
  <c r="K32" i="22"/>
  <c r="K16" i="22"/>
  <c r="AC21" i="8"/>
  <c r="AD21" i="8"/>
  <c r="K17" i="22"/>
  <c r="AC22" i="8"/>
  <c r="AD22" i="8"/>
  <c r="W589" i="9"/>
  <c r="AC21" i="9"/>
  <c r="AD21" i="9"/>
  <c r="AC22" i="9"/>
  <c r="AD22" i="9"/>
  <c r="K15" i="22"/>
  <c r="AD20" i="8"/>
  <c r="AC20" i="8"/>
  <c r="AC20" i="9"/>
  <c r="AD20" i="9"/>
  <c r="W638" i="8"/>
  <c r="W593" i="8"/>
  <c r="D625" i="8"/>
  <c r="W570" i="8"/>
  <c r="W562" i="8"/>
  <c r="W554" i="8"/>
  <c r="W546" i="8"/>
  <c r="W538" i="8"/>
  <c r="W580" i="9"/>
  <c r="W564" i="9"/>
  <c r="W556" i="9"/>
  <c r="W572" i="9"/>
  <c r="W548" i="9"/>
  <c r="W581" i="9"/>
  <c r="W577" i="9"/>
  <c r="W573" i="9"/>
  <c r="W569" i="9"/>
  <c r="W565" i="9"/>
  <c r="W561" i="9"/>
  <c r="W557" i="9"/>
  <c r="W553" i="9"/>
  <c r="W545" i="9"/>
  <c r="W670" i="9"/>
  <c r="W666" i="9"/>
  <c r="W662" i="9"/>
  <c r="W646" i="9"/>
  <c r="W642" i="9"/>
  <c r="D635" i="9"/>
  <c r="W661" i="9"/>
  <c r="W653" i="9"/>
  <c r="W645" i="9"/>
  <c r="W637" i="9"/>
  <c r="D593" i="9"/>
  <c r="W590" i="9"/>
  <c r="D662" i="8"/>
  <c r="D654" i="8"/>
  <c r="D646" i="8"/>
  <c r="D638" i="8"/>
  <c r="D630" i="8"/>
  <c r="W669" i="9"/>
  <c r="W569" i="8"/>
  <c r="W561" i="8"/>
  <c r="W553" i="8"/>
  <c r="W545" i="8"/>
  <c r="W537" i="8"/>
  <c r="W579" i="9"/>
  <c r="W571" i="9"/>
  <c r="W563" i="9"/>
  <c r="W555" i="9"/>
  <c r="W547" i="9"/>
  <c r="D661" i="8"/>
  <c r="D653" i="8"/>
  <c r="D645" i="8"/>
  <c r="D637" i="8"/>
  <c r="D629" i="8"/>
  <c r="W668" i="9"/>
  <c r="W660" i="9"/>
  <c r="W652" i="9"/>
  <c r="W644" i="9"/>
  <c r="W636" i="9"/>
  <c r="D539" i="8"/>
  <c r="W536" i="8"/>
  <c r="W568" i="8"/>
  <c r="W560" i="8"/>
  <c r="W552" i="8"/>
  <c r="W544" i="8"/>
  <c r="W543" i="9"/>
  <c r="W578" i="9"/>
  <c r="W570" i="9"/>
  <c r="W562" i="9"/>
  <c r="W554" i="9"/>
  <c r="W546" i="9"/>
  <c r="D581" i="8"/>
  <c r="W584" i="8"/>
  <c r="D660" i="8"/>
  <c r="D652" i="8"/>
  <c r="D644" i="8"/>
  <c r="D636" i="8"/>
  <c r="D628" i="8"/>
  <c r="W675" i="9"/>
  <c r="W667" i="9"/>
  <c r="W659" i="9"/>
  <c r="W651" i="9"/>
  <c r="W643" i="9"/>
  <c r="D634" i="9"/>
  <c r="W635" i="9"/>
  <c r="W567" i="8"/>
  <c r="W543" i="8"/>
  <c r="D659" i="8"/>
  <c r="D651" i="8"/>
  <c r="D643" i="8"/>
  <c r="D635" i="8"/>
  <c r="D627" i="8"/>
  <c r="W674" i="9"/>
  <c r="W658" i="9"/>
  <c r="W650" i="9"/>
  <c r="D637" i="9"/>
  <c r="W634" i="9"/>
  <c r="W559" i="8"/>
  <c r="W585" i="9"/>
  <c r="W574" i="8"/>
  <c r="W566" i="8"/>
  <c r="W558" i="8"/>
  <c r="W550" i="8"/>
  <c r="W542" i="8"/>
  <c r="W584" i="9"/>
  <c r="W576" i="9"/>
  <c r="W568" i="9"/>
  <c r="W560" i="9"/>
  <c r="W552" i="9"/>
  <c r="W544" i="9"/>
  <c r="D658" i="8"/>
  <c r="D650" i="8"/>
  <c r="D642" i="8"/>
  <c r="D634" i="8"/>
  <c r="D626" i="8"/>
  <c r="W673" i="9"/>
  <c r="W665" i="9"/>
  <c r="W657" i="9"/>
  <c r="W649" i="9"/>
  <c r="W641" i="9"/>
  <c r="W575" i="8"/>
  <c r="W573" i="8"/>
  <c r="W565" i="8"/>
  <c r="W557" i="8"/>
  <c r="W549" i="8"/>
  <c r="W541" i="8"/>
  <c r="W583" i="9"/>
  <c r="W575" i="9"/>
  <c r="W567" i="9"/>
  <c r="W559" i="9"/>
  <c r="W551" i="9"/>
  <c r="D657" i="8"/>
  <c r="D649" i="8"/>
  <c r="D641" i="8"/>
  <c r="D633" i="8"/>
  <c r="W672" i="9"/>
  <c r="W664" i="9"/>
  <c r="W656" i="9"/>
  <c r="W648" i="9"/>
  <c r="W640" i="9"/>
  <c r="W572" i="8"/>
  <c r="W564" i="8"/>
  <c r="W556" i="8"/>
  <c r="W548" i="8"/>
  <c r="W540" i="8"/>
  <c r="W582" i="9"/>
  <c r="W574" i="9"/>
  <c r="W566" i="9"/>
  <c r="W558" i="9"/>
  <c r="W550" i="9"/>
  <c r="W580" i="8"/>
  <c r="W624" i="8"/>
  <c r="D624" i="8"/>
  <c r="D656" i="8"/>
  <c r="D648" i="8"/>
  <c r="D640" i="8"/>
  <c r="D632" i="8"/>
  <c r="W671" i="9"/>
  <c r="W663" i="9"/>
  <c r="W655" i="9"/>
  <c r="W647" i="9"/>
  <c r="W639" i="9"/>
  <c r="W551" i="8"/>
  <c r="W571" i="8"/>
  <c r="W563" i="8"/>
  <c r="W555" i="8"/>
  <c r="W547" i="8"/>
  <c r="W539" i="8"/>
  <c r="W549" i="9"/>
  <c r="D590" i="9"/>
  <c r="D663" i="8"/>
  <c r="D655" i="8"/>
  <c r="D647" i="8"/>
  <c r="D639" i="8"/>
  <c r="D631" i="8"/>
  <c r="W654" i="9"/>
  <c r="W638" i="9"/>
  <c r="G12" i="12"/>
  <c r="F12" i="12"/>
  <c r="E12" i="12"/>
  <c r="I12" i="12"/>
  <c r="H12" i="12"/>
  <c r="D544" i="9"/>
  <c r="D629" i="9"/>
  <c r="D625" i="9"/>
  <c r="D617" i="9"/>
  <c r="D597" i="9"/>
  <c r="D589" i="9"/>
  <c r="D674" i="9"/>
  <c r="D666" i="9"/>
  <c r="D662" i="9"/>
  <c r="D654" i="9"/>
  <c r="D646" i="9"/>
  <c r="D638" i="9"/>
  <c r="D628" i="9"/>
  <c r="D624" i="9"/>
  <c r="D620" i="9"/>
  <c r="D616" i="9"/>
  <c r="D612" i="9"/>
  <c r="D608" i="9"/>
  <c r="D604" i="9"/>
  <c r="D600" i="9"/>
  <c r="D596" i="9"/>
  <c r="D592" i="9"/>
  <c r="D673" i="9"/>
  <c r="D669" i="9"/>
  <c r="D665" i="9"/>
  <c r="D661" i="9"/>
  <c r="D657" i="9"/>
  <c r="D653" i="9"/>
  <c r="D649" i="9"/>
  <c r="D645" i="9"/>
  <c r="D641" i="9"/>
  <c r="D621" i="9"/>
  <c r="D613" i="9"/>
  <c r="D609" i="9"/>
  <c r="D605" i="9"/>
  <c r="D601" i="9"/>
  <c r="D670" i="9"/>
  <c r="D658" i="9"/>
  <c r="D650" i="9"/>
  <c r="D642" i="9"/>
  <c r="D551" i="9"/>
  <c r="D588" i="9"/>
  <c r="D627" i="9"/>
  <c r="D623" i="9"/>
  <c r="D619" i="9"/>
  <c r="D615" i="9"/>
  <c r="D611" i="9"/>
  <c r="D607" i="9"/>
  <c r="D603" i="9"/>
  <c r="D599" i="9"/>
  <c r="D595" i="9"/>
  <c r="D591" i="9"/>
  <c r="D633" i="9"/>
  <c r="D672" i="9"/>
  <c r="D668" i="9"/>
  <c r="D664" i="9"/>
  <c r="D660" i="9"/>
  <c r="D656" i="9"/>
  <c r="D652" i="9"/>
  <c r="D648" i="9"/>
  <c r="D644" i="9"/>
  <c r="D640" i="9"/>
  <c r="D636" i="9"/>
  <c r="D630" i="9"/>
  <c r="D626" i="9"/>
  <c r="D622" i="9"/>
  <c r="D618" i="9"/>
  <c r="D614" i="9"/>
  <c r="D610" i="9"/>
  <c r="D606" i="9"/>
  <c r="D602" i="9"/>
  <c r="D598" i="9"/>
  <c r="D594" i="9"/>
  <c r="D675" i="9"/>
  <c r="D671" i="9"/>
  <c r="D667" i="9"/>
  <c r="D663" i="9"/>
  <c r="D659" i="9"/>
  <c r="D655" i="9"/>
  <c r="D651" i="9"/>
  <c r="D647" i="9"/>
  <c r="D643" i="9"/>
  <c r="D639" i="9"/>
  <c r="D574" i="8"/>
  <c r="D570" i="8"/>
  <c r="D566" i="8"/>
  <c r="D562" i="8"/>
  <c r="D558" i="8"/>
  <c r="D554" i="8"/>
  <c r="D550" i="8"/>
  <c r="D546" i="8"/>
  <c r="D542" i="8"/>
  <c r="D538" i="8"/>
  <c r="D580" i="8"/>
  <c r="D616" i="8"/>
  <c r="D612" i="8"/>
  <c r="D608" i="8"/>
  <c r="D604" i="8"/>
  <c r="D600" i="8"/>
  <c r="D596" i="8"/>
  <c r="D592" i="8"/>
  <c r="D588" i="8"/>
  <c r="D584" i="8"/>
  <c r="D573" i="8"/>
  <c r="D569" i="8"/>
  <c r="D565" i="8"/>
  <c r="D561" i="8"/>
  <c r="D557" i="8"/>
  <c r="D553" i="8"/>
  <c r="D549" i="8"/>
  <c r="D545" i="8"/>
  <c r="D541" i="8"/>
  <c r="D537" i="8"/>
  <c r="D619" i="8"/>
  <c r="D615" i="8"/>
  <c r="D611" i="8"/>
  <c r="D607" i="8"/>
  <c r="D603" i="8"/>
  <c r="D599" i="8"/>
  <c r="D595" i="8"/>
  <c r="D591" i="8"/>
  <c r="D587" i="8"/>
  <c r="D583" i="8"/>
  <c r="D536" i="8"/>
  <c r="D572" i="8"/>
  <c r="D568" i="8"/>
  <c r="D564" i="8"/>
  <c r="D560" i="8"/>
  <c r="D556" i="8"/>
  <c r="D552" i="8"/>
  <c r="D548" i="8"/>
  <c r="D544" i="8"/>
  <c r="D540" i="8"/>
  <c r="D618" i="8"/>
  <c r="D614" i="8"/>
  <c r="D610" i="8"/>
  <c r="D606" i="8"/>
  <c r="D602" i="8"/>
  <c r="D598" i="8"/>
  <c r="D594" i="8"/>
  <c r="D590" i="8"/>
  <c r="D586" i="8"/>
  <c r="D582" i="8"/>
  <c r="D575" i="8"/>
  <c r="D571" i="8"/>
  <c r="D567" i="8"/>
  <c r="D563" i="8"/>
  <c r="D559" i="8"/>
  <c r="D555" i="8"/>
  <c r="D551" i="8"/>
  <c r="D547" i="8"/>
  <c r="D543" i="8"/>
  <c r="D617" i="8"/>
  <c r="D613" i="8"/>
  <c r="D609" i="8"/>
  <c r="D605" i="8"/>
  <c r="D601" i="8"/>
  <c r="D597" i="8"/>
  <c r="D593" i="8"/>
  <c r="D589" i="8"/>
  <c r="D585" i="8"/>
  <c r="D583" i="9"/>
  <c r="D575" i="9"/>
  <c r="D563" i="9"/>
  <c r="D547" i="9"/>
  <c r="D543" i="9"/>
  <c r="D582" i="9"/>
  <c r="D578" i="9"/>
  <c r="D574" i="9"/>
  <c r="D570" i="9"/>
  <c r="D566" i="9"/>
  <c r="D562" i="9"/>
  <c r="D558" i="9"/>
  <c r="D554" i="9"/>
  <c r="D550" i="9"/>
  <c r="D546" i="9"/>
  <c r="D567" i="9"/>
  <c r="D555" i="9"/>
  <c r="D585" i="9"/>
  <c r="D581" i="9"/>
  <c r="D577" i="9"/>
  <c r="D573" i="9"/>
  <c r="D569" i="9"/>
  <c r="D565" i="9"/>
  <c r="D561" i="9"/>
  <c r="D557" i="9"/>
  <c r="D553" i="9"/>
  <c r="D549" i="9"/>
  <c r="D545" i="9"/>
  <c r="D579" i="9"/>
  <c r="D571" i="9"/>
  <c r="D559" i="9"/>
  <c r="D584" i="9"/>
  <c r="D580" i="9"/>
  <c r="D576" i="9"/>
  <c r="D572" i="9"/>
  <c r="D568" i="9"/>
  <c r="D564" i="9"/>
  <c r="D560" i="9"/>
  <c r="D556" i="9"/>
  <c r="D552" i="9"/>
  <c r="D548" i="9"/>
  <c r="O540" i="9" l="1"/>
  <c r="M540" i="9"/>
  <c r="J540" i="9"/>
  <c r="G540" i="9"/>
  <c r="C540" i="9"/>
  <c r="O539" i="9"/>
  <c r="M539" i="9"/>
  <c r="J539" i="9"/>
  <c r="G539" i="9"/>
  <c r="C539" i="9"/>
  <c r="O538" i="9"/>
  <c r="M538" i="9"/>
  <c r="J538" i="9"/>
  <c r="G538" i="9"/>
  <c r="C538" i="9"/>
  <c r="O537" i="9"/>
  <c r="M537" i="9"/>
  <c r="J537" i="9"/>
  <c r="G537" i="9"/>
  <c r="C537" i="9"/>
  <c r="O536" i="9"/>
  <c r="M536" i="9"/>
  <c r="J536" i="9"/>
  <c r="G536" i="9"/>
  <c r="C536" i="9"/>
  <c r="O535" i="9"/>
  <c r="M535" i="9"/>
  <c r="J535" i="9"/>
  <c r="G535" i="9"/>
  <c r="C535" i="9"/>
  <c r="O534" i="9"/>
  <c r="M534" i="9"/>
  <c r="J534" i="9"/>
  <c r="G534" i="9"/>
  <c r="C534" i="9"/>
  <c r="O533" i="9"/>
  <c r="M533" i="9"/>
  <c r="J533" i="9"/>
  <c r="G533" i="9"/>
  <c r="C533" i="9"/>
  <c r="O532" i="9"/>
  <c r="M532" i="9"/>
  <c r="J532" i="9"/>
  <c r="G532" i="9"/>
  <c r="C532" i="9"/>
  <c r="O531" i="9"/>
  <c r="M531" i="9"/>
  <c r="J531" i="9"/>
  <c r="G531" i="9"/>
  <c r="C531" i="9"/>
  <c r="O530" i="9"/>
  <c r="M530" i="9"/>
  <c r="J530" i="9"/>
  <c r="G530" i="9"/>
  <c r="C530" i="9"/>
  <c r="O529" i="9"/>
  <c r="M529" i="9"/>
  <c r="J529" i="9"/>
  <c r="G529" i="9"/>
  <c r="C529" i="9"/>
  <c r="O528" i="9"/>
  <c r="M528" i="9"/>
  <c r="J528" i="9"/>
  <c r="G528" i="9"/>
  <c r="C528" i="9"/>
  <c r="O527" i="9"/>
  <c r="M527" i="9"/>
  <c r="J527" i="9"/>
  <c r="G527" i="9"/>
  <c r="C527" i="9"/>
  <c r="O526" i="9"/>
  <c r="M526" i="9"/>
  <c r="J526" i="9"/>
  <c r="G526" i="9"/>
  <c r="C526" i="9"/>
  <c r="O525" i="9"/>
  <c r="M525" i="9"/>
  <c r="J525" i="9"/>
  <c r="G525" i="9"/>
  <c r="C525" i="9"/>
  <c r="O524" i="9"/>
  <c r="M524" i="9"/>
  <c r="J524" i="9"/>
  <c r="G524" i="9"/>
  <c r="C524" i="9"/>
  <c r="O523" i="9"/>
  <c r="M523" i="9"/>
  <c r="J523" i="9"/>
  <c r="G523" i="9"/>
  <c r="C523" i="9"/>
  <c r="O522" i="9"/>
  <c r="M522" i="9"/>
  <c r="J522" i="9"/>
  <c r="G522" i="9"/>
  <c r="C522" i="9"/>
  <c r="O521" i="9"/>
  <c r="M521" i="9"/>
  <c r="J521" i="9"/>
  <c r="G521" i="9"/>
  <c r="C521" i="9"/>
  <c r="O520" i="9"/>
  <c r="M520" i="9"/>
  <c r="J520" i="9"/>
  <c r="G520" i="9"/>
  <c r="C520" i="9"/>
  <c r="O519" i="9"/>
  <c r="M519" i="9"/>
  <c r="J519" i="9"/>
  <c r="G519" i="9"/>
  <c r="C519" i="9"/>
  <c r="O518" i="9"/>
  <c r="M518" i="9"/>
  <c r="J518" i="9"/>
  <c r="G518" i="9"/>
  <c r="C518" i="9"/>
  <c r="O517" i="9"/>
  <c r="M517" i="9"/>
  <c r="J517" i="9"/>
  <c r="G517" i="9"/>
  <c r="C517" i="9"/>
  <c r="O516" i="9"/>
  <c r="M516" i="9"/>
  <c r="J516" i="9"/>
  <c r="G516" i="9"/>
  <c r="C516" i="9"/>
  <c r="O515" i="9"/>
  <c r="M515" i="9"/>
  <c r="J515" i="9"/>
  <c r="G515" i="9"/>
  <c r="C515" i="9"/>
  <c r="O514" i="9"/>
  <c r="M514" i="9"/>
  <c r="J514" i="9"/>
  <c r="G514" i="9"/>
  <c r="C514" i="9"/>
  <c r="O513" i="9"/>
  <c r="M513" i="9"/>
  <c r="J513" i="9"/>
  <c r="G513" i="9"/>
  <c r="C513" i="9"/>
  <c r="O512" i="9"/>
  <c r="M512" i="9"/>
  <c r="J512" i="9"/>
  <c r="G512" i="9"/>
  <c r="C512" i="9"/>
  <c r="O511" i="9"/>
  <c r="M511" i="9"/>
  <c r="J511" i="9"/>
  <c r="G511" i="9"/>
  <c r="C511" i="9"/>
  <c r="O510" i="9"/>
  <c r="M510" i="9"/>
  <c r="J510" i="9"/>
  <c r="G510" i="9"/>
  <c r="C510" i="9"/>
  <c r="O509" i="9"/>
  <c r="M509" i="9"/>
  <c r="J509" i="9"/>
  <c r="G509" i="9"/>
  <c r="C509" i="9"/>
  <c r="O508" i="9"/>
  <c r="M508" i="9"/>
  <c r="J508" i="9"/>
  <c r="G508" i="9"/>
  <c r="C508" i="9"/>
  <c r="O507" i="9"/>
  <c r="M507" i="9"/>
  <c r="J507" i="9"/>
  <c r="G507" i="9"/>
  <c r="C507" i="9"/>
  <c r="O506" i="9"/>
  <c r="M506" i="9"/>
  <c r="J506" i="9"/>
  <c r="G506" i="9"/>
  <c r="C506" i="9"/>
  <c r="O505" i="9"/>
  <c r="M505" i="9"/>
  <c r="J505" i="9"/>
  <c r="G505" i="9"/>
  <c r="C505" i="9"/>
  <c r="O504" i="9"/>
  <c r="M504" i="9"/>
  <c r="J504" i="9"/>
  <c r="G504" i="9"/>
  <c r="C504" i="9"/>
  <c r="O503" i="9"/>
  <c r="M503" i="9"/>
  <c r="J503" i="9"/>
  <c r="G503" i="9"/>
  <c r="C503" i="9"/>
  <c r="O502" i="9"/>
  <c r="M502" i="9"/>
  <c r="J502" i="9"/>
  <c r="G502" i="9"/>
  <c r="C502" i="9"/>
  <c r="O501" i="9"/>
  <c r="M501" i="9"/>
  <c r="J501" i="9"/>
  <c r="G501" i="9"/>
  <c r="C501" i="9"/>
  <c r="O500" i="9"/>
  <c r="M500" i="9"/>
  <c r="J500" i="9"/>
  <c r="G500" i="9"/>
  <c r="C500" i="9"/>
  <c r="O499" i="9"/>
  <c r="M499" i="9"/>
  <c r="J499" i="9"/>
  <c r="G499" i="9"/>
  <c r="C499" i="9"/>
  <c r="O498" i="9"/>
  <c r="M498" i="9"/>
  <c r="J498" i="9"/>
  <c r="G498" i="9"/>
  <c r="C498" i="9"/>
  <c r="K29" i="22" s="1"/>
  <c r="O531" i="8"/>
  <c r="M531" i="8"/>
  <c r="J531" i="8"/>
  <c r="G531" i="8"/>
  <c r="C531" i="8"/>
  <c r="O530" i="8"/>
  <c r="M530" i="8"/>
  <c r="J530" i="8"/>
  <c r="G530" i="8"/>
  <c r="C530" i="8"/>
  <c r="O529" i="8"/>
  <c r="M529" i="8"/>
  <c r="J529" i="8"/>
  <c r="G529" i="8"/>
  <c r="C529" i="8"/>
  <c r="O528" i="8"/>
  <c r="M528" i="8"/>
  <c r="J528" i="8"/>
  <c r="G528" i="8"/>
  <c r="C528" i="8"/>
  <c r="O527" i="8"/>
  <c r="M527" i="8"/>
  <c r="J527" i="8"/>
  <c r="G527" i="8"/>
  <c r="C527" i="8"/>
  <c r="O526" i="8"/>
  <c r="M526" i="8"/>
  <c r="J526" i="8"/>
  <c r="G526" i="8"/>
  <c r="C526" i="8"/>
  <c r="O525" i="8"/>
  <c r="M525" i="8"/>
  <c r="J525" i="8"/>
  <c r="G525" i="8"/>
  <c r="C525" i="8"/>
  <c r="O524" i="8"/>
  <c r="M524" i="8"/>
  <c r="J524" i="8"/>
  <c r="G524" i="8"/>
  <c r="C524" i="8"/>
  <c r="O523" i="8"/>
  <c r="M523" i="8"/>
  <c r="J523" i="8"/>
  <c r="G523" i="8"/>
  <c r="C523" i="8"/>
  <c r="O522" i="8"/>
  <c r="M522" i="8"/>
  <c r="J522" i="8"/>
  <c r="G522" i="8"/>
  <c r="C522" i="8"/>
  <c r="O521" i="8"/>
  <c r="M521" i="8"/>
  <c r="J521" i="8"/>
  <c r="G521" i="8"/>
  <c r="C521" i="8"/>
  <c r="O520" i="8"/>
  <c r="M520" i="8"/>
  <c r="J520" i="8"/>
  <c r="G520" i="8"/>
  <c r="C520" i="8"/>
  <c r="O519" i="8"/>
  <c r="M519" i="8"/>
  <c r="J519" i="8"/>
  <c r="G519" i="8"/>
  <c r="C519" i="8"/>
  <c r="O518" i="8"/>
  <c r="M518" i="8"/>
  <c r="J518" i="8"/>
  <c r="G518" i="8"/>
  <c r="C518" i="8"/>
  <c r="W518" i="8" s="1"/>
  <c r="O517" i="8"/>
  <c r="M517" i="8"/>
  <c r="J517" i="8"/>
  <c r="G517" i="8"/>
  <c r="C517" i="8"/>
  <c r="O516" i="8"/>
  <c r="M516" i="8"/>
  <c r="J516" i="8"/>
  <c r="G516" i="8"/>
  <c r="C516" i="8"/>
  <c r="O515" i="8"/>
  <c r="M515" i="8"/>
  <c r="J515" i="8"/>
  <c r="G515" i="8"/>
  <c r="C515" i="8"/>
  <c r="O514" i="8"/>
  <c r="M514" i="8"/>
  <c r="J514" i="8"/>
  <c r="G514" i="8"/>
  <c r="C514" i="8"/>
  <c r="O513" i="8"/>
  <c r="M513" i="8"/>
  <c r="J513" i="8"/>
  <c r="G513" i="8"/>
  <c r="C513" i="8"/>
  <c r="O512" i="8"/>
  <c r="M512" i="8"/>
  <c r="J512" i="8"/>
  <c r="G512" i="8"/>
  <c r="C512" i="8"/>
  <c r="O511" i="8"/>
  <c r="M511" i="8"/>
  <c r="J511" i="8"/>
  <c r="G511" i="8"/>
  <c r="C511" i="8"/>
  <c r="O510" i="8"/>
  <c r="M510" i="8"/>
  <c r="J510" i="8"/>
  <c r="G510" i="8"/>
  <c r="C510" i="8"/>
  <c r="W510" i="8" s="1"/>
  <c r="O509" i="8"/>
  <c r="M509" i="8"/>
  <c r="J509" i="8"/>
  <c r="G509" i="8"/>
  <c r="C509" i="8"/>
  <c r="O508" i="8"/>
  <c r="M508" i="8"/>
  <c r="J508" i="8"/>
  <c r="G508" i="8"/>
  <c r="C508" i="8"/>
  <c r="O507" i="8"/>
  <c r="M507" i="8"/>
  <c r="J507" i="8"/>
  <c r="G507" i="8"/>
  <c r="C507" i="8"/>
  <c r="O506" i="8"/>
  <c r="M506" i="8"/>
  <c r="J506" i="8"/>
  <c r="G506" i="8"/>
  <c r="C506" i="8"/>
  <c r="O505" i="8"/>
  <c r="M505" i="8"/>
  <c r="J505" i="8"/>
  <c r="G505" i="8"/>
  <c r="C505" i="8"/>
  <c r="O504" i="8"/>
  <c r="M504" i="8"/>
  <c r="J504" i="8"/>
  <c r="G504" i="8"/>
  <c r="C504" i="8"/>
  <c r="O503" i="8"/>
  <c r="M503" i="8"/>
  <c r="J503" i="8"/>
  <c r="G503" i="8"/>
  <c r="C503" i="8"/>
  <c r="O502" i="8"/>
  <c r="M502" i="8"/>
  <c r="J502" i="8"/>
  <c r="G502" i="8"/>
  <c r="C502" i="8"/>
  <c r="W502" i="8" s="1"/>
  <c r="O501" i="8"/>
  <c r="M501" i="8"/>
  <c r="J501" i="8"/>
  <c r="G501" i="8"/>
  <c r="C501" i="8"/>
  <c r="O500" i="8"/>
  <c r="M500" i="8"/>
  <c r="J500" i="8"/>
  <c r="G500" i="8"/>
  <c r="C500" i="8"/>
  <c r="O499" i="8"/>
  <c r="M499" i="8"/>
  <c r="J499" i="8"/>
  <c r="G499" i="8"/>
  <c r="C499" i="8"/>
  <c r="O498" i="8"/>
  <c r="M498" i="8"/>
  <c r="J498" i="8"/>
  <c r="G498" i="8"/>
  <c r="C498" i="8"/>
  <c r="O497" i="8"/>
  <c r="M497" i="8"/>
  <c r="J497" i="8"/>
  <c r="G497" i="8"/>
  <c r="C497" i="8"/>
  <c r="O496" i="8"/>
  <c r="M496" i="8"/>
  <c r="J496" i="8"/>
  <c r="G496" i="8"/>
  <c r="C496" i="8"/>
  <c r="O495" i="8"/>
  <c r="M495" i="8"/>
  <c r="J495" i="8"/>
  <c r="G495" i="8"/>
  <c r="C495" i="8"/>
  <c r="O494" i="8"/>
  <c r="M494" i="8"/>
  <c r="J494" i="8"/>
  <c r="G494" i="8"/>
  <c r="C494" i="8"/>
  <c r="W494" i="8" s="1"/>
  <c r="O493" i="8"/>
  <c r="M493" i="8"/>
  <c r="J493" i="8"/>
  <c r="G493" i="8"/>
  <c r="C493" i="8"/>
  <c r="O492" i="8"/>
  <c r="M492" i="8"/>
  <c r="W492" i="8" s="1"/>
  <c r="J492" i="8"/>
  <c r="G492" i="8"/>
  <c r="O495" i="9"/>
  <c r="M495" i="9"/>
  <c r="W495" i="9" s="1"/>
  <c r="J495" i="9"/>
  <c r="G495" i="9"/>
  <c r="O494" i="9"/>
  <c r="M494" i="9"/>
  <c r="W494" i="9" s="1"/>
  <c r="J494" i="9"/>
  <c r="G494" i="9"/>
  <c r="O493" i="9"/>
  <c r="M493" i="9"/>
  <c r="W493" i="9" s="1"/>
  <c r="J493" i="9"/>
  <c r="G493" i="9"/>
  <c r="O492" i="9"/>
  <c r="M492" i="9"/>
  <c r="W492" i="9" s="1"/>
  <c r="J492" i="9"/>
  <c r="G492" i="9"/>
  <c r="O491" i="9"/>
  <c r="M491" i="9"/>
  <c r="W491" i="9" s="1"/>
  <c r="J491" i="9"/>
  <c r="G491" i="9"/>
  <c r="O490" i="9"/>
  <c r="M490" i="9"/>
  <c r="W490" i="9" s="1"/>
  <c r="J490" i="9"/>
  <c r="G490" i="9"/>
  <c r="O489" i="9"/>
  <c r="M489" i="9"/>
  <c r="W489" i="9" s="1"/>
  <c r="J489" i="9"/>
  <c r="G489" i="9"/>
  <c r="O488" i="9"/>
  <c r="M488" i="9"/>
  <c r="W488" i="9" s="1"/>
  <c r="J488" i="9"/>
  <c r="G488" i="9"/>
  <c r="O487" i="9"/>
  <c r="M487" i="9"/>
  <c r="W487" i="9" s="1"/>
  <c r="J487" i="9"/>
  <c r="G487" i="9"/>
  <c r="O486" i="9"/>
  <c r="M486" i="9"/>
  <c r="W486" i="9" s="1"/>
  <c r="J486" i="9"/>
  <c r="G486" i="9"/>
  <c r="O485" i="9"/>
  <c r="M485" i="9"/>
  <c r="W485" i="9" s="1"/>
  <c r="J485" i="9"/>
  <c r="G485" i="9"/>
  <c r="O484" i="9"/>
  <c r="M484" i="9"/>
  <c r="W484" i="9" s="1"/>
  <c r="J484" i="9"/>
  <c r="G484" i="9"/>
  <c r="O483" i="9"/>
  <c r="M483" i="9"/>
  <c r="W483" i="9" s="1"/>
  <c r="J483" i="9"/>
  <c r="G483" i="9"/>
  <c r="O482" i="9"/>
  <c r="M482" i="9"/>
  <c r="W482" i="9" s="1"/>
  <c r="J482" i="9"/>
  <c r="G482" i="9"/>
  <c r="O481" i="9"/>
  <c r="M481" i="9"/>
  <c r="W481" i="9" s="1"/>
  <c r="J481" i="9"/>
  <c r="G481" i="9"/>
  <c r="O480" i="9"/>
  <c r="M480" i="9"/>
  <c r="W480" i="9" s="1"/>
  <c r="J480" i="9"/>
  <c r="G480" i="9"/>
  <c r="O479" i="9"/>
  <c r="M479" i="9"/>
  <c r="W479" i="9" s="1"/>
  <c r="J479" i="9"/>
  <c r="G479" i="9"/>
  <c r="O478" i="9"/>
  <c r="M478" i="9"/>
  <c r="W478" i="9" s="1"/>
  <c r="J478" i="9"/>
  <c r="G478" i="9"/>
  <c r="O477" i="9"/>
  <c r="M477" i="9"/>
  <c r="W477" i="9" s="1"/>
  <c r="J477" i="9"/>
  <c r="G477" i="9"/>
  <c r="O476" i="9"/>
  <c r="M476" i="9"/>
  <c r="W476" i="9" s="1"/>
  <c r="J476" i="9"/>
  <c r="G476" i="9"/>
  <c r="O475" i="9"/>
  <c r="M475" i="9"/>
  <c r="W475" i="9" s="1"/>
  <c r="J475" i="9"/>
  <c r="G475" i="9"/>
  <c r="O474" i="9"/>
  <c r="M474" i="9"/>
  <c r="W474" i="9" s="1"/>
  <c r="J474" i="9"/>
  <c r="G474" i="9"/>
  <c r="O473" i="9"/>
  <c r="M473" i="9"/>
  <c r="W473" i="9" s="1"/>
  <c r="J473" i="9"/>
  <c r="G473" i="9"/>
  <c r="O472" i="9"/>
  <c r="M472" i="9"/>
  <c r="W472" i="9" s="1"/>
  <c r="J472" i="9"/>
  <c r="G472" i="9"/>
  <c r="O471" i="9"/>
  <c r="M471" i="9"/>
  <c r="W471" i="9" s="1"/>
  <c r="J471" i="9"/>
  <c r="G471" i="9"/>
  <c r="O470" i="9"/>
  <c r="M470" i="9"/>
  <c r="W470" i="9" s="1"/>
  <c r="J470" i="9"/>
  <c r="G470" i="9"/>
  <c r="O469" i="9"/>
  <c r="M469" i="9"/>
  <c r="W469" i="9" s="1"/>
  <c r="J469" i="9"/>
  <c r="G469" i="9"/>
  <c r="O468" i="9"/>
  <c r="M468" i="9"/>
  <c r="W468" i="9" s="1"/>
  <c r="J468" i="9"/>
  <c r="G468" i="9"/>
  <c r="O467" i="9"/>
  <c r="M467" i="9"/>
  <c r="W467" i="9" s="1"/>
  <c r="J467" i="9"/>
  <c r="G467" i="9"/>
  <c r="O466" i="9"/>
  <c r="M466" i="9"/>
  <c r="W466" i="9" s="1"/>
  <c r="J466" i="9"/>
  <c r="G466" i="9"/>
  <c r="O465" i="9"/>
  <c r="M465" i="9"/>
  <c r="W465" i="9" s="1"/>
  <c r="J465" i="9"/>
  <c r="G465" i="9"/>
  <c r="O464" i="9"/>
  <c r="M464" i="9"/>
  <c r="W464" i="9" s="1"/>
  <c r="J464" i="9"/>
  <c r="G464" i="9"/>
  <c r="O463" i="9"/>
  <c r="M463" i="9"/>
  <c r="W463" i="9" s="1"/>
  <c r="J463" i="9"/>
  <c r="G463" i="9"/>
  <c r="O462" i="9"/>
  <c r="M462" i="9"/>
  <c r="W462" i="9" s="1"/>
  <c r="J462" i="9"/>
  <c r="G462" i="9"/>
  <c r="O461" i="9"/>
  <c r="M461" i="9"/>
  <c r="W461" i="9" s="1"/>
  <c r="J461" i="9"/>
  <c r="G461" i="9"/>
  <c r="O460" i="9"/>
  <c r="M460" i="9"/>
  <c r="W460" i="9" s="1"/>
  <c r="J460" i="9"/>
  <c r="G460" i="9"/>
  <c r="O459" i="9"/>
  <c r="M459" i="9"/>
  <c r="W459" i="9" s="1"/>
  <c r="J459" i="9"/>
  <c r="G459" i="9"/>
  <c r="O458" i="9"/>
  <c r="M458" i="9"/>
  <c r="W458" i="9" s="1"/>
  <c r="J458" i="9"/>
  <c r="G458" i="9"/>
  <c r="O457" i="9"/>
  <c r="M457" i="9"/>
  <c r="W457" i="9" s="1"/>
  <c r="J457" i="9"/>
  <c r="G457" i="9"/>
  <c r="O456" i="9"/>
  <c r="M456" i="9"/>
  <c r="W456" i="9" s="1"/>
  <c r="J456" i="9"/>
  <c r="G456" i="9"/>
  <c r="O455" i="9"/>
  <c r="M455" i="9"/>
  <c r="W455" i="9" s="1"/>
  <c r="J455" i="9"/>
  <c r="G455" i="9"/>
  <c r="O454" i="9"/>
  <c r="M454" i="9"/>
  <c r="W454" i="9" s="1"/>
  <c r="J454" i="9"/>
  <c r="G454" i="9"/>
  <c r="O453" i="9"/>
  <c r="M453" i="9"/>
  <c r="W453" i="9" s="1"/>
  <c r="J453" i="9"/>
  <c r="G453" i="9"/>
  <c r="O487" i="8"/>
  <c r="M487" i="8"/>
  <c r="J487" i="8"/>
  <c r="G487" i="8"/>
  <c r="C487" i="8"/>
  <c r="O486" i="8"/>
  <c r="M486" i="8"/>
  <c r="J486" i="8"/>
  <c r="G486" i="8"/>
  <c r="C486" i="8"/>
  <c r="O485" i="8"/>
  <c r="M485" i="8"/>
  <c r="J485" i="8"/>
  <c r="G485" i="8"/>
  <c r="C485" i="8"/>
  <c r="O484" i="8"/>
  <c r="M484" i="8"/>
  <c r="J484" i="8"/>
  <c r="G484" i="8"/>
  <c r="C484" i="8"/>
  <c r="O483" i="8"/>
  <c r="M483" i="8"/>
  <c r="J483" i="8"/>
  <c r="G483" i="8"/>
  <c r="C483" i="8"/>
  <c r="O482" i="8"/>
  <c r="M482" i="8"/>
  <c r="J482" i="8"/>
  <c r="G482" i="8"/>
  <c r="C482" i="8"/>
  <c r="O481" i="8"/>
  <c r="M481" i="8"/>
  <c r="J481" i="8"/>
  <c r="G481" i="8"/>
  <c r="C481" i="8"/>
  <c r="W481" i="8" s="1"/>
  <c r="O480" i="8"/>
  <c r="M480" i="8"/>
  <c r="J480" i="8"/>
  <c r="G480" i="8"/>
  <c r="C480" i="8"/>
  <c r="O479" i="8"/>
  <c r="M479" i="8"/>
  <c r="J479" i="8"/>
  <c r="G479" i="8"/>
  <c r="C479" i="8"/>
  <c r="O478" i="8"/>
  <c r="M478" i="8"/>
  <c r="J478" i="8"/>
  <c r="G478" i="8"/>
  <c r="C478" i="8"/>
  <c r="O477" i="8"/>
  <c r="M477" i="8"/>
  <c r="J477" i="8"/>
  <c r="G477" i="8"/>
  <c r="C477" i="8"/>
  <c r="O476" i="8"/>
  <c r="M476" i="8"/>
  <c r="J476" i="8"/>
  <c r="G476" i="8"/>
  <c r="C476" i="8"/>
  <c r="O475" i="8"/>
  <c r="M475" i="8"/>
  <c r="J475" i="8"/>
  <c r="G475" i="8"/>
  <c r="C475" i="8"/>
  <c r="O474" i="8"/>
  <c r="M474" i="8"/>
  <c r="J474" i="8"/>
  <c r="G474" i="8"/>
  <c r="C474" i="8"/>
  <c r="O473" i="8"/>
  <c r="M473" i="8"/>
  <c r="J473" i="8"/>
  <c r="G473" i="8"/>
  <c r="C473" i="8"/>
  <c r="W473" i="8" s="1"/>
  <c r="O472" i="8"/>
  <c r="M472" i="8"/>
  <c r="J472" i="8"/>
  <c r="G472" i="8"/>
  <c r="C472" i="8"/>
  <c r="O471" i="8"/>
  <c r="M471" i="8"/>
  <c r="J471" i="8"/>
  <c r="G471" i="8"/>
  <c r="C471" i="8"/>
  <c r="O470" i="8"/>
  <c r="M470" i="8"/>
  <c r="J470" i="8"/>
  <c r="G470" i="8"/>
  <c r="C470" i="8"/>
  <c r="O469" i="8"/>
  <c r="M469" i="8"/>
  <c r="J469" i="8"/>
  <c r="G469" i="8"/>
  <c r="C469" i="8"/>
  <c r="O468" i="8"/>
  <c r="M468" i="8"/>
  <c r="J468" i="8"/>
  <c r="G468" i="8"/>
  <c r="C468" i="8"/>
  <c r="O467" i="8"/>
  <c r="M467" i="8"/>
  <c r="J467" i="8"/>
  <c r="G467" i="8"/>
  <c r="C467" i="8"/>
  <c r="O466" i="8"/>
  <c r="M466" i="8"/>
  <c r="J466" i="8"/>
  <c r="G466" i="8"/>
  <c r="C466" i="8"/>
  <c r="O465" i="8"/>
  <c r="M465" i="8"/>
  <c r="J465" i="8"/>
  <c r="G465" i="8"/>
  <c r="C465" i="8"/>
  <c r="W465" i="8" s="1"/>
  <c r="O464" i="8"/>
  <c r="M464" i="8"/>
  <c r="J464" i="8"/>
  <c r="G464" i="8"/>
  <c r="C464" i="8"/>
  <c r="O463" i="8"/>
  <c r="M463" i="8"/>
  <c r="J463" i="8"/>
  <c r="G463" i="8"/>
  <c r="C463" i="8"/>
  <c r="O462" i="8"/>
  <c r="M462" i="8"/>
  <c r="J462" i="8"/>
  <c r="G462" i="8"/>
  <c r="C462" i="8"/>
  <c r="O461" i="8"/>
  <c r="M461" i="8"/>
  <c r="J461" i="8"/>
  <c r="G461" i="8"/>
  <c r="C461" i="8"/>
  <c r="O460" i="8"/>
  <c r="M460" i="8"/>
  <c r="J460" i="8"/>
  <c r="G460" i="8"/>
  <c r="C460" i="8"/>
  <c r="O459" i="8"/>
  <c r="M459" i="8"/>
  <c r="J459" i="8"/>
  <c r="G459" i="8"/>
  <c r="C459" i="8"/>
  <c r="O458" i="8"/>
  <c r="M458" i="8"/>
  <c r="J458" i="8"/>
  <c r="G458" i="8"/>
  <c r="C458" i="8"/>
  <c r="O457" i="8"/>
  <c r="M457" i="8"/>
  <c r="J457" i="8"/>
  <c r="G457" i="8"/>
  <c r="C457" i="8"/>
  <c r="W457" i="8" s="1"/>
  <c r="O456" i="8"/>
  <c r="M456" i="8"/>
  <c r="J456" i="8"/>
  <c r="G456" i="8"/>
  <c r="C456" i="8"/>
  <c r="O455" i="8"/>
  <c r="M455" i="8"/>
  <c r="J455" i="8"/>
  <c r="G455" i="8"/>
  <c r="C455" i="8"/>
  <c r="O454" i="8"/>
  <c r="M454" i="8"/>
  <c r="J454" i="8"/>
  <c r="G454" i="8"/>
  <c r="C454" i="8"/>
  <c r="O453" i="8"/>
  <c r="M453" i="8"/>
  <c r="J453" i="8"/>
  <c r="G453" i="8"/>
  <c r="C453" i="8"/>
  <c r="O452" i="8"/>
  <c r="M452" i="8"/>
  <c r="J452" i="8"/>
  <c r="G452" i="8"/>
  <c r="C452" i="8"/>
  <c r="O451" i="8"/>
  <c r="M451" i="8"/>
  <c r="J451" i="8"/>
  <c r="G451" i="8"/>
  <c r="C451" i="8"/>
  <c r="O450" i="8"/>
  <c r="M450" i="8"/>
  <c r="J450" i="8"/>
  <c r="G450" i="8"/>
  <c r="C450" i="8"/>
  <c r="O449" i="8"/>
  <c r="M449" i="8"/>
  <c r="J449" i="8"/>
  <c r="G449" i="8"/>
  <c r="C449" i="8"/>
  <c r="O448" i="8"/>
  <c r="M448" i="8"/>
  <c r="J448" i="8"/>
  <c r="G448" i="8"/>
  <c r="C448" i="8"/>
  <c r="O450" i="9"/>
  <c r="M450" i="9"/>
  <c r="J450" i="9"/>
  <c r="G450" i="9"/>
  <c r="C450" i="9"/>
  <c r="O449" i="9"/>
  <c r="M449" i="9"/>
  <c r="J449" i="9"/>
  <c r="G449" i="9"/>
  <c r="C449" i="9"/>
  <c r="O448" i="9"/>
  <c r="M448" i="9"/>
  <c r="J448" i="9"/>
  <c r="G448" i="9"/>
  <c r="C448" i="9"/>
  <c r="O447" i="9"/>
  <c r="M447" i="9"/>
  <c r="J447" i="9"/>
  <c r="G447" i="9"/>
  <c r="C447" i="9"/>
  <c r="O446" i="9"/>
  <c r="M446" i="9"/>
  <c r="J446" i="9"/>
  <c r="G446" i="9"/>
  <c r="C446" i="9"/>
  <c r="O445" i="9"/>
  <c r="M445" i="9"/>
  <c r="J445" i="9"/>
  <c r="G445" i="9"/>
  <c r="C445" i="9"/>
  <c r="O444" i="9"/>
  <c r="M444" i="9"/>
  <c r="J444" i="9"/>
  <c r="G444" i="9"/>
  <c r="C444" i="9"/>
  <c r="O443" i="9"/>
  <c r="M443" i="9"/>
  <c r="J443" i="9"/>
  <c r="G443" i="9"/>
  <c r="C443" i="9"/>
  <c r="O442" i="9"/>
  <c r="M442" i="9"/>
  <c r="J442" i="9"/>
  <c r="G442" i="9"/>
  <c r="C442" i="9"/>
  <c r="O441" i="9"/>
  <c r="M441" i="9"/>
  <c r="J441" i="9"/>
  <c r="G441" i="9"/>
  <c r="C441" i="9"/>
  <c r="O440" i="9"/>
  <c r="M440" i="9"/>
  <c r="J440" i="9"/>
  <c r="G440" i="9"/>
  <c r="C440" i="9"/>
  <c r="O439" i="9"/>
  <c r="M439" i="9"/>
  <c r="J439" i="9"/>
  <c r="G439" i="9"/>
  <c r="C439" i="9"/>
  <c r="O438" i="9"/>
  <c r="M438" i="9"/>
  <c r="J438" i="9"/>
  <c r="G438" i="9"/>
  <c r="C438" i="9"/>
  <c r="O437" i="9"/>
  <c r="M437" i="9"/>
  <c r="J437" i="9"/>
  <c r="G437" i="9"/>
  <c r="C437" i="9"/>
  <c r="O436" i="9"/>
  <c r="M436" i="9"/>
  <c r="J436" i="9"/>
  <c r="G436" i="9"/>
  <c r="C436" i="9"/>
  <c r="O435" i="9"/>
  <c r="M435" i="9"/>
  <c r="J435" i="9"/>
  <c r="G435" i="9"/>
  <c r="C435" i="9"/>
  <c r="O434" i="9"/>
  <c r="M434" i="9"/>
  <c r="J434" i="9"/>
  <c r="G434" i="9"/>
  <c r="C434" i="9"/>
  <c r="O433" i="9"/>
  <c r="M433" i="9"/>
  <c r="J433" i="9"/>
  <c r="G433" i="9"/>
  <c r="C433" i="9"/>
  <c r="O432" i="9"/>
  <c r="M432" i="9"/>
  <c r="J432" i="9"/>
  <c r="G432" i="9"/>
  <c r="C432" i="9"/>
  <c r="O431" i="9"/>
  <c r="M431" i="9"/>
  <c r="J431" i="9"/>
  <c r="G431" i="9"/>
  <c r="C431" i="9"/>
  <c r="O430" i="9"/>
  <c r="M430" i="9"/>
  <c r="J430" i="9"/>
  <c r="G430" i="9"/>
  <c r="C430" i="9"/>
  <c r="O429" i="9"/>
  <c r="M429" i="9"/>
  <c r="J429" i="9"/>
  <c r="G429" i="9"/>
  <c r="C429" i="9"/>
  <c r="O428" i="9"/>
  <c r="M428" i="9"/>
  <c r="J428" i="9"/>
  <c r="G428" i="9"/>
  <c r="C428" i="9"/>
  <c r="O427" i="9"/>
  <c r="M427" i="9"/>
  <c r="J427" i="9"/>
  <c r="G427" i="9"/>
  <c r="C427" i="9"/>
  <c r="O426" i="9"/>
  <c r="M426" i="9"/>
  <c r="J426" i="9"/>
  <c r="G426" i="9"/>
  <c r="C426" i="9"/>
  <c r="O425" i="9"/>
  <c r="M425" i="9"/>
  <c r="J425" i="9"/>
  <c r="G425" i="9"/>
  <c r="C425" i="9"/>
  <c r="O424" i="9"/>
  <c r="M424" i="9"/>
  <c r="J424" i="9"/>
  <c r="G424" i="9"/>
  <c r="C424" i="9"/>
  <c r="O423" i="9"/>
  <c r="M423" i="9"/>
  <c r="J423" i="9"/>
  <c r="G423" i="9"/>
  <c r="C423" i="9"/>
  <c r="O422" i="9"/>
  <c r="M422" i="9"/>
  <c r="J422" i="9"/>
  <c r="G422" i="9"/>
  <c r="C422" i="9"/>
  <c r="O421" i="9"/>
  <c r="M421" i="9"/>
  <c r="J421" i="9"/>
  <c r="G421" i="9"/>
  <c r="C421" i="9"/>
  <c r="O420" i="9"/>
  <c r="M420" i="9"/>
  <c r="J420" i="9"/>
  <c r="G420" i="9"/>
  <c r="C420" i="9"/>
  <c r="O419" i="9"/>
  <c r="M419" i="9"/>
  <c r="J419" i="9"/>
  <c r="G419" i="9"/>
  <c r="C419" i="9"/>
  <c r="O418" i="9"/>
  <c r="M418" i="9"/>
  <c r="J418" i="9"/>
  <c r="G418" i="9"/>
  <c r="C418" i="9"/>
  <c r="O417" i="9"/>
  <c r="M417" i="9"/>
  <c r="J417" i="9"/>
  <c r="G417" i="9"/>
  <c r="C417" i="9"/>
  <c r="O416" i="9"/>
  <c r="M416" i="9"/>
  <c r="J416" i="9"/>
  <c r="G416" i="9"/>
  <c r="C416" i="9"/>
  <c r="O415" i="9"/>
  <c r="M415" i="9"/>
  <c r="J415" i="9"/>
  <c r="G415" i="9"/>
  <c r="C415" i="9"/>
  <c r="O414" i="9"/>
  <c r="M414" i="9"/>
  <c r="J414" i="9"/>
  <c r="G414" i="9"/>
  <c r="C414" i="9"/>
  <c r="O413" i="9"/>
  <c r="M413" i="9"/>
  <c r="J413" i="9"/>
  <c r="G413" i="9"/>
  <c r="C413" i="9"/>
  <c r="O412" i="9"/>
  <c r="M412" i="9"/>
  <c r="J412" i="9"/>
  <c r="G412" i="9"/>
  <c r="C412" i="9"/>
  <c r="O411" i="9"/>
  <c r="M411" i="9"/>
  <c r="J411" i="9"/>
  <c r="G411" i="9"/>
  <c r="C411" i="9"/>
  <c r="O410" i="9"/>
  <c r="M410" i="9"/>
  <c r="J410" i="9"/>
  <c r="G410" i="9"/>
  <c r="C410" i="9"/>
  <c r="O409" i="9"/>
  <c r="M409" i="9"/>
  <c r="J409" i="9"/>
  <c r="G409" i="9"/>
  <c r="C409" i="9"/>
  <c r="O408" i="9"/>
  <c r="M408" i="9"/>
  <c r="J408" i="9"/>
  <c r="G408" i="9"/>
  <c r="C408" i="9"/>
  <c r="O443" i="8"/>
  <c r="M443" i="8"/>
  <c r="J443" i="8"/>
  <c r="G443" i="8"/>
  <c r="C443" i="8"/>
  <c r="O442" i="8"/>
  <c r="M442" i="8"/>
  <c r="J442" i="8"/>
  <c r="G442" i="8"/>
  <c r="C442" i="8"/>
  <c r="O441" i="8"/>
  <c r="M441" i="8"/>
  <c r="J441" i="8"/>
  <c r="G441" i="8"/>
  <c r="C441" i="8"/>
  <c r="O440" i="8"/>
  <c r="M440" i="8"/>
  <c r="J440" i="8"/>
  <c r="G440" i="8"/>
  <c r="C440" i="8"/>
  <c r="W440" i="8" s="1"/>
  <c r="O439" i="8"/>
  <c r="M439" i="8"/>
  <c r="J439" i="8"/>
  <c r="G439" i="8"/>
  <c r="C439" i="8"/>
  <c r="O438" i="8"/>
  <c r="M438" i="8"/>
  <c r="J438" i="8"/>
  <c r="G438" i="8"/>
  <c r="C438" i="8"/>
  <c r="O437" i="8"/>
  <c r="M437" i="8"/>
  <c r="J437" i="8"/>
  <c r="G437" i="8"/>
  <c r="C437" i="8"/>
  <c r="O436" i="8"/>
  <c r="M436" i="8"/>
  <c r="J436" i="8"/>
  <c r="G436" i="8"/>
  <c r="C436" i="8"/>
  <c r="O435" i="8"/>
  <c r="M435" i="8"/>
  <c r="J435" i="8"/>
  <c r="G435" i="8"/>
  <c r="C435" i="8"/>
  <c r="O434" i="8"/>
  <c r="M434" i="8"/>
  <c r="J434" i="8"/>
  <c r="G434" i="8"/>
  <c r="C434" i="8"/>
  <c r="O433" i="8"/>
  <c r="M433" i="8"/>
  <c r="J433" i="8"/>
  <c r="G433" i="8"/>
  <c r="C433" i="8"/>
  <c r="O432" i="8"/>
  <c r="M432" i="8"/>
  <c r="J432" i="8"/>
  <c r="G432" i="8"/>
  <c r="C432" i="8"/>
  <c r="W432" i="8" s="1"/>
  <c r="O431" i="8"/>
  <c r="M431" i="8"/>
  <c r="J431" i="8"/>
  <c r="G431" i="8"/>
  <c r="C431" i="8"/>
  <c r="O430" i="8"/>
  <c r="M430" i="8"/>
  <c r="J430" i="8"/>
  <c r="G430" i="8"/>
  <c r="C430" i="8"/>
  <c r="O429" i="8"/>
  <c r="M429" i="8"/>
  <c r="J429" i="8"/>
  <c r="G429" i="8"/>
  <c r="C429" i="8"/>
  <c r="O428" i="8"/>
  <c r="M428" i="8"/>
  <c r="J428" i="8"/>
  <c r="G428" i="8"/>
  <c r="C428" i="8"/>
  <c r="O427" i="8"/>
  <c r="M427" i="8"/>
  <c r="J427" i="8"/>
  <c r="G427" i="8"/>
  <c r="C427" i="8"/>
  <c r="O426" i="8"/>
  <c r="M426" i="8"/>
  <c r="J426" i="8"/>
  <c r="G426" i="8"/>
  <c r="C426" i="8"/>
  <c r="O425" i="8"/>
  <c r="M425" i="8"/>
  <c r="J425" i="8"/>
  <c r="G425" i="8"/>
  <c r="C425" i="8"/>
  <c r="O424" i="8"/>
  <c r="M424" i="8"/>
  <c r="J424" i="8"/>
  <c r="G424" i="8"/>
  <c r="C424" i="8"/>
  <c r="W424" i="8" s="1"/>
  <c r="O423" i="8"/>
  <c r="M423" i="8"/>
  <c r="J423" i="8"/>
  <c r="G423" i="8"/>
  <c r="C423" i="8"/>
  <c r="O422" i="8"/>
  <c r="M422" i="8"/>
  <c r="J422" i="8"/>
  <c r="G422" i="8"/>
  <c r="C422" i="8"/>
  <c r="O421" i="8"/>
  <c r="M421" i="8"/>
  <c r="J421" i="8"/>
  <c r="G421" i="8"/>
  <c r="C421" i="8"/>
  <c r="O420" i="8"/>
  <c r="M420" i="8"/>
  <c r="J420" i="8"/>
  <c r="G420" i="8"/>
  <c r="C420" i="8"/>
  <c r="O419" i="8"/>
  <c r="M419" i="8"/>
  <c r="J419" i="8"/>
  <c r="G419" i="8"/>
  <c r="C419" i="8"/>
  <c r="O418" i="8"/>
  <c r="M418" i="8"/>
  <c r="J418" i="8"/>
  <c r="G418" i="8"/>
  <c r="C418" i="8"/>
  <c r="O417" i="8"/>
  <c r="M417" i="8"/>
  <c r="J417" i="8"/>
  <c r="G417" i="8"/>
  <c r="C417" i="8"/>
  <c r="O416" i="8"/>
  <c r="M416" i="8"/>
  <c r="J416" i="8"/>
  <c r="G416" i="8"/>
  <c r="C416" i="8"/>
  <c r="W416" i="8" s="1"/>
  <c r="O415" i="8"/>
  <c r="M415" i="8"/>
  <c r="J415" i="8"/>
  <c r="G415" i="8"/>
  <c r="C415" i="8"/>
  <c r="O414" i="8"/>
  <c r="M414" i="8"/>
  <c r="J414" i="8"/>
  <c r="G414" i="8"/>
  <c r="C414" i="8"/>
  <c r="O413" i="8"/>
  <c r="M413" i="8"/>
  <c r="J413" i="8"/>
  <c r="G413" i="8"/>
  <c r="C413" i="8"/>
  <c r="O412" i="8"/>
  <c r="M412" i="8"/>
  <c r="J412" i="8"/>
  <c r="G412" i="8"/>
  <c r="C412" i="8"/>
  <c r="O411" i="8"/>
  <c r="M411" i="8"/>
  <c r="J411" i="8"/>
  <c r="G411" i="8"/>
  <c r="C411" i="8"/>
  <c r="O410" i="8"/>
  <c r="M410" i="8"/>
  <c r="J410" i="8"/>
  <c r="G410" i="8"/>
  <c r="C410" i="8"/>
  <c r="O409" i="8"/>
  <c r="M409" i="8"/>
  <c r="J409" i="8"/>
  <c r="G409" i="8"/>
  <c r="C409" i="8"/>
  <c r="O408" i="8"/>
  <c r="M408" i="8"/>
  <c r="J408" i="8"/>
  <c r="G408" i="8"/>
  <c r="C408" i="8"/>
  <c r="W408" i="8" s="1"/>
  <c r="O407" i="8"/>
  <c r="M407" i="8"/>
  <c r="J407" i="8"/>
  <c r="G407" i="8"/>
  <c r="C407" i="8"/>
  <c r="O406" i="8"/>
  <c r="M406" i="8"/>
  <c r="J406" i="8"/>
  <c r="G406" i="8"/>
  <c r="C406" i="8"/>
  <c r="O405" i="8"/>
  <c r="M405" i="8"/>
  <c r="J405" i="8"/>
  <c r="G405" i="8"/>
  <c r="C405" i="8"/>
  <c r="O404" i="8"/>
  <c r="M404" i="8"/>
  <c r="J404" i="8"/>
  <c r="G404" i="8"/>
  <c r="C404" i="8"/>
  <c r="D321" i="8"/>
  <c r="D368" i="9"/>
  <c r="O405" i="9"/>
  <c r="M405" i="9"/>
  <c r="W405" i="9" s="1"/>
  <c r="J405" i="9"/>
  <c r="G405" i="9"/>
  <c r="O404" i="9"/>
  <c r="M404" i="9"/>
  <c r="W404" i="9" s="1"/>
  <c r="J404" i="9"/>
  <c r="G404" i="9"/>
  <c r="O403" i="9"/>
  <c r="M403" i="9"/>
  <c r="W403" i="9" s="1"/>
  <c r="J403" i="9"/>
  <c r="G403" i="9"/>
  <c r="O402" i="9"/>
  <c r="M402" i="9"/>
  <c r="W402" i="9" s="1"/>
  <c r="J402" i="9"/>
  <c r="G402" i="9"/>
  <c r="O401" i="9"/>
  <c r="M401" i="9"/>
  <c r="W401" i="9" s="1"/>
  <c r="J401" i="9"/>
  <c r="G401" i="9"/>
  <c r="O400" i="9"/>
  <c r="M400" i="9"/>
  <c r="W400" i="9" s="1"/>
  <c r="J400" i="9"/>
  <c r="G400" i="9"/>
  <c r="O399" i="9"/>
  <c r="M399" i="9"/>
  <c r="W399" i="9" s="1"/>
  <c r="J399" i="9"/>
  <c r="G399" i="9"/>
  <c r="O398" i="9"/>
  <c r="M398" i="9"/>
  <c r="W398" i="9" s="1"/>
  <c r="J398" i="9"/>
  <c r="G398" i="9"/>
  <c r="O397" i="9"/>
  <c r="M397" i="9"/>
  <c r="W397" i="9" s="1"/>
  <c r="J397" i="9"/>
  <c r="G397" i="9"/>
  <c r="O396" i="9"/>
  <c r="M396" i="9"/>
  <c r="W396" i="9" s="1"/>
  <c r="J396" i="9"/>
  <c r="G396" i="9"/>
  <c r="O395" i="9"/>
  <c r="M395" i="9"/>
  <c r="W395" i="9" s="1"/>
  <c r="J395" i="9"/>
  <c r="G395" i="9"/>
  <c r="O394" i="9"/>
  <c r="M394" i="9"/>
  <c r="W394" i="9" s="1"/>
  <c r="J394" i="9"/>
  <c r="G394" i="9"/>
  <c r="O393" i="9"/>
  <c r="M393" i="9"/>
  <c r="W393" i="9" s="1"/>
  <c r="J393" i="9"/>
  <c r="G393" i="9"/>
  <c r="O392" i="9"/>
  <c r="M392" i="9"/>
  <c r="W392" i="9" s="1"/>
  <c r="J392" i="9"/>
  <c r="G392" i="9"/>
  <c r="O391" i="9"/>
  <c r="M391" i="9"/>
  <c r="W391" i="9" s="1"/>
  <c r="J391" i="9"/>
  <c r="G391" i="9"/>
  <c r="O390" i="9"/>
  <c r="M390" i="9"/>
  <c r="W390" i="9" s="1"/>
  <c r="J390" i="9"/>
  <c r="G390" i="9"/>
  <c r="O389" i="9"/>
  <c r="M389" i="9"/>
  <c r="W389" i="9" s="1"/>
  <c r="J389" i="9"/>
  <c r="G389" i="9"/>
  <c r="O388" i="9"/>
  <c r="M388" i="9"/>
  <c r="W388" i="9" s="1"/>
  <c r="J388" i="9"/>
  <c r="G388" i="9"/>
  <c r="O387" i="9"/>
  <c r="M387" i="9"/>
  <c r="W387" i="9" s="1"/>
  <c r="J387" i="9"/>
  <c r="G387" i="9"/>
  <c r="O386" i="9"/>
  <c r="M386" i="9"/>
  <c r="W386" i="9" s="1"/>
  <c r="J386" i="9"/>
  <c r="G386" i="9"/>
  <c r="O385" i="9"/>
  <c r="M385" i="9"/>
  <c r="W385" i="9" s="1"/>
  <c r="J385" i="9"/>
  <c r="G385" i="9"/>
  <c r="O384" i="9"/>
  <c r="M384" i="9"/>
  <c r="W384" i="9" s="1"/>
  <c r="J384" i="9"/>
  <c r="G384" i="9"/>
  <c r="O383" i="9"/>
  <c r="M383" i="9"/>
  <c r="W383" i="9" s="1"/>
  <c r="J383" i="9"/>
  <c r="G383" i="9"/>
  <c r="O382" i="9"/>
  <c r="M382" i="9"/>
  <c r="W382" i="9" s="1"/>
  <c r="J382" i="9"/>
  <c r="G382" i="9"/>
  <c r="O381" i="9"/>
  <c r="M381" i="9"/>
  <c r="W381" i="9" s="1"/>
  <c r="J381" i="9"/>
  <c r="G381" i="9"/>
  <c r="O380" i="9"/>
  <c r="M380" i="9"/>
  <c r="W380" i="9" s="1"/>
  <c r="J380" i="9"/>
  <c r="G380" i="9"/>
  <c r="O379" i="9"/>
  <c r="M379" i="9"/>
  <c r="W379" i="9" s="1"/>
  <c r="J379" i="9"/>
  <c r="G379" i="9"/>
  <c r="O378" i="9"/>
  <c r="M378" i="9"/>
  <c r="W378" i="9" s="1"/>
  <c r="J378" i="9"/>
  <c r="G378" i="9"/>
  <c r="O377" i="9"/>
  <c r="M377" i="9"/>
  <c r="W377" i="9" s="1"/>
  <c r="J377" i="9"/>
  <c r="G377" i="9"/>
  <c r="O376" i="9"/>
  <c r="M376" i="9"/>
  <c r="W376" i="9" s="1"/>
  <c r="J376" i="9"/>
  <c r="G376" i="9"/>
  <c r="O375" i="9"/>
  <c r="M375" i="9"/>
  <c r="W375" i="9" s="1"/>
  <c r="J375" i="9"/>
  <c r="G375" i="9"/>
  <c r="O374" i="9"/>
  <c r="M374" i="9"/>
  <c r="W374" i="9" s="1"/>
  <c r="J374" i="9"/>
  <c r="G374" i="9"/>
  <c r="O373" i="9"/>
  <c r="M373" i="9"/>
  <c r="W373" i="9" s="1"/>
  <c r="J373" i="9"/>
  <c r="G373" i="9"/>
  <c r="O372" i="9"/>
  <c r="M372" i="9"/>
  <c r="W372" i="9" s="1"/>
  <c r="J372" i="9"/>
  <c r="G372" i="9"/>
  <c r="O371" i="9"/>
  <c r="M371" i="9"/>
  <c r="W371" i="9" s="1"/>
  <c r="J371" i="9"/>
  <c r="G371" i="9"/>
  <c r="O370" i="9"/>
  <c r="M370" i="9"/>
  <c r="W370" i="9" s="1"/>
  <c r="J370" i="9"/>
  <c r="G370" i="9"/>
  <c r="O369" i="9"/>
  <c r="M369" i="9"/>
  <c r="W369" i="9" s="1"/>
  <c r="J369" i="9"/>
  <c r="G369" i="9"/>
  <c r="O368" i="9"/>
  <c r="M368" i="9"/>
  <c r="W368" i="9" s="1"/>
  <c r="J368" i="9"/>
  <c r="G368" i="9"/>
  <c r="O367" i="9"/>
  <c r="M367" i="9"/>
  <c r="W367" i="9" s="1"/>
  <c r="J367" i="9"/>
  <c r="G367" i="9"/>
  <c r="O366" i="9"/>
  <c r="M366" i="9"/>
  <c r="W366" i="9" s="1"/>
  <c r="J366" i="9"/>
  <c r="G366" i="9"/>
  <c r="O365" i="9"/>
  <c r="M365" i="9"/>
  <c r="W365" i="9" s="1"/>
  <c r="J365" i="9"/>
  <c r="G365" i="9"/>
  <c r="O364" i="9"/>
  <c r="M364" i="9"/>
  <c r="W364" i="9" s="1"/>
  <c r="J364" i="9"/>
  <c r="G364" i="9"/>
  <c r="O363" i="9"/>
  <c r="M363" i="9"/>
  <c r="W363" i="9" s="1"/>
  <c r="J363" i="9"/>
  <c r="G363" i="9"/>
  <c r="D376" i="8"/>
  <c r="O399" i="8"/>
  <c r="M399" i="8"/>
  <c r="W399" i="8" s="1"/>
  <c r="J399" i="8"/>
  <c r="G399" i="8"/>
  <c r="O398" i="8"/>
  <c r="M398" i="8"/>
  <c r="W398" i="8" s="1"/>
  <c r="J398" i="8"/>
  <c r="G398" i="8"/>
  <c r="O397" i="8"/>
  <c r="M397" i="8"/>
  <c r="W397" i="8" s="1"/>
  <c r="J397" i="8"/>
  <c r="G397" i="8"/>
  <c r="O396" i="8"/>
  <c r="M396" i="8"/>
  <c r="W396" i="8" s="1"/>
  <c r="J396" i="8"/>
  <c r="G396" i="8"/>
  <c r="O395" i="8"/>
  <c r="M395" i="8"/>
  <c r="W395" i="8" s="1"/>
  <c r="J395" i="8"/>
  <c r="G395" i="8"/>
  <c r="O394" i="8"/>
  <c r="M394" i="8"/>
  <c r="W394" i="8" s="1"/>
  <c r="J394" i="8"/>
  <c r="G394" i="8"/>
  <c r="O393" i="8"/>
  <c r="M393" i="8"/>
  <c r="W393" i="8" s="1"/>
  <c r="J393" i="8"/>
  <c r="G393" i="8"/>
  <c r="O392" i="8"/>
  <c r="M392" i="8"/>
  <c r="W392" i="8" s="1"/>
  <c r="J392" i="8"/>
  <c r="G392" i="8"/>
  <c r="O391" i="8"/>
  <c r="M391" i="8"/>
  <c r="W391" i="8" s="1"/>
  <c r="J391" i="8"/>
  <c r="G391" i="8"/>
  <c r="O390" i="8"/>
  <c r="M390" i="8"/>
  <c r="W390" i="8" s="1"/>
  <c r="J390" i="8"/>
  <c r="G390" i="8"/>
  <c r="O389" i="8"/>
  <c r="M389" i="8"/>
  <c r="W389" i="8" s="1"/>
  <c r="J389" i="8"/>
  <c r="G389" i="8"/>
  <c r="O388" i="8"/>
  <c r="M388" i="8"/>
  <c r="W388" i="8" s="1"/>
  <c r="J388" i="8"/>
  <c r="G388" i="8"/>
  <c r="O387" i="8"/>
  <c r="M387" i="8"/>
  <c r="W387" i="8" s="1"/>
  <c r="J387" i="8"/>
  <c r="G387" i="8"/>
  <c r="O386" i="8"/>
  <c r="M386" i="8"/>
  <c r="W386" i="8" s="1"/>
  <c r="J386" i="8"/>
  <c r="G386" i="8"/>
  <c r="O385" i="8"/>
  <c r="M385" i="8"/>
  <c r="W385" i="8" s="1"/>
  <c r="J385" i="8"/>
  <c r="G385" i="8"/>
  <c r="O384" i="8"/>
  <c r="M384" i="8"/>
  <c r="W384" i="8" s="1"/>
  <c r="J384" i="8"/>
  <c r="G384" i="8"/>
  <c r="O383" i="8"/>
  <c r="M383" i="8"/>
  <c r="W383" i="8" s="1"/>
  <c r="J383" i="8"/>
  <c r="G383" i="8"/>
  <c r="O382" i="8"/>
  <c r="M382" i="8"/>
  <c r="W382" i="8" s="1"/>
  <c r="J382" i="8"/>
  <c r="G382" i="8"/>
  <c r="O381" i="8"/>
  <c r="M381" i="8"/>
  <c r="W381" i="8" s="1"/>
  <c r="J381" i="8"/>
  <c r="G381" i="8"/>
  <c r="O380" i="8"/>
  <c r="M380" i="8"/>
  <c r="W380" i="8" s="1"/>
  <c r="J380" i="8"/>
  <c r="G380" i="8"/>
  <c r="O379" i="8"/>
  <c r="M379" i="8"/>
  <c r="W379" i="8" s="1"/>
  <c r="J379" i="8"/>
  <c r="G379" i="8"/>
  <c r="O378" i="8"/>
  <c r="M378" i="8"/>
  <c r="W378" i="8" s="1"/>
  <c r="J378" i="8"/>
  <c r="G378" i="8"/>
  <c r="O377" i="8"/>
  <c r="M377" i="8"/>
  <c r="W377" i="8" s="1"/>
  <c r="J377" i="8"/>
  <c r="G377" i="8"/>
  <c r="O376" i="8"/>
  <c r="M376" i="8"/>
  <c r="W376" i="8" s="1"/>
  <c r="J376" i="8"/>
  <c r="G376" i="8"/>
  <c r="O375" i="8"/>
  <c r="M375" i="8"/>
  <c r="W375" i="8" s="1"/>
  <c r="J375" i="8"/>
  <c r="G375" i="8"/>
  <c r="O374" i="8"/>
  <c r="M374" i="8"/>
  <c r="W374" i="8" s="1"/>
  <c r="J374" i="8"/>
  <c r="G374" i="8"/>
  <c r="O373" i="8"/>
  <c r="M373" i="8"/>
  <c r="W373" i="8" s="1"/>
  <c r="J373" i="8"/>
  <c r="G373" i="8"/>
  <c r="O372" i="8"/>
  <c r="M372" i="8"/>
  <c r="W372" i="8" s="1"/>
  <c r="J372" i="8"/>
  <c r="G372" i="8"/>
  <c r="O371" i="8"/>
  <c r="M371" i="8"/>
  <c r="W371" i="8" s="1"/>
  <c r="J371" i="8"/>
  <c r="G371" i="8"/>
  <c r="O370" i="8"/>
  <c r="M370" i="8"/>
  <c r="W370" i="8" s="1"/>
  <c r="J370" i="8"/>
  <c r="G370" i="8"/>
  <c r="O369" i="8"/>
  <c r="M369" i="8"/>
  <c r="W369" i="8" s="1"/>
  <c r="J369" i="8"/>
  <c r="G369" i="8"/>
  <c r="O368" i="8"/>
  <c r="M368" i="8"/>
  <c r="W368" i="8" s="1"/>
  <c r="J368" i="8"/>
  <c r="G368" i="8"/>
  <c r="O367" i="8"/>
  <c r="M367" i="8"/>
  <c r="W367" i="8" s="1"/>
  <c r="J367" i="8"/>
  <c r="G367" i="8"/>
  <c r="O366" i="8"/>
  <c r="M366" i="8"/>
  <c r="W366" i="8" s="1"/>
  <c r="J366" i="8"/>
  <c r="G366" i="8"/>
  <c r="O365" i="8"/>
  <c r="M365" i="8"/>
  <c r="W365" i="8" s="1"/>
  <c r="J365" i="8"/>
  <c r="G365" i="8"/>
  <c r="O364" i="8"/>
  <c r="M364" i="8"/>
  <c r="W364" i="8" s="1"/>
  <c r="J364" i="8"/>
  <c r="G364" i="8"/>
  <c r="O363" i="8"/>
  <c r="M363" i="8"/>
  <c r="W363" i="8" s="1"/>
  <c r="J363" i="8"/>
  <c r="G363" i="8"/>
  <c r="O362" i="8"/>
  <c r="M362" i="8"/>
  <c r="W362" i="8" s="1"/>
  <c r="J362" i="8"/>
  <c r="G362" i="8"/>
  <c r="O361" i="8"/>
  <c r="M361" i="8"/>
  <c r="W361" i="8" s="1"/>
  <c r="J361" i="8"/>
  <c r="G361" i="8"/>
  <c r="O360" i="8"/>
  <c r="M360" i="8"/>
  <c r="W360" i="8" s="1"/>
  <c r="J360" i="8"/>
  <c r="G360" i="8"/>
  <c r="D392" i="8"/>
  <c r="M360" i="9"/>
  <c r="W360" i="9" s="1"/>
  <c r="J360" i="9"/>
  <c r="G360" i="9"/>
  <c r="M359" i="9"/>
  <c r="W359" i="9" s="1"/>
  <c r="J359" i="9"/>
  <c r="G359" i="9"/>
  <c r="M358" i="9"/>
  <c r="W358" i="9" s="1"/>
  <c r="J358" i="9"/>
  <c r="G358" i="9"/>
  <c r="M357" i="9"/>
  <c r="W357" i="9" s="1"/>
  <c r="J357" i="9"/>
  <c r="G357" i="9"/>
  <c r="M356" i="9"/>
  <c r="W356" i="9" s="1"/>
  <c r="J356" i="9"/>
  <c r="G356" i="9"/>
  <c r="M355" i="9"/>
  <c r="W355" i="9" s="1"/>
  <c r="J355" i="9"/>
  <c r="G355" i="9"/>
  <c r="M354" i="9"/>
  <c r="W354" i="9" s="1"/>
  <c r="J354" i="9"/>
  <c r="G354" i="9"/>
  <c r="M353" i="9"/>
  <c r="W353" i="9" s="1"/>
  <c r="J353" i="9"/>
  <c r="G353" i="9"/>
  <c r="M352" i="9"/>
  <c r="W352" i="9" s="1"/>
  <c r="J352" i="9"/>
  <c r="G352" i="9"/>
  <c r="M351" i="9"/>
  <c r="W351" i="9" s="1"/>
  <c r="J351" i="9"/>
  <c r="G351" i="9"/>
  <c r="M350" i="9"/>
  <c r="W350" i="9" s="1"/>
  <c r="J350" i="9"/>
  <c r="G350" i="9"/>
  <c r="M349" i="9"/>
  <c r="W349" i="9" s="1"/>
  <c r="J349" i="9"/>
  <c r="G349" i="9"/>
  <c r="M348" i="9"/>
  <c r="W348" i="9" s="1"/>
  <c r="J348" i="9"/>
  <c r="G348" i="9"/>
  <c r="M347" i="9"/>
  <c r="W347" i="9" s="1"/>
  <c r="J347" i="9"/>
  <c r="G347" i="9"/>
  <c r="M346" i="9"/>
  <c r="W346" i="9" s="1"/>
  <c r="J346" i="9"/>
  <c r="G346" i="9"/>
  <c r="M345" i="9"/>
  <c r="W345" i="9" s="1"/>
  <c r="J345" i="9"/>
  <c r="G345" i="9"/>
  <c r="M344" i="9"/>
  <c r="W344" i="9" s="1"/>
  <c r="J344" i="9"/>
  <c r="G344" i="9"/>
  <c r="M343" i="9"/>
  <c r="W343" i="9" s="1"/>
  <c r="J343" i="9"/>
  <c r="G343" i="9"/>
  <c r="M342" i="9"/>
  <c r="W342" i="9" s="1"/>
  <c r="J342" i="9"/>
  <c r="G342" i="9"/>
  <c r="M341" i="9"/>
  <c r="W341" i="9" s="1"/>
  <c r="J341" i="9"/>
  <c r="G341" i="9"/>
  <c r="M340" i="9"/>
  <c r="W340" i="9" s="1"/>
  <c r="J340" i="9"/>
  <c r="G340" i="9"/>
  <c r="M339" i="9"/>
  <c r="W339" i="9" s="1"/>
  <c r="J339" i="9"/>
  <c r="G339" i="9"/>
  <c r="M338" i="9"/>
  <c r="W338" i="9" s="1"/>
  <c r="J338" i="9"/>
  <c r="G338" i="9"/>
  <c r="M337" i="9"/>
  <c r="W337" i="9" s="1"/>
  <c r="J337" i="9"/>
  <c r="G337" i="9"/>
  <c r="M336" i="9"/>
  <c r="W336" i="9" s="1"/>
  <c r="J336" i="9"/>
  <c r="G336" i="9"/>
  <c r="M335" i="9"/>
  <c r="W335" i="9" s="1"/>
  <c r="J335" i="9"/>
  <c r="G335" i="9"/>
  <c r="M334" i="9"/>
  <c r="W334" i="9" s="1"/>
  <c r="J334" i="9"/>
  <c r="G334" i="9"/>
  <c r="M333" i="9"/>
  <c r="W333" i="9" s="1"/>
  <c r="J333" i="9"/>
  <c r="G333" i="9"/>
  <c r="M332" i="9"/>
  <c r="W332" i="9" s="1"/>
  <c r="J332" i="9"/>
  <c r="G332" i="9"/>
  <c r="M331" i="9"/>
  <c r="W331" i="9" s="1"/>
  <c r="J331" i="9"/>
  <c r="G331" i="9"/>
  <c r="M330" i="9"/>
  <c r="W330" i="9" s="1"/>
  <c r="J330" i="9"/>
  <c r="G330" i="9"/>
  <c r="M329" i="9"/>
  <c r="W329" i="9" s="1"/>
  <c r="J329" i="9"/>
  <c r="G329" i="9"/>
  <c r="M328" i="9"/>
  <c r="W328" i="9" s="1"/>
  <c r="J328" i="9"/>
  <c r="G328" i="9"/>
  <c r="M327" i="9"/>
  <c r="W327" i="9" s="1"/>
  <c r="J327" i="9"/>
  <c r="G327" i="9"/>
  <c r="M326" i="9"/>
  <c r="W326" i="9" s="1"/>
  <c r="J326" i="9"/>
  <c r="G326" i="9"/>
  <c r="M325" i="9"/>
  <c r="W325" i="9" s="1"/>
  <c r="J325" i="9"/>
  <c r="G325" i="9"/>
  <c r="M324" i="9"/>
  <c r="W324" i="9" s="1"/>
  <c r="J324" i="9"/>
  <c r="G324" i="9"/>
  <c r="M323" i="9"/>
  <c r="W323" i="9" s="1"/>
  <c r="J323" i="9"/>
  <c r="G323" i="9"/>
  <c r="M322" i="9"/>
  <c r="W322" i="9" s="1"/>
  <c r="J322" i="9"/>
  <c r="G322" i="9"/>
  <c r="M321" i="9"/>
  <c r="W321" i="9" s="1"/>
  <c r="J321" i="9"/>
  <c r="G321" i="9"/>
  <c r="M320" i="9"/>
  <c r="W320" i="9" s="1"/>
  <c r="J320" i="9"/>
  <c r="G320" i="9"/>
  <c r="M319" i="9"/>
  <c r="W319" i="9" s="1"/>
  <c r="J319" i="9"/>
  <c r="G319" i="9"/>
  <c r="M318" i="9"/>
  <c r="W318" i="9" s="1"/>
  <c r="J318" i="9"/>
  <c r="G318" i="9"/>
  <c r="D337" i="8"/>
  <c r="D341" i="8"/>
  <c r="D325" i="8"/>
  <c r="M355" i="8"/>
  <c r="W355" i="8" s="1"/>
  <c r="J355" i="8"/>
  <c r="G355" i="8"/>
  <c r="M354" i="8"/>
  <c r="W354" i="8" s="1"/>
  <c r="J354" i="8"/>
  <c r="G354" i="8"/>
  <c r="M353" i="8"/>
  <c r="W353" i="8" s="1"/>
  <c r="J353" i="8"/>
  <c r="G353" i="8"/>
  <c r="M352" i="8"/>
  <c r="W352" i="8" s="1"/>
  <c r="J352" i="8"/>
  <c r="G352" i="8"/>
  <c r="M351" i="8"/>
  <c r="W351" i="8" s="1"/>
  <c r="J351" i="8"/>
  <c r="G351" i="8"/>
  <c r="M350" i="8"/>
  <c r="W350" i="8" s="1"/>
  <c r="J350" i="8"/>
  <c r="G350" i="8"/>
  <c r="M349" i="8"/>
  <c r="W349" i="8" s="1"/>
  <c r="J349" i="8"/>
  <c r="G349" i="8"/>
  <c r="M348" i="8"/>
  <c r="W348" i="8" s="1"/>
  <c r="J348" i="8"/>
  <c r="G348" i="8"/>
  <c r="M347" i="8"/>
  <c r="W347" i="8" s="1"/>
  <c r="J347" i="8"/>
  <c r="G347" i="8"/>
  <c r="M346" i="8"/>
  <c r="W346" i="8" s="1"/>
  <c r="J346" i="8"/>
  <c r="G346" i="8"/>
  <c r="M345" i="8"/>
  <c r="W345" i="8" s="1"/>
  <c r="J345" i="8"/>
  <c r="G345" i="8"/>
  <c r="M344" i="8"/>
  <c r="W344" i="8" s="1"/>
  <c r="J344" i="8"/>
  <c r="G344" i="8"/>
  <c r="M343" i="8"/>
  <c r="W343" i="8" s="1"/>
  <c r="J343" i="8"/>
  <c r="G343" i="8"/>
  <c r="M342" i="8"/>
  <c r="W342" i="8" s="1"/>
  <c r="J342" i="8"/>
  <c r="G342" i="8"/>
  <c r="M341" i="8"/>
  <c r="W341" i="8" s="1"/>
  <c r="J341" i="8"/>
  <c r="G341" i="8"/>
  <c r="M340" i="8"/>
  <c r="W340" i="8" s="1"/>
  <c r="J340" i="8"/>
  <c r="G340" i="8"/>
  <c r="M339" i="8"/>
  <c r="W339" i="8" s="1"/>
  <c r="J339" i="8"/>
  <c r="G339" i="8"/>
  <c r="M338" i="8"/>
  <c r="W338" i="8" s="1"/>
  <c r="J338" i="8"/>
  <c r="G338" i="8"/>
  <c r="M337" i="8"/>
  <c r="W337" i="8" s="1"/>
  <c r="J337" i="8"/>
  <c r="G337" i="8"/>
  <c r="M336" i="8"/>
  <c r="W336" i="8" s="1"/>
  <c r="J336" i="8"/>
  <c r="G336" i="8"/>
  <c r="M335" i="8"/>
  <c r="W335" i="8" s="1"/>
  <c r="J335" i="8"/>
  <c r="G335" i="8"/>
  <c r="M334" i="8"/>
  <c r="W334" i="8" s="1"/>
  <c r="J334" i="8"/>
  <c r="G334" i="8"/>
  <c r="M333" i="8"/>
  <c r="W333" i="8" s="1"/>
  <c r="J333" i="8"/>
  <c r="G333" i="8"/>
  <c r="M332" i="8"/>
  <c r="W332" i="8" s="1"/>
  <c r="J332" i="8"/>
  <c r="G332" i="8"/>
  <c r="M331" i="8"/>
  <c r="W331" i="8" s="1"/>
  <c r="J331" i="8"/>
  <c r="G331" i="8"/>
  <c r="M330" i="8"/>
  <c r="W330" i="8" s="1"/>
  <c r="J330" i="8"/>
  <c r="G330" i="8"/>
  <c r="M329" i="8"/>
  <c r="W329" i="8" s="1"/>
  <c r="J329" i="8"/>
  <c r="G329" i="8"/>
  <c r="M328" i="8"/>
  <c r="W328" i="8" s="1"/>
  <c r="J328" i="8"/>
  <c r="G328" i="8"/>
  <c r="M327" i="8"/>
  <c r="W327" i="8" s="1"/>
  <c r="J327" i="8"/>
  <c r="G327" i="8"/>
  <c r="M326" i="8"/>
  <c r="W326" i="8" s="1"/>
  <c r="J326" i="8"/>
  <c r="G326" i="8"/>
  <c r="M325" i="8"/>
  <c r="W325" i="8" s="1"/>
  <c r="J325" i="8"/>
  <c r="G325" i="8"/>
  <c r="M324" i="8"/>
  <c r="W324" i="8" s="1"/>
  <c r="J324" i="8"/>
  <c r="G324" i="8"/>
  <c r="M323" i="8"/>
  <c r="W323" i="8" s="1"/>
  <c r="J323" i="8"/>
  <c r="G323" i="8"/>
  <c r="M322" i="8"/>
  <c r="W322" i="8" s="1"/>
  <c r="J322" i="8"/>
  <c r="G322" i="8"/>
  <c r="M321" i="8"/>
  <c r="W321" i="8" s="1"/>
  <c r="J321" i="8"/>
  <c r="G321" i="8"/>
  <c r="M320" i="8"/>
  <c r="W320" i="8" s="1"/>
  <c r="J320" i="8"/>
  <c r="G320" i="8"/>
  <c r="M319" i="8"/>
  <c r="W319" i="8" s="1"/>
  <c r="J319" i="8"/>
  <c r="G319" i="8"/>
  <c r="M318" i="8"/>
  <c r="W318" i="8" s="1"/>
  <c r="J318" i="8"/>
  <c r="G318" i="8"/>
  <c r="M317" i="8"/>
  <c r="W317" i="8" s="1"/>
  <c r="J317" i="8"/>
  <c r="G317" i="8"/>
  <c r="M316" i="8"/>
  <c r="W316" i="8" s="1"/>
  <c r="J316" i="8"/>
  <c r="G316" i="8"/>
  <c r="O315" i="9"/>
  <c r="M315" i="9"/>
  <c r="W315" i="9" s="1"/>
  <c r="J315" i="9"/>
  <c r="G315" i="9"/>
  <c r="O314" i="9"/>
  <c r="M314" i="9"/>
  <c r="W314" i="9" s="1"/>
  <c r="J314" i="9"/>
  <c r="G314" i="9"/>
  <c r="O313" i="9"/>
  <c r="M313" i="9"/>
  <c r="W313" i="9" s="1"/>
  <c r="J313" i="9"/>
  <c r="G313" i="9"/>
  <c r="O312" i="9"/>
  <c r="M312" i="9"/>
  <c r="W312" i="9" s="1"/>
  <c r="J312" i="9"/>
  <c r="G312" i="9"/>
  <c r="O311" i="9"/>
  <c r="M311" i="9"/>
  <c r="W311" i="9" s="1"/>
  <c r="J311" i="9"/>
  <c r="G311" i="9"/>
  <c r="O310" i="9"/>
  <c r="M310" i="9"/>
  <c r="W310" i="9" s="1"/>
  <c r="J310" i="9"/>
  <c r="G310" i="9"/>
  <c r="O309" i="9"/>
  <c r="M309" i="9"/>
  <c r="W309" i="9" s="1"/>
  <c r="J309" i="9"/>
  <c r="G309" i="9"/>
  <c r="O308" i="9"/>
  <c r="M308" i="9"/>
  <c r="W308" i="9" s="1"/>
  <c r="J308" i="9"/>
  <c r="G308" i="9"/>
  <c r="O307" i="9"/>
  <c r="M307" i="9"/>
  <c r="W307" i="9" s="1"/>
  <c r="J307" i="9"/>
  <c r="G307" i="9"/>
  <c r="O306" i="9"/>
  <c r="M306" i="9"/>
  <c r="W306" i="9" s="1"/>
  <c r="J306" i="9"/>
  <c r="G306" i="9"/>
  <c r="O305" i="9"/>
  <c r="M305" i="9"/>
  <c r="W305" i="9" s="1"/>
  <c r="J305" i="9"/>
  <c r="G305" i="9"/>
  <c r="O304" i="9"/>
  <c r="M304" i="9"/>
  <c r="W304" i="9" s="1"/>
  <c r="J304" i="9"/>
  <c r="G304" i="9"/>
  <c r="O303" i="9"/>
  <c r="M303" i="9"/>
  <c r="W303" i="9" s="1"/>
  <c r="J303" i="9"/>
  <c r="G303" i="9"/>
  <c r="O302" i="9"/>
  <c r="M302" i="9"/>
  <c r="W302" i="9" s="1"/>
  <c r="J302" i="9"/>
  <c r="G302" i="9"/>
  <c r="O301" i="9"/>
  <c r="M301" i="9"/>
  <c r="W301" i="9" s="1"/>
  <c r="J301" i="9"/>
  <c r="G301" i="9"/>
  <c r="O300" i="9"/>
  <c r="M300" i="9"/>
  <c r="W300" i="9" s="1"/>
  <c r="J300" i="9"/>
  <c r="G300" i="9"/>
  <c r="O299" i="9"/>
  <c r="M299" i="9"/>
  <c r="W299" i="9" s="1"/>
  <c r="J299" i="9"/>
  <c r="G299" i="9"/>
  <c r="O298" i="9"/>
  <c r="M298" i="9"/>
  <c r="W298" i="9" s="1"/>
  <c r="J298" i="9"/>
  <c r="G298" i="9"/>
  <c r="O297" i="9"/>
  <c r="M297" i="9"/>
  <c r="W297" i="9" s="1"/>
  <c r="J297" i="9"/>
  <c r="G297" i="9"/>
  <c r="O296" i="9"/>
  <c r="M296" i="9"/>
  <c r="W296" i="9" s="1"/>
  <c r="J296" i="9"/>
  <c r="G296" i="9"/>
  <c r="O295" i="9"/>
  <c r="M295" i="9"/>
  <c r="W295" i="9" s="1"/>
  <c r="J295" i="9"/>
  <c r="G295" i="9"/>
  <c r="O294" i="9"/>
  <c r="M294" i="9"/>
  <c r="W294" i="9" s="1"/>
  <c r="J294" i="9"/>
  <c r="G294" i="9"/>
  <c r="O293" i="9"/>
  <c r="M293" i="9"/>
  <c r="W293" i="9" s="1"/>
  <c r="J293" i="9"/>
  <c r="G293" i="9"/>
  <c r="O292" i="9"/>
  <c r="M292" i="9"/>
  <c r="W292" i="9" s="1"/>
  <c r="J292" i="9"/>
  <c r="G292" i="9"/>
  <c r="O291" i="9"/>
  <c r="M291" i="9"/>
  <c r="W291" i="9" s="1"/>
  <c r="J291" i="9"/>
  <c r="G291" i="9"/>
  <c r="O290" i="9"/>
  <c r="M290" i="9"/>
  <c r="W290" i="9" s="1"/>
  <c r="J290" i="9"/>
  <c r="G290" i="9"/>
  <c r="O289" i="9"/>
  <c r="M289" i="9"/>
  <c r="W289" i="9" s="1"/>
  <c r="J289" i="9"/>
  <c r="G289" i="9"/>
  <c r="O288" i="9"/>
  <c r="M288" i="9"/>
  <c r="W288" i="9" s="1"/>
  <c r="J288" i="9"/>
  <c r="G288" i="9"/>
  <c r="O287" i="9"/>
  <c r="M287" i="9"/>
  <c r="W287" i="9" s="1"/>
  <c r="J287" i="9"/>
  <c r="G287" i="9"/>
  <c r="O286" i="9"/>
  <c r="M286" i="9"/>
  <c r="W286" i="9" s="1"/>
  <c r="J286" i="9"/>
  <c r="G286" i="9"/>
  <c r="O285" i="9"/>
  <c r="M285" i="9"/>
  <c r="W285" i="9" s="1"/>
  <c r="J285" i="9"/>
  <c r="G285" i="9"/>
  <c r="O284" i="9"/>
  <c r="M284" i="9"/>
  <c r="W284" i="9" s="1"/>
  <c r="J284" i="9"/>
  <c r="G284" i="9"/>
  <c r="O283" i="9"/>
  <c r="M283" i="9"/>
  <c r="W283" i="9" s="1"/>
  <c r="J283" i="9"/>
  <c r="G283" i="9"/>
  <c r="O282" i="9"/>
  <c r="M282" i="9"/>
  <c r="W282" i="9" s="1"/>
  <c r="J282" i="9"/>
  <c r="G282" i="9"/>
  <c r="O281" i="9"/>
  <c r="M281" i="9"/>
  <c r="W281" i="9" s="1"/>
  <c r="J281" i="9"/>
  <c r="G281" i="9"/>
  <c r="O280" i="9"/>
  <c r="M280" i="9"/>
  <c r="W280" i="9" s="1"/>
  <c r="J280" i="9"/>
  <c r="G280" i="9"/>
  <c r="O279" i="9"/>
  <c r="M279" i="9"/>
  <c r="W279" i="9" s="1"/>
  <c r="J279" i="9"/>
  <c r="G279" i="9"/>
  <c r="O278" i="9"/>
  <c r="M278" i="9"/>
  <c r="W278" i="9" s="1"/>
  <c r="J278" i="9"/>
  <c r="G278" i="9"/>
  <c r="O277" i="9"/>
  <c r="M277" i="9"/>
  <c r="W277" i="9" s="1"/>
  <c r="J277" i="9"/>
  <c r="G277" i="9"/>
  <c r="O276" i="9"/>
  <c r="M276" i="9"/>
  <c r="W276" i="9" s="1"/>
  <c r="J276" i="9"/>
  <c r="G276" i="9"/>
  <c r="O275" i="9"/>
  <c r="M275" i="9"/>
  <c r="W275" i="9" s="1"/>
  <c r="J275" i="9"/>
  <c r="G275" i="9"/>
  <c r="O274" i="9"/>
  <c r="M274" i="9"/>
  <c r="W274" i="9" s="1"/>
  <c r="J274" i="9"/>
  <c r="G274" i="9"/>
  <c r="O273" i="9"/>
  <c r="M273" i="9"/>
  <c r="W273" i="9" s="1"/>
  <c r="J273" i="9"/>
  <c r="O311" i="8"/>
  <c r="M311" i="8"/>
  <c r="W311" i="8" s="1"/>
  <c r="J311" i="8"/>
  <c r="G311" i="8"/>
  <c r="O310" i="8"/>
  <c r="M310" i="8"/>
  <c r="W310" i="8" s="1"/>
  <c r="J310" i="8"/>
  <c r="G310" i="8"/>
  <c r="O309" i="8"/>
  <c r="M309" i="8"/>
  <c r="W309" i="8" s="1"/>
  <c r="J309" i="8"/>
  <c r="G309" i="8"/>
  <c r="O308" i="8"/>
  <c r="M308" i="8"/>
  <c r="W308" i="8" s="1"/>
  <c r="J308" i="8"/>
  <c r="G308" i="8"/>
  <c r="O307" i="8"/>
  <c r="M307" i="8"/>
  <c r="W307" i="8" s="1"/>
  <c r="J307" i="8"/>
  <c r="G307" i="8"/>
  <c r="O306" i="8"/>
  <c r="M306" i="8"/>
  <c r="W306" i="8" s="1"/>
  <c r="J306" i="8"/>
  <c r="G306" i="8"/>
  <c r="O305" i="8"/>
  <c r="M305" i="8"/>
  <c r="W305" i="8" s="1"/>
  <c r="J305" i="8"/>
  <c r="G305" i="8"/>
  <c r="O304" i="8"/>
  <c r="M304" i="8"/>
  <c r="W304" i="8" s="1"/>
  <c r="J304" i="8"/>
  <c r="G304" i="8"/>
  <c r="O303" i="8"/>
  <c r="M303" i="8"/>
  <c r="W303" i="8" s="1"/>
  <c r="J303" i="8"/>
  <c r="G303" i="8"/>
  <c r="O302" i="8"/>
  <c r="M302" i="8"/>
  <c r="W302" i="8" s="1"/>
  <c r="J302" i="8"/>
  <c r="G302" i="8"/>
  <c r="O301" i="8"/>
  <c r="M301" i="8"/>
  <c r="W301" i="8" s="1"/>
  <c r="J301" i="8"/>
  <c r="G301" i="8"/>
  <c r="O300" i="8"/>
  <c r="M300" i="8"/>
  <c r="W300" i="8" s="1"/>
  <c r="J300" i="8"/>
  <c r="G300" i="8"/>
  <c r="O299" i="8"/>
  <c r="M299" i="8"/>
  <c r="W299" i="8" s="1"/>
  <c r="J299" i="8"/>
  <c r="G299" i="8"/>
  <c r="O298" i="8"/>
  <c r="M298" i="8"/>
  <c r="W298" i="8" s="1"/>
  <c r="J298" i="8"/>
  <c r="G298" i="8"/>
  <c r="O297" i="8"/>
  <c r="M297" i="8"/>
  <c r="W297" i="8" s="1"/>
  <c r="J297" i="8"/>
  <c r="G297" i="8"/>
  <c r="O296" i="8"/>
  <c r="M296" i="8"/>
  <c r="W296" i="8" s="1"/>
  <c r="J296" i="8"/>
  <c r="G296" i="8"/>
  <c r="O295" i="8"/>
  <c r="M295" i="8"/>
  <c r="W295" i="8" s="1"/>
  <c r="J295" i="8"/>
  <c r="G295" i="8"/>
  <c r="O294" i="8"/>
  <c r="M294" i="8"/>
  <c r="W294" i="8" s="1"/>
  <c r="J294" i="8"/>
  <c r="G294" i="8"/>
  <c r="O293" i="8"/>
  <c r="M293" i="8"/>
  <c r="W293" i="8" s="1"/>
  <c r="J293" i="8"/>
  <c r="G293" i="8"/>
  <c r="O292" i="8"/>
  <c r="M292" i="8"/>
  <c r="W292" i="8" s="1"/>
  <c r="J292" i="8"/>
  <c r="G292" i="8"/>
  <c r="O291" i="8"/>
  <c r="M291" i="8"/>
  <c r="W291" i="8" s="1"/>
  <c r="J291" i="8"/>
  <c r="G291" i="8"/>
  <c r="O290" i="8"/>
  <c r="M290" i="8"/>
  <c r="W290" i="8" s="1"/>
  <c r="J290" i="8"/>
  <c r="G290" i="8"/>
  <c r="O289" i="8"/>
  <c r="M289" i="8"/>
  <c r="W289" i="8" s="1"/>
  <c r="J289" i="8"/>
  <c r="G289" i="8"/>
  <c r="O288" i="8"/>
  <c r="M288" i="8"/>
  <c r="W288" i="8" s="1"/>
  <c r="J288" i="8"/>
  <c r="G288" i="8"/>
  <c r="O287" i="8"/>
  <c r="M287" i="8"/>
  <c r="W287" i="8" s="1"/>
  <c r="J287" i="8"/>
  <c r="G287" i="8"/>
  <c r="O286" i="8"/>
  <c r="M286" i="8"/>
  <c r="W286" i="8" s="1"/>
  <c r="J286" i="8"/>
  <c r="G286" i="8"/>
  <c r="O285" i="8"/>
  <c r="M285" i="8"/>
  <c r="W285" i="8" s="1"/>
  <c r="J285" i="8"/>
  <c r="G285" i="8"/>
  <c r="O284" i="8"/>
  <c r="M284" i="8"/>
  <c r="W284" i="8" s="1"/>
  <c r="J284" i="8"/>
  <c r="G284" i="8"/>
  <c r="O283" i="8"/>
  <c r="M283" i="8"/>
  <c r="W283" i="8" s="1"/>
  <c r="J283" i="8"/>
  <c r="G283" i="8"/>
  <c r="O282" i="8"/>
  <c r="M282" i="8"/>
  <c r="W282" i="8" s="1"/>
  <c r="J282" i="8"/>
  <c r="G282" i="8"/>
  <c r="O281" i="8"/>
  <c r="M281" i="8"/>
  <c r="W281" i="8" s="1"/>
  <c r="J281" i="8"/>
  <c r="G281" i="8"/>
  <c r="O280" i="8"/>
  <c r="M280" i="8"/>
  <c r="W280" i="8" s="1"/>
  <c r="J280" i="8"/>
  <c r="G280" i="8"/>
  <c r="O279" i="8"/>
  <c r="M279" i="8"/>
  <c r="W279" i="8" s="1"/>
  <c r="J279" i="8"/>
  <c r="G279" i="8"/>
  <c r="O278" i="8"/>
  <c r="M278" i="8"/>
  <c r="W278" i="8" s="1"/>
  <c r="J278" i="8"/>
  <c r="G278" i="8"/>
  <c r="O277" i="8"/>
  <c r="M277" i="8"/>
  <c r="W277" i="8" s="1"/>
  <c r="J277" i="8"/>
  <c r="G277" i="8"/>
  <c r="O276" i="8"/>
  <c r="M276" i="8"/>
  <c r="W276" i="8" s="1"/>
  <c r="J276" i="8"/>
  <c r="G276" i="8"/>
  <c r="O275" i="8"/>
  <c r="M275" i="8"/>
  <c r="W275" i="8" s="1"/>
  <c r="J275" i="8"/>
  <c r="G275" i="8"/>
  <c r="O274" i="8"/>
  <c r="M274" i="8"/>
  <c r="W274" i="8" s="1"/>
  <c r="J274" i="8"/>
  <c r="G274" i="8"/>
  <c r="O273" i="8"/>
  <c r="M273" i="8"/>
  <c r="W273" i="8" s="1"/>
  <c r="J273" i="8"/>
  <c r="G273" i="8"/>
  <c r="O272" i="8"/>
  <c r="M272" i="8"/>
  <c r="W272" i="8" s="1"/>
  <c r="J272" i="8"/>
  <c r="G272" i="8"/>
  <c r="K27" i="22" l="1"/>
  <c r="AD19" i="9"/>
  <c r="AC19" i="9"/>
  <c r="K13" i="22"/>
  <c r="AD18" i="8"/>
  <c r="AC18" i="8"/>
  <c r="AC19" i="8"/>
  <c r="K14" i="22"/>
  <c r="AD19" i="8"/>
  <c r="K12" i="22"/>
  <c r="AD17" i="9"/>
  <c r="AC17" i="9"/>
  <c r="AD17" i="8"/>
  <c r="AC17" i="8"/>
  <c r="W405" i="8"/>
  <c r="W421" i="8"/>
  <c r="W454" i="8"/>
  <c r="W462" i="8"/>
  <c r="W470" i="8"/>
  <c r="W478" i="8"/>
  <c r="W486" i="8"/>
  <c r="W407" i="8"/>
  <c r="W415" i="8"/>
  <c r="W423" i="8"/>
  <c r="W431" i="8"/>
  <c r="W439" i="8"/>
  <c r="W456" i="8"/>
  <c r="W464" i="8"/>
  <c r="W472" i="8"/>
  <c r="W480" i="8"/>
  <c r="W429" i="8"/>
  <c r="W437" i="8"/>
  <c r="W411" i="8"/>
  <c r="W419" i="8"/>
  <c r="W427" i="8"/>
  <c r="W435" i="8"/>
  <c r="W443" i="8"/>
  <c r="W452" i="8"/>
  <c r="W460" i="8"/>
  <c r="W468" i="8"/>
  <c r="W476" i="8"/>
  <c r="W484" i="8"/>
  <c r="W497" i="8"/>
  <c r="W505" i="8"/>
  <c r="W513" i="8"/>
  <c r="W521" i="8"/>
  <c r="W529" i="8"/>
  <c r="W413" i="8"/>
  <c r="W496" i="8"/>
  <c r="W504" i="8"/>
  <c r="W512" i="8"/>
  <c r="W520" i="8"/>
  <c r="W500" i="8"/>
  <c r="W508" i="8"/>
  <c r="W516" i="8"/>
  <c r="W526" i="8"/>
  <c r="W528" i="8"/>
  <c r="W411" i="9"/>
  <c r="W415" i="9"/>
  <c r="W419" i="9"/>
  <c r="W423" i="9"/>
  <c r="W427" i="9"/>
  <c r="W431" i="9"/>
  <c r="W435" i="9"/>
  <c r="W439" i="9"/>
  <c r="W443" i="9"/>
  <c r="W447" i="9"/>
  <c r="W516" i="9"/>
  <c r="W524" i="9"/>
  <c r="W532" i="9"/>
  <c r="W409" i="9"/>
  <c r="W417" i="9"/>
  <c r="W425" i="9"/>
  <c r="W433" i="9"/>
  <c r="W441" i="9"/>
  <c r="W449" i="9"/>
  <c r="W501" i="9"/>
  <c r="W509" i="9"/>
  <c r="W517" i="9"/>
  <c r="W525" i="9"/>
  <c r="W503" i="9"/>
  <c r="W511" i="9"/>
  <c r="W498" i="9"/>
  <c r="W502" i="9"/>
  <c r="W506" i="9"/>
  <c r="W510" i="9"/>
  <c r="W514" i="9"/>
  <c r="W518" i="9"/>
  <c r="W522" i="9"/>
  <c r="W526" i="9"/>
  <c r="W530" i="9"/>
  <c r="W534" i="9"/>
  <c r="W538" i="9"/>
  <c r="W519" i="9"/>
  <c r="W527" i="9"/>
  <c r="W535" i="9"/>
  <c r="W412" i="9"/>
  <c r="W420" i="9"/>
  <c r="W428" i="9"/>
  <c r="W436" i="9"/>
  <c r="W444" i="9"/>
  <c r="W500" i="9"/>
  <c r="W508" i="9"/>
  <c r="W540" i="9"/>
  <c r="D417" i="8"/>
  <c r="W406" i="8"/>
  <c r="W414" i="8"/>
  <c r="W422" i="8"/>
  <c r="W430" i="8"/>
  <c r="W438" i="8"/>
  <c r="D439" i="9"/>
  <c r="W410" i="9"/>
  <c r="W418" i="9"/>
  <c r="W426" i="9"/>
  <c r="W434" i="9"/>
  <c r="W442" i="9"/>
  <c r="W450" i="9"/>
  <c r="W455" i="8"/>
  <c r="W463" i="8"/>
  <c r="W471" i="8"/>
  <c r="W479" i="8"/>
  <c r="W487" i="8"/>
  <c r="W495" i="8"/>
  <c r="W503" i="8"/>
  <c r="W511" i="8"/>
  <c r="W519" i="8"/>
  <c r="W527" i="8"/>
  <c r="W533" i="9"/>
  <c r="D496" i="8"/>
  <c r="W524" i="8"/>
  <c r="W410" i="8"/>
  <c r="W418" i="8"/>
  <c r="W426" i="8"/>
  <c r="W434" i="8"/>
  <c r="W442" i="8"/>
  <c r="W414" i="9"/>
  <c r="W422" i="9"/>
  <c r="W430" i="9"/>
  <c r="W438" i="9"/>
  <c r="W446" i="9"/>
  <c r="W451" i="8"/>
  <c r="W459" i="8"/>
  <c r="W467" i="8"/>
  <c r="W475" i="8"/>
  <c r="W483" i="8"/>
  <c r="W499" i="8"/>
  <c r="W507" i="8"/>
  <c r="W515" i="8"/>
  <c r="W523" i="8"/>
  <c r="W531" i="8"/>
  <c r="W505" i="9"/>
  <c r="W513" i="9"/>
  <c r="W521" i="9"/>
  <c r="W529" i="9"/>
  <c r="W537" i="9"/>
  <c r="D452" i="8"/>
  <c r="W448" i="8"/>
  <c r="D451" i="8"/>
  <c r="W449" i="8"/>
  <c r="D407" i="8"/>
  <c r="W404" i="8"/>
  <c r="W412" i="8"/>
  <c r="W420" i="8"/>
  <c r="W428" i="8"/>
  <c r="W436" i="8"/>
  <c r="W408" i="9"/>
  <c r="W416" i="9"/>
  <c r="W424" i="9"/>
  <c r="W432" i="9"/>
  <c r="W440" i="9"/>
  <c r="W448" i="9"/>
  <c r="W453" i="8"/>
  <c r="W461" i="8"/>
  <c r="W469" i="8"/>
  <c r="W477" i="8"/>
  <c r="W485" i="8"/>
  <c r="D495" i="8"/>
  <c r="W493" i="8"/>
  <c r="W501" i="8"/>
  <c r="W509" i="8"/>
  <c r="W517" i="8"/>
  <c r="W525" i="8"/>
  <c r="W499" i="9"/>
  <c r="W507" i="9"/>
  <c r="W515" i="9"/>
  <c r="W523" i="9"/>
  <c r="W531" i="9"/>
  <c r="W539" i="9"/>
  <c r="W409" i="8"/>
  <c r="W417" i="8"/>
  <c r="W425" i="8"/>
  <c r="W433" i="8"/>
  <c r="W441" i="8"/>
  <c r="W413" i="9"/>
  <c r="W421" i="9"/>
  <c r="W429" i="9"/>
  <c r="W437" i="9"/>
  <c r="W445" i="9"/>
  <c r="W450" i="8"/>
  <c r="W458" i="8"/>
  <c r="W466" i="8"/>
  <c r="W474" i="8"/>
  <c r="W482" i="8"/>
  <c r="W498" i="8"/>
  <c r="W506" i="8"/>
  <c r="W514" i="8"/>
  <c r="W522" i="8"/>
  <c r="W530" i="8"/>
  <c r="W504" i="9"/>
  <c r="W512" i="9"/>
  <c r="W520" i="9"/>
  <c r="W528" i="9"/>
  <c r="W536" i="9"/>
  <c r="D289" i="9"/>
  <c r="D277" i="9"/>
  <c r="D355" i="9"/>
  <c r="D423" i="9"/>
  <c r="D461" i="9"/>
  <c r="D384" i="9"/>
  <c r="D320" i="9"/>
  <c r="D339" i="9"/>
  <c r="D469" i="9"/>
  <c r="D376" i="9"/>
  <c r="D411" i="9"/>
  <c r="D485" i="9"/>
  <c r="D285" i="9"/>
  <c r="D305" i="9"/>
  <c r="D335" i="9"/>
  <c r="D327" i="9"/>
  <c r="D323" i="9"/>
  <c r="D309" i="9"/>
  <c r="D400" i="9"/>
  <c r="D454" i="9"/>
  <c r="D364" i="8"/>
  <c r="D442" i="8"/>
  <c r="D438" i="8"/>
  <c r="D434" i="8"/>
  <c r="D430" i="8"/>
  <c r="D426" i="8"/>
  <c r="D422" i="8"/>
  <c r="D418" i="8"/>
  <c r="D414" i="8"/>
  <c r="D410" i="8"/>
  <c r="D406" i="8"/>
  <c r="D487" i="8"/>
  <c r="D483" i="8"/>
  <c r="D479" i="8"/>
  <c r="D475" i="8"/>
  <c r="D471" i="8"/>
  <c r="D467" i="8"/>
  <c r="D463" i="8"/>
  <c r="D459" i="8"/>
  <c r="D455" i="8"/>
  <c r="D531" i="8"/>
  <c r="D527" i="8"/>
  <c r="D523" i="8"/>
  <c r="D519" i="8"/>
  <c r="D515" i="8"/>
  <c r="D511" i="8"/>
  <c r="D507" i="8"/>
  <c r="D503" i="8"/>
  <c r="D499" i="8"/>
  <c r="D441" i="8"/>
  <c r="D437" i="8"/>
  <c r="D433" i="8"/>
  <c r="D429" i="8"/>
  <c r="D425" i="8"/>
  <c r="D421" i="8"/>
  <c r="D413" i="8"/>
  <c r="D409" i="8"/>
  <c r="D405" i="8"/>
  <c r="D486" i="8"/>
  <c r="D482" i="8"/>
  <c r="D478" i="8"/>
  <c r="D474" i="8"/>
  <c r="D470" i="8"/>
  <c r="D466" i="8"/>
  <c r="D462" i="8"/>
  <c r="D458" i="8"/>
  <c r="D454" i="8"/>
  <c r="D450" i="8"/>
  <c r="D530" i="8"/>
  <c r="D526" i="8"/>
  <c r="D522" i="8"/>
  <c r="D518" i="8"/>
  <c r="D514" i="8"/>
  <c r="D510" i="8"/>
  <c r="D506" i="8"/>
  <c r="D502" i="8"/>
  <c r="D498" i="8"/>
  <c r="D494" i="8"/>
  <c r="D317" i="8"/>
  <c r="D404" i="8"/>
  <c r="D440" i="8"/>
  <c r="D436" i="8"/>
  <c r="D432" i="8"/>
  <c r="D428" i="8"/>
  <c r="D424" i="8"/>
  <c r="D420" i="8"/>
  <c r="D416" i="8"/>
  <c r="D412" i="8"/>
  <c r="D408" i="8"/>
  <c r="D485" i="8"/>
  <c r="D481" i="8"/>
  <c r="D477" i="8"/>
  <c r="D473" i="8"/>
  <c r="D469" i="8"/>
  <c r="D465" i="8"/>
  <c r="D461" i="8"/>
  <c r="D457" i="8"/>
  <c r="D453" i="8"/>
  <c r="D449" i="8"/>
  <c r="D529" i="8"/>
  <c r="D525" i="8"/>
  <c r="D521" i="8"/>
  <c r="D517" i="8"/>
  <c r="D513" i="8"/>
  <c r="D509" i="8"/>
  <c r="D505" i="8"/>
  <c r="D501" i="8"/>
  <c r="D497" i="8"/>
  <c r="D493" i="8"/>
  <c r="D353" i="8"/>
  <c r="D318" i="8"/>
  <c r="D280" i="8"/>
  <c r="D443" i="8"/>
  <c r="D439" i="8"/>
  <c r="D435" i="8"/>
  <c r="D431" i="8"/>
  <c r="D427" i="8"/>
  <c r="D423" i="8"/>
  <c r="D419" i="8"/>
  <c r="D415" i="8"/>
  <c r="D411" i="8"/>
  <c r="D448" i="8"/>
  <c r="D484" i="8"/>
  <c r="D480" i="8"/>
  <c r="D476" i="8"/>
  <c r="D472" i="8"/>
  <c r="D468" i="8"/>
  <c r="D464" i="8"/>
  <c r="D460" i="8"/>
  <c r="D456" i="8"/>
  <c r="D492" i="8"/>
  <c r="D528" i="8"/>
  <c r="D524" i="8"/>
  <c r="D520" i="8"/>
  <c r="D516" i="8"/>
  <c r="D512" i="8"/>
  <c r="D508" i="8"/>
  <c r="D504" i="8"/>
  <c r="D500" i="8"/>
  <c r="D501" i="9"/>
  <c r="D505" i="9"/>
  <c r="D509" i="9"/>
  <c r="D513" i="9"/>
  <c r="D517" i="9"/>
  <c r="D521" i="9"/>
  <c r="D525" i="9"/>
  <c r="D529" i="9"/>
  <c r="D533" i="9"/>
  <c r="D537" i="9"/>
  <c r="D498" i="9"/>
  <c r="D502" i="9"/>
  <c r="D506" i="9"/>
  <c r="D510" i="9"/>
  <c r="D514" i="9"/>
  <c r="D518" i="9"/>
  <c r="D522" i="9"/>
  <c r="D526" i="9"/>
  <c r="D530" i="9"/>
  <c r="D534" i="9"/>
  <c r="D538" i="9"/>
  <c r="D499" i="9"/>
  <c r="D503" i="9"/>
  <c r="D507" i="9"/>
  <c r="D511" i="9"/>
  <c r="D515" i="9"/>
  <c r="D519" i="9"/>
  <c r="D523" i="9"/>
  <c r="D527" i="9"/>
  <c r="D531" i="9"/>
  <c r="D535" i="9"/>
  <c r="D539" i="9"/>
  <c r="D408" i="9"/>
  <c r="D481" i="9"/>
  <c r="D516" i="9"/>
  <c r="D338" i="9"/>
  <c r="D347" i="9"/>
  <c r="D331" i="9"/>
  <c r="D392" i="9"/>
  <c r="D412" i="9"/>
  <c r="D447" i="9"/>
  <c r="D431" i="9"/>
  <c r="D415" i="9"/>
  <c r="D493" i="9"/>
  <c r="D477" i="9"/>
  <c r="D528" i="9"/>
  <c r="D512" i="9"/>
  <c r="D536" i="9"/>
  <c r="D520" i="9"/>
  <c r="D504" i="9"/>
  <c r="D281" i="9"/>
  <c r="D297" i="9"/>
  <c r="D313" i="9"/>
  <c r="D351" i="9"/>
  <c r="D319" i="9"/>
  <c r="D365" i="9"/>
  <c r="D369" i="9"/>
  <c r="D373" i="9"/>
  <c r="D377" i="9"/>
  <c r="D381" i="9"/>
  <c r="D385" i="9"/>
  <c r="D389" i="9"/>
  <c r="D393" i="9"/>
  <c r="D397" i="9"/>
  <c r="D401" i="9"/>
  <c r="D405" i="9"/>
  <c r="D371" i="9"/>
  <c r="D391" i="9"/>
  <c r="D403" i="9"/>
  <c r="D366" i="9"/>
  <c r="D370" i="9"/>
  <c r="D374" i="9"/>
  <c r="D378" i="9"/>
  <c r="D382" i="9"/>
  <c r="D386" i="9"/>
  <c r="D390" i="9"/>
  <c r="D394" i="9"/>
  <c r="D398" i="9"/>
  <c r="D402" i="9"/>
  <c r="D363" i="9"/>
  <c r="D367" i="9"/>
  <c r="D375" i="9"/>
  <c r="D379" i="9"/>
  <c r="D383" i="9"/>
  <c r="D387" i="9"/>
  <c r="D395" i="9"/>
  <c r="D399" i="9"/>
  <c r="D396" i="9"/>
  <c r="D380" i="9"/>
  <c r="D364" i="9"/>
  <c r="D435" i="9"/>
  <c r="D419" i="9"/>
  <c r="D456" i="9"/>
  <c r="D460" i="9"/>
  <c r="D464" i="9"/>
  <c r="D468" i="9"/>
  <c r="D472" i="9"/>
  <c r="D476" i="9"/>
  <c r="D480" i="9"/>
  <c r="D484" i="9"/>
  <c r="D488" i="9"/>
  <c r="D492" i="9"/>
  <c r="D453" i="9"/>
  <c r="D465" i="9"/>
  <c r="D532" i="9"/>
  <c r="D500" i="9"/>
  <c r="D293" i="9"/>
  <c r="D359" i="9"/>
  <c r="D343" i="9"/>
  <c r="D404" i="9"/>
  <c r="D388" i="9"/>
  <c r="D372" i="9"/>
  <c r="D443" i="9"/>
  <c r="D427" i="9"/>
  <c r="D489" i="9"/>
  <c r="D473" i="9"/>
  <c r="D457" i="9"/>
  <c r="D540" i="9"/>
  <c r="D524" i="9"/>
  <c r="D508" i="9"/>
  <c r="D354" i="9"/>
  <c r="D350" i="9"/>
  <c r="D346" i="9"/>
  <c r="D342" i="9"/>
  <c r="D334" i="9"/>
  <c r="D330" i="9"/>
  <c r="D326" i="9"/>
  <c r="D322" i="9"/>
  <c r="D301" i="9"/>
  <c r="D318" i="9"/>
  <c r="D357" i="9"/>
  <c r="D353" i="9"/>
  <c r="D349" i="9"/>
  <c r="D345" i="9"/>
  <c r="D341" i="9"/>
  <c r="D337" i="9"/>
  <c r="D333" i="9"/>
  <c r="D329" i="9"/>
  <c r="D325" i="9"/>
  <c r="D321" i="9"/>
  <c r="D449" i="9"/>
  <c r="D445" i="9"/>
  <c r="D441" i="9"/>
  <c r="D437" i="9"/>
  <c r="D433" i="9"/>
  <c r="D429" i="9"/>
  <c r="D425" i="9"/>
  <c r="D421" i="9"/>
  <c r="D417" i="9"/>
  <c r="D413" i="9"/>
  <c r="D409" i="9"/>
  <c r="D495" i="9"/>
  <c r="D491" i="9"/>
  <c r="D487" i="9"/>
  <c r="D483" i="9"/>
  <c r="D479" i="9"/>
  <c r="D475" i="9"/>
  <c r="D471" i="9"/>
  <c r="D467" i="9"/>
  <c r="D463" i="9"/>
  <c r="D459" i="9"/>
  <c r="D455" i="9"/>
  <c r="D274" i="9"/>
  <c r="D358" i="9"/>
  <c r="D450" i="9"/>
  <c r="D446" i="9"/>
  <c r="D442" i="9"/>
  <c r="D438" i="9"/>
  <c r="D434" i="9"/>
  <c r="D430" i="9"/>
  <c r="D426" i="9"/>
  <c r="D422" i="9"/>
  <c r="D418" i="9"/>
  <c r="D414" i="9"/>
  <c r="D410" i="9"/>
  <c r="D360" i="9"/>
  <c r="D356" i="9"/>
  <c r="D352" i="9"/>
  <c r="D348" i="9"/>
  <c r="D344" i="9"/>
  <c r="D340" i="9"/>
  <c r="D336" i="9"/>
  <c r="D332" i="9"/>
  <c r="D328" i="9"/>
  <c r="D324" i="9"/>
  <c r="D448" i="9"/>
  <c r="D444" i="9"/>
  <c r="D440" i="9"/>
  <c r="D436" i="9"/>
  <c r="D432" i="9"/>
  <c r="D428" i="9"/>
  <c r="D424" i="9"/>
  <c r="D420" i="9"/>
  <c r="D416" i="9"/>
  <c r="D494" i="9"/>
  <c r="D490" i="9"/>
  <c r="D486" i="9"/>
  <c r="D482" i="9"/>
  <c r="D478" i="9"/>
  <c r="D474" i="9"/>
  <c r="D470" i="9"/>
  <c r="D466" i="9"/>
  <c r="D462" i="9"/>
  <c r="D458" i="9"/>
  <c r="D308" i="8"/>
  <c r="D349" i="8"/>
  <c r="D333" i="8"/>
  <c r="D345" i="8"/>
  <c r="D329" i="8"/>
  <c r="D320" i="8"/>
  <c r="D388" i="8"/>
  <c r="D372" i="8"/>
  <c r="D361" i="8"/>
  <c r="D360" i="8"/>
  <c r="D384" i="8"/>
  <c r="D368" i="8"/>
  <c r="D396" i="8"/>
  <c r="D380" i="8"/>
  <c r="D399" i="8"/>
  <c r="D395" i="8"/>
  <c r="D391" i="8"/>
  <c r="D387" i="8"/>
  <c r="D383" i="8"/>
  <c r="D379" i="8"/>
  <c r="D375" i="8"/>
  <c r="D371" i="8"/>
  <c r="D367" i="8"/>
  <c r="D363" i="8"/>
  <c r="D398" i="8"/>
  <c r="D394" i="8"/>
  <c r="D390" i="8"/>
  <c r="D386" i="8"/>
  <c r="D382" i="8"/>
  <c r="D378" i="8"/>
  <c r="D374" i="8"/>
  <c r="D370" i="8"/>
  <c r="D366" i="8"/>
  <c r="D362" i="8"/>
  <c r="D397" i="8"/>
  <c r="D393" i="8"/>
  <c r="D389" i="8"/>
  <c r="D385" i="8"/>
  <c r="D381" i="8"/>
  <c r="D377" i="8"/>
  <c r="D373" i="8"/>
  <c r="D369" i="8"/>
  <c r="D365" i="8"/>
  <c r="D316" i="8"/>
  <c r="D348" i="8"/>
  <c r="D340" i="8"/>
  <c r="D332" i="8"/>
  <c r="D324" i="8"/>
  <c r="D355" i="8"/>
  <c r="D351" i="8"/>
  <c r="D347" i="8"/>
  <c r="D343" i="8"/>
  <c r="D339" i="8"/>
  <c r="D335" i="8"/>
  <c r="D331" i="8"/>
  <c r="D327" i="8"/>
  <c r="D323" i="8"/>
  <c r="D319" i="8"/>
  <c r="D352" i="8"/>
  <c r="D344" i="8"/>
  <c r="D336" i="8"/>
  <c r="D328" i="8"/>
  <c r="D354" i="8"/>
  <c r="D350" i="8"/>
  <c r="D346" i="8"/>
  <c r="D342" i="8"/>
  <c r="D338" i="8"/>
  <c r="D334" i="8"/>
  <c r="D330" i="8"/>
  <c r="D326" i="8"/>
  <c r="D322" i="8"/>
  <c r="D273" i="9"/>
  <c r="D312" i="9"/>
  <c r="D308" i="9"/>
  <c r="D304" i="9"/>
  <c r="D300" i="9"/>
  <c r="D296" i="9"/>
  <c r="D292" i="9"/>
  <c r="D288" i="9"/>
  <c r="D284" i="9"/>
  <c r="D280" i="9"/>
  <c r="D276" i="9"/>
  <c r="D315" i="9"/>
  <c r="D311" i="9"/>
  <c r="D307" i="9"/>
  <c r="D303" i="9"/>
  <c r="D299" i="9"/>
  <c r="D295" i="9"/>
  <c r="D291" i="9"/>
  <c r="D287" i="9"/>
  <c r="D283" i="9"/>
  <c r="D279" i="9"/>
  <c r="D275" i="9"/>
  <c r="D314" i="9"/>
  <c r="D310" i="9"/>
  <c r="D306" i="9"/>
  <c r="D302" i="9"/>
  <c r="D298" i="9"/>
  <c r="D294" i="9"/>
  <c r="D290" i="9"/>
  <c r="D286" i="9"/>
  <c r="D282" i="9"/>
  <c r="D278" i="9"/>
  <c r="D273" i="8"/>
  <c r="D304" i="8"/>
  <c r="D292" i="8"/>
  <c r="D276" i="8"/>
  <c r="D311" i="8"/>
  <c r="D307" i="8"/>
  <c r="D303" i="8"/>
  <c r="D299" i="8"/>
  <c r="D295" i="8"/>
  <c r="D291" i="8"/>
  <c r="D287" i="8"/>
  <c r="D283" i="8"/>
  <c r="D279" i="8"/>
  <c r="D275" i="8"/>
  <c r="D300" i="8"/>
  <c r="D288" i="8"/>
  <c r="D284" i="8"/>
  <c r="D310" i="8"/>
  <c r="D306" i="8"/>
  <c r="D302" i="8"/>
  <c r="D298" i="8"/>
  <c r="D294" i="8"/>
  <c r="D290" i="8"/>
  <c r="D286" i="8"/>
  <c r="D282" i="8"/>
  <c r="D278" i="8"/>
  <c r="D274" i="8"/>
  <c r="D296" i="8"/>
  <c r="D309" i="8"/>
  <c r="D305" i="8"/>
  <c r="D301" i="8"/>
  <c r="D297" i="8"/>
  <c r="D293" i="8"/>
  <c r="D289" i="8"/>
  <c r="D285" i="8"/>
  <c r="D281" i="8"/>
  <c r="D277" i="8"/>
  <c r="O270" i="9" l="1"/>
  <c r="M270" i="9"/>
  <c r="W270" i="9" s="1"/>
  <c r="J270" i="9"/>
  <c r="G270" i="9"/>
  <c r="O269" i="9"/>
  <c r="M269" i="9"/>
  <c r="W269" i="9" s="1"/>
  <c r="J269" i="9"/>
  <c r="G269" i="9"/>
  <c r="O268" i="9"/>
  <c r="M268" i="9"/>
  <c r="W268" i="9" s="1"/>
  <c r="J268" i="9"/>
  <c r="G268" i="9"/>
  <c r="O267" i="9"/>
  <c r="M267" i="9"/>
  <c r="W267" i="9" s="1"/>
  <c r="J267" i="9"/>
  <c r="G267" i="9"/>
  <c r="O266" i="9"/>
  <c r="M266" i="9"/>
  <c r="W266" i="9" s="1"/>
  <c r="J266" i="9"/>
  <c r="G266" i="9"/>
  <c r="O265" i="9"/>
  <c r="M265" i="9"/>
  <c r="W265" i="9" s="1"/>
  <c r="J265" i="9"/>
  <c r="G265" i="9"/>
  <c r="O264" i="9"/>
  <c r="M264" i="9"/>
  <c r="W264" i="9" s="1"/>
  <c r="J264" i="9"/>
  <c r="G264" i="9"/>
  <c r="O263" i="9"/>
  <c r="M263" i="9"/>
  <c r="W263" i="9" s="1"/>
  <c r="J263" i="9"/>
  <c r="G263" i="9"/>
  <c r="O262" i="9"/>
  <c r="M262" i="9"/>
  <c r="W262" i="9" s="1"/>
  <c r="J262" i="9"/>
  <c r="G262" i="9"/>
  <c r="O261" i="9"/>
  <c r="M261" i="9"/>
  <c r="W261" i="9" s="1"/>
  <c r="J261" i="9"/>
  <c r="G261" i="9"/>
  <c r="O260" i="9"/>
  <c r="M260" i="9"/>
  <c r="W260" i="9" s="1"/>
  <c r="J260" i="9"/>
  <c r="G260" i="9"/>
  <c r="O259" i="9"/>
  <c r="M259" i="9"/>
  <c r="W259" i="9" s="1"/>
  <c r="J259" i="9"/>
  <c r="G259" i="9"/>
  <c r="O258" i="9"/>
  <c r="M258" i="9"/>
  <c r="W258" i="9" s="1"/>
  <c r="J258" i="9"/>
  <c r="G258" i="9"/>
  <c r="O257" i="9"/>
  <c r="M257" i="9"/>
  <c r="W257" i="9" s="1"/>
  <c r="J257" i="9"/>
  <c r="G257" i="9"/>
  <c r="O256" i="9"/>
  <c r="M256" i="9"/>
  <c r="W256" i="9" s="1"/>
  <c r="J256" i="9"/>
  <c r="G256" i="9"/>
  <c r="O255" i="9"/>
  <c r="M255" i="9"/>
  <c r="W255" i="9" s="1"/>
  <c r="J255" i="9"/>
  <c r="G255" i="9"/>
  <c r="O254" i="9"/>
  <c r="M254" i="9"/>
  <c r="W254" i="9" s="1"/>
  <c r="J254" i="9"/>
  <c r="G254" i="9"/>
  <c r="O253" i="9"/>
  <c r="M253" i="9"/>
  <c r="W253" i="9" s="1"/>
  <c r="J253" i="9"/>
  <c r="G253" i="9"/>
  <c r="O252" i="9"/>
  <c r="M252" i="9"/>
  <c r="W252" i="9" s="1"/>
  <c r="J252" i="9"/>
  <c r="G252" i="9"/>
  <c r="O251" i="9"/>
  <c r="M251" i="9"/>
  <c r="W251" i="9" s="1"/>
  <c r="J251" i="9"/>
  <c r="G251" i="9"/>
  <c r="O250" i="9"/>
  <c r="M250" i="9"/>
  <c r="W250" i="9" s="1"/>
  <c r="J250" i="9"/>
  <c r="G250" i="9"/>
  <c r="O249" i="9"/>
  <c r="M249" i="9"/>
  <c r="W249" i="9" s="1"/>
  <c r="J249" i="9"/>
  <c r="G249" i="9"/>
  <c r="O248" i="9"/>
  <c r="M248" i="9"/>
  <c r="W248" i="9" s="1"/>
  <c r="J248" i="9"/>
  <c r="G248" i="9"/>
  <c r="O247" i="9"/>
  <c r="M247" i="9"/>
  <c r="W247" i="9" s="1"/>
  <c r="J247" i="9"/>
  <c r="G247" i="9"/>
  <c r="O246" i="9"/>
  <c r="M246" i="9"/>
  <c r="W246" i="9" s="1"/>
  <c r="J246" i="9"/>
  <c r="G246" i="9"/>
  <c r="O245" i="9"/>
  <c r="M245" i="9"/>
  <c r="W245" i="9" s="1"/>
  <c r="J245" i="9"/>
  <c r="G245" i="9"/>
  <c r="O244" i="9"/>
  <c r="M244" i="9"/>
  <c r="W244" i="9" s="1"/>
  <c r="J244" i="9"/>
  <c r="G244" i="9"/>
  <c r="O243" i="9"/>
  <c r="M243" i="9"/>
  <c r="W243" i="9" s="1"/>
  <c r="J243" i="9"/>
  <c r="G243" i="9"/>
  <c r="O242" i="9"/>
  <c r="M242" i="9"/>
  <c r="W242" i="9" s="1"/>
  <c r="J242" i="9"/>
  <c r="G242" i="9"/>
  <c r="O241" i="9"/>
  <c r="M241" i="9"/>
  <c r="W241" i="9" s="1"/>
  <c r="J241" i="9"/>
  <c r="G241" i="9"/>
  <c r="O240" i="9"/>
  <c r="M240" i="9"/>
  <c r="W240" i="9" s="1"/>
  <c r="J240" i="9"/>
  <c r="G240" i="9"/>
  <c r="O239" i="9"/>
  <c r="M239" i="9"/>
  <c r="W239" i="9" s="1"/>
  <c r="J239" i="9"/>
  <c r="G239" i="9"/>
  <c r="O238" i="9"/>
  <c r="M238" i="9"/>
  <c r="W238" i="9" s="1"/>
  <c r="J238" i="9"/>
  <c r="G238" i="9"/>
  <c r="O237" i="9"/>
  <c r="M237" i="9"/>
  <c r="W237" i="9" s="1"/>
  <c r="J237" i="9"/>
  <c r="G237" i="9"/>
  <c r="O236" i="9"/>
  <c r="M236" i="9"/>
  <c r="W236" i="9" s="1"/>
  <c r="J236" i="9"/>
  <c r="G236" i="9"/>
  <c r="O235" i="9"/>
  <c r="M235" i="9"/>
  <c r="W235" i="9" s="1"/>
  <c r="J235" i="9"/>
  <c r="G235" i="9"/>
  <c r="O234" i="9"/>
  <c r="M234" i="9"/>
  <c r="W234" i="9" s="1"/>
  <c r="J234" i="9"/>
  <c r="G234" i="9"/>
  <c r="O233" i="9"/>
  <c r="M233" i="9"/>
  <c r="W233" i="9" s="1"/>
  <c r="J233" i="9"/>
  <c r="G233" i="9"/>
  <c r="O232" i="9"/>
  <c r="M232" i="9"/>
  <c r="W232" i="9" s="1"/>
  <c r="J232" i="9"/>
  <c r="G232" i="9"/>
  <c r="O231" i="9"/>
  <c r="M231" i="9"/>
  <c r="W231" i="9" s="1"/>
  <c r="J231" i="9"/>
  <c r="G231" i="9"/>
  <c r="O230" i="9"/>
  <c r="M230" i="9"/>
  <c r="W230" i="9" s="1"/>
  <c r="J230" i="9"/>
  <c r="G230" i="9"/>
  <c r="O229" i="9"/>
  <c r="M229" i="9"/>
  <c r="W229" i="9" s="1"/>
  <c r="J229" i="9"/>
  <c r="G229" i="9"/>
  <c r="O228" i="9"/>
  <c r="M228" i="9"/>
  <c r="W228" i="9" s="1"/>
  <c r="J228" i="9"/>
  <c r="G228" i="9"/>
  <c r="O267" i="8"/>
  <c r="M267" i="8"/>
  <c r="W267" i="8" s="1"/>
  <c r="J267" i="8"/>
  <c r="O266" i="8"/>
  <c r="M266" i="8"/>
  <c r="W266" i="8" s="1"/>
  <c r="J266" i="8"/>
  <c r="O265" i="8"/>
  <c r="M265" i="8"/>
  <c r="W265" i="8" s="1"/>
  <c r="J265" i="8"/>
  <c r="O264" i="8"/>
  <c r="M264" i="8"/>
  <c r="W264" i="8" s="1"/>
  <c r="J264" i="8"/>
  <c r="O263" i="8"/>
  <c r="M263" i="8"/>
  <c r="W263" i="8" s="1"/>
  <c r="J263" i="8"/>
  <c r="O262" i="8"/>
  <c r="M262" i="8"/>
  <c r="W262" i="8" s="1"/>
  <c r="J262" i="8"/>
  <c r="O261" i="8"/>
  <c r="M261" i="8"/>
  <c r="W261" i="8" s="1"/>
  <c r="J261" i="8"/>
  <c r="O260" i="8"/>
  <c r="M260" i="8"/>
  <c r="W260" i="8" s="1"/>
  <c r="J260" i="8"/>
  <c r="O259" i="8"/>
  <c r="M259" i="8"/>
  <c r="W259" i="8" s="1"/>
  <c r="J259" i="8"/>
  <c r="O258" i="8"/>
  <c r="M258" i="8"/>
  <c r="W258" i="8" s="1"/>
  <c r="J258" i="8"/>
  <c r="O257" i="8"/>
  <c r="M257" i="8"/>
  <c r="W257" i="8" s="1"/>
  <c r="J257" i="8"/>
  <c r="O256" i="8"/>
  <c r="M256" i="8"/>
  <c r="W256" i="8" s="1"/>
  <c r="J256" i="8"/>
  <c r="O255" i="8"/>
  <c r="M255" i="8"/>
  <c r="W255" i="8" s="1"/>
  <c r="J255" i="8"/>
  <c r="O254" i="8"/>
  <c r="M254" i="8"/>
  <c r="W254" i="8" s="1"/>
  <c r="J254" i="8"/>
  <c r="O253" i="8"/>
  <c r="M253" i="8"/>
  <c r="W253" i="8" s="1"/>
  <c r="J253" i="8"/>
  <c r="O252" i="8"/>
  <c r="M252" i="8"/>
  <c r="W252" i="8" s="1"/>
  <c r="J252" i="8"/>
  <c r="O251" i="8"/>
  <c r="M251" i="8"/>
  <c r="W251" i="8" s="1"/>
  <c r="J251" i="8"/>
  <c r="O250" i="8"/>
  <c r="M250" i="8"/>
  <c r="W250" i="8" s="1"/>
  <c r="J250" i="8"/>
  <c r="O249" i="8"/>
  <c r="M249" i="8"/>
  <c r="W249" i="8" s="1"/>
  <c r="J249" i="8"/>
  <c r="O248" i="8"/>
  <c r="M248" i="8"/>
  <c r="W248" i="8" s="1"/>
  <c r="J248" i="8"/>
  <c r="O247" i="8"/>
  <c r="M247" i="8"/>
  <c r="W247" i="8" s="1"/>
  <c r="J247" i="8"/>
  <c r="O246" i="8"/>
  <c r="M246" i="8"/>
  <c r="W246" i="8" s="1"/>
  <c r="J246" i="8"/>
  <c r="O245" i="8"/>
  <c r="M245" i="8"/>
  <c r="W245" i="8" s="1"/>
  <c r="J245" i="8"/>
  <c r="O244" i="8"/>
  <c r="M244" i="8"/>
  <c r="W244" i="8" s="1"/>
  <c r="J244" i="8"/>
  <c r="O243" i="8"/>
  <c r="M243" i="8"/>
  <c r="W243" i="8" s="1"/>
  <c r="J243" i="8"/>
  <c r="O242" i="8"/>
  <c r="M242" i="8"/>
  <c r="W242" i="8" s="1"/>
  <c r="J242" i="8"/>
  <c r="O241" i="8"/>
  <c r="M241" i="8"/>
  <c r="W241" i="8" s="1"/>
  <c r="J241" i="8"/>
  <c r="O240" i="8"/>
  <c r="M240" i="8"/>
  <c r="W240" i="8" s="1"/>
  <c r="J240" i="8"/>
  <c r="O239" i="8"/>
  <c r="M239" i="8"/>
  <c r="W239" i="8" s="1"/>
  <c r="J239" i="8"/>
  <c r="O238" i="8"/>
  <c r="M238" i="8"/>
  <c r="W238" i="8" s="1"/>
  <c r="J238" i="8"/>
  <c r="O237" i="8"/>
  <c r="M237" i="8"/>
  <c r="W237" i="8" s="1"/>
  <c r="J237" i="8"/>
  <c r="O236" i="8"/>
  <c r="M236" i="8"/>
  <c r="W236" i="8" s="1"/>
  <c r="J236" i="8"/>
  <c r="O235" i="8"/>
  <c r="M235" i="8"/>
  <c r="W235" i="8" s="1"/>
  <c r="J235" i="8"/>
  <c r="O234" i="8"/>
  <c r="M234" i="8"/>
  <c r="W234" i="8" s="1"/>
  <c r="J234" i="8"/>
  <c r="O233" i="8"/>
  <c r="M233" i="8"/>
  <c r="W233" i="8" s="1"/>
  <c r="J233" i="8"/>
  <c r="O232" i="8"/>
  <c r="M232" i="8"/>
  <c r="W232" i="8" s="1"/>
  <c r="J232" i="8"/>
  <c r="O231" i="8"/>
  <c r="M231" i="8"/>
  <c r="W231" i="8" s="1"/>
  <c r="J231" i="8"/>
  <c r="O230" i="8"/>
  <c r="M230" i="8"/>
  <c r="W230" i="8" s="1"/>
  <c r="J230" i="8"/>
  <c r="O229" i="8"/>
  <c r="M229" i="8"/>
  <c r="W229" i="8" s="1"/>
  <c r="J229" i="8"/>
  <c r="O228" i="8"/>
  <c r="M228" i="8"/>
  <c r="W228" i="8" s="1"/>
  <c r="G228" i="8"/>
  <c r="D231" i="8"/>
  <c r="D229" i="9" l="1"/>
  <c r="D231" i="9"/>
  <c r="D266" i="8"/>
  <c r="D262" i="8"/>
  <c r="D258" i="8"/>
  <c r="D254" i="8"/>
  <c r="D250" i="8"/>
  <c r="D246" i="8"/>
  <c r="D242" i="8"/>
  <c r="D238" i="8"/>
  <c r="D234" i="8"/>
  <c r="D230" i="8"/>
  <c r="D265" i="8"/>
  <c r="D261" i="8"/>
  <c r="D257" i="8"/>
  <c r="D253" i="8"/>
  <c r="D249" i="8"/>
  <c r="D245" i="8"/>
  <c r="D241" i="8"/>
  <c r="D237" i="8"/>
  <c r="D233" i="8"/>
  <c r="D229" i="8"/>
  <c r="D228" i="8"/>
  <c r="D264" i="8"/>
  <c r="D260" i="8"/>
  <c r="D256" i="8"/>
  <c r="D252" i="8"/>
  <c r="D248" i="8"/>
  <c r="D244" i="8"/>
  <c r="D240" i="8"/>
  <c r="D236" i="8"/>
  <c r="D232" i="8"/>
  <c r="D267" i="8"/>
  <c r="D263" i="8"/>
  <c r="D259" i="8"/>
  <c r="D255" i="8"/>
  <c r="D251" i="8"/>
  <c r="D247" i="8"/>
  <c r="D243" i="8"/>
  <c r="D239" i="8"/>
  <c r="D235" i="8"/>
  <c r="D260" i="9"/>
  <c r="D252" i="9"/>
  <c r="D248" i="9"/>
  <c r="D240" i="9"/>
  <c r="D232" i="9"/>
  <c r="D267" i="9"/>
  <c r="D263" i="9"/>
  <c r="D255" i="9"/>
  <c r="D251" i="9"/>
  <c r="D243" i="9"/>
  <c r="D235" i="9"/>
  <c r="D270" i="9"/>
  <c r="D266" i="9"/>
  <c r="D262" i="9"/>
  <c r="D258" i="9"/>
  <c r="D254" i="9"/>
  <c r="D250" i="9"/>
  <c r="D246" i="9"/>
  <c r="D242" i="9"/>
  <c r="D238" i="9"/>
  <c r="D234" i="9"/>
  <c r="D230" i="9"/>
  <c r="D268" i="9"/>
  <c r="D264" i="9"/>
  <c r="D256" i="9"/>
  <c r="D244" i="9"/>
  <c r="D236" i="9"/>
  <c r="D259" i="9"/>
  <c r="D247" i="9"/>
  <c r="D239" i="9"/>
  <c r="D269" i="9"/>
  <c r="D265" i="9"/>
  <c r="D261" i="9"/>
  <c r="D257" i="9"/>
  <c r="D253" i="9"/>
  <c r="D249" i="9"/>
  <c r="D245" i="9"/>
  <c r="D241" i="9"/>
  <c r="D237" i="9"/>
  <c r="D233" i="9"/>
  <c r="O225" i="9"/>
  <c r="M225" i="9"/>
  <c r="W225" i="9" s="1"/>
  <c r="J225" i="9"/>
  <c r="G225" i="9"/>
  <c r="O224" i="9"/>
  <c r="M224" i="9"/>
  <c r="W224" i="9" s="1"/>
  <c r="J224" i="9"/>
  <c r="G224" i="9"/>
  <c r="O223" i="9"/>
  <c r="M223" i="9"/>
  <c r="W223" i="9" s="1"/>
  <c r="J223" i="9"/>
  <c r="G223" i="9"/>
  <c r="O222" i="9"/>
  <c r="M222" i="9"/>
  <c r="W222" i="9" s="1"/>
  <c r="J222" i="9"/>
  <c r="G222" i="9"/>
  <c r="O221" i="9"/>
  <c r="M221" i="9"/>
  <c r="W221" i="9" s="1"/>
  <c r="J221" i="9"/>
  <c r="G221" i="9"/>
  <c r="O220" i="9"/>
  <c r="M220" i="9"/>
  <c r="W220" i="9" s="1"/>
  <c r="J220" i="9"/>
  <c r="G220" i="9"/>
  <c r="O219" i="9"/>
  <c r="M219" i="9"/>
  <c r="W219" i="9" s="1"/>
  <c r="J219" i="9"/>
  <c r="G219" i="9"/>
  <c r="O218" i="9"/>
  <c r="M218" i="9"/>
  <c r="W218" i="9" s="1"/>
  <c r="J218" i="9"/>
  <c r="G218" i="9"/>
  <c r="O217" i="9"/>
  <c r="M217" i="9"/>
  <c r="W217" i="9" s="1"/>
  <c r="J217" i="9"/>
  <c r="G217" i="9"/>
  <c r="O216" i="9"/>
  <c r="M216" i="9"/>
  <c r="W216" i="9" s="1"/>
  <c r="J216" i="9"/>
  <c r="G216" i="9"/>
  <c r="O215" i="9"/>
  <c r="M215" i="9"/>
  <c r="W215" i="9" s="1"/>
  <c r="J215" i="9"/>
  <c r="G215" i="9"/>
  <c r="O214" i="9"/>
  <c r="M214" i="9"/>
  <c r="W214" i="9" s="1"/>
  <c r="J214" i="9"/>
  <c r="G214" i="9"/>
  <c r="O213" i="9"/>
  <c r="M213" i="9"/>
  <c r="W213" i="9" s="1"/>
  <c r="J213" i="9"/>
  <c r="G213" i="9"/>
  <c r="O212" i="9"/>
  <c r="M212" i="9"/>
  <c r="W212" i="9" s="1"/>
  <c r="J212" i="9"/>
  <c r="G212" i="9"/>
  <c r="O211" i="9"/>
  <c r="M211" i="9"/>
  <c r="W211" i="9" s="1"/>
  <c r="J211" i="9"/>
  <c r="G211" i="9"/>
  <c r="O210" i="9"/>
  <c r="M210" i="9"/>
  <c r="W210" i="9" s="1"/>
  <c r="J210" i="9"/>
  <c r="G210" i="9"/>
  <c r="O209" i="9"/>
  <c r="M209" i="9"/>
  <c r="W209" i="9" s="1"/>
  <c r="J209" i="9"/>
  <c r="G209" i="9"/>
  <c r="O208" i="9"/>
  <c r="M208" i="9"/>
  <c r="W208" i="9" s="1"/>
  <c r="J208" i="9"/>
  <c r="G208" i="9"/>
  <c r="O207" i="9"/>
  <c r="M207" i="9"/>
  <c r="W207" i="9" s="1"/>
  <c r="J207" i="9"/>
  <c r="G207" i="9"/>
  <c r="O206" i="9"/>
  <c r="M206" i="9"/>
  <c r="W206" i="9" s="1"/>
  <c r="J206" i="9"/>
  <c r="G206" i="9"/>
  <c r="O205" i="9"/>
  <c r="M205" i="9"/>
  <c r="W205" i="9" s="1"/>
  <c r="J205" i="9"/>
  <c r="G205" i="9"/>
  <c r="O204" i="9"/>
  <c r="M204" i="9"/>
  <c r="W204" i="9" s="1"/>
  <c r="J204" i="9"/>
  <c r="G204" i="9"/>
  <c r="O203" i="9"/>
  <c r="M203" i="9"/>
  <c r="W203" i="9" s="1"/>
  <c r="J203" i="9"/>
  <c r="G203" i="9"/>
  <c r="O202" i="9"/>
  <c r="M202" i="9"/>
  <c r="W202" i="9" s="1"/>
  <c r="J202" i="9"/>
  <c r="G202" i="9"/>
  <c r="O201" i="9"/>
  <c r="M201" i="9"/>
  <c r="W201" i="9" s="1"/>
  <c r="J201" i="9"/>
  <c r="G201" i="9"/>
  <c r="O200" i="9"/>
  <c r="M200" i="9"/>
  <c r="W200" i="9" s="1"/>
  <c r="J200" i="9"/>
  <c r="G200" i="9"/>
  <c r="O199" i="9"/>
  <c r="M199" i="9"/>
  <c r="W199" i="9" s="1"/>
  <c r="J199" i="9"/>
  <c r="G199" i="9"/>
  <c r="O198" i="9"/>
  <c r="M198" i="9"/>
  <c r="W198" i="9" s="1"/>
  <c r="J198" i="9"/>
  <c r="G198" i="9"/>
  <c r="O197" i="9"/>
  <c r="M197" i="9"/>
  <c r="W197" i="9" s="1"/>
  <c r="J197" i="9"/>
  <c r="G197" i="9"/>
  <c r="O196" i="9"/>
  <c r="M196" i="9"/>
  <c r="W196" i="9" s="1"/>
  <c r="J196" i="9"/>
  <c r="G196" i="9"/>
  <c r="O195" i="9"/>
  <c r="M195" i="9"/>
  <c r="W195" i="9" s="1"/>
  <c r="J195" i="9"/>
  <c r="G195" i="9"/>
  <c r="O194" i="9"/>
  <c r="M194" i="9"/>
  <c r="W194" i="9" s="1"/>
  <c r="J194" i="9"/>
  <c r="G194" i="9"/>
  <c r="O193" i="9"/>
  <c r="M193" i="9"/>
  <c r="W193" i="9" s="1"/>
  <c r="J193" i="9"/>
  <c r="G193" i="9"/>
  <c r="O192" i="9"/>
  <c r="M192" i="9"/>
  <c r="W192" i="9" s="1"/>
  <c r="J192" i="9"/>
  <c r="G192" i="9"/>
  <c r="O191" i="9"/>
  <c r="M191" i="9"/>
  <c r="W191" i="9" s="1"/>
  <c r="J191" i="9"/>
  <c r="G191" i="9"/>
  <c r="O190" i="9"/>
  <c r="M190" i="9"/>
  <c r="W190" i="9" s="1"/>
  <c r="J190" i="9"/>
  <c r="G190" i="9"/>
  <c r="O189" i="9"/>
  <c r="M189" i="9"/>
  <c r="W189" i="9" s="1"/>
  <c r="J189" i="9"/>
  <c r="G189" i="9"/>
  <c r="O188" i="9"/>
  <c r="M188" i="9"/>
  <c r="W188" i="9" s="1"/>
  <c r="J188" i="9"/>
  <c r="G188" i="9"/>
  <c r="O187" i="9"/>
  <c r="M187" i="9"/>
  <c r="W187" i="9" s="1"/>
  <c r="J187" i="9"/>
  <c r="G187" i="9"/>
  <c r="O186" i="9"/>
  <c r="M186" i="9"/>
  <c r="W186" i="9" s="1"/>
  <c r="J186" i="9"/>
  <c r="G186" i="9"/>
  <c r="O185" i="9"/>
  <c r="M185" i="9"/>
  <c r="W185" i="9" s="1"/>
  <c r="J185" i="9"/>
  <c r="G185" i="9"/>
  <c r="O184" i="9"/>
  <c r="M184" i="9"/>
  <c r="W184" i="9" s="1"/>
  <c r="J184" i="9"/>
  <c r="G184" i="9"/>
  <c r="O183" i="9"/>
  <c r="M183" i="9"/>
  <c r="W183" i="9" s="1"/>
  <c r="J183" i="9"/>
  <c r="G183" i="9"/>
  <c r="M184" i="8"/>
  <c r="W184" i="8" s="1"/>
  <c r="M185" i="8"/>
  <c r="W185" i="8" s="1"/>
  <c r="M186" i="8"/>
  <c r="W186" i="8" s="1"/>
  <c r="M187" i="8"/>
  <c r="W187" i="8" s="1"/>
  <c r="M188" i="8"/>
  <c r="W188" i="8" s="1"/>
  <c r="M189" i="8"/>
  <c r="W189" i="8" s="1"/>
  <c r="M190" i="8"/>
  <c r="W190" i="8" s="1"/>
  <c r="M191" i="8"/>
  <c r="W191" i="8" s="1"/>
  <c r="M192" i="8"/>
  <c r="W192" i="8" s="1"/>
  <c r="M193" i="8"/>
  <c r="W193" i="8" s="1"/>
  <c r="M194" i="8"/>
  <c r="W194" i="8" s="1"/>
  <c r="M195" i="8"/>
  <c r="W195" i="8" s="1"/>
  <c r="M196" i="8"/>
  <c r="W196" i="8" s="1"/>
  <c r="M197" i="8"/>
  <c r="W197" i="8" s="1"/>
  <c r="M198" i="8"/>
  <c r="W198" i="8" s="1"/>
  <c r="M199" i="8"/>
  <c r="W199" i="8" s="1"/>
  <c r="M200" i="8"/>
  <c r="W200" i="8" s="1"/>
  <c r="M201" i="8"/>
  <c r="W201" i="8" s="1"/>
  <c r="M202" i="8"/>
  <c r="W202" i="8" s="1"/>
  <c r="M203" i="8"/>
  <c r="W203" i="8" s="1"/>
  <c r="M204" i="8"/>
  <c r="W204" i="8" s="1"/>
  <c r="M205" i="8"/>
  <c r="W205" i="8" s="1"/>
  <c r="M206" i="8"/>
  <c r="W206" i="8" s="1"/>
  <c r="M207" i="8"/>
  <c r="W207" i="8" s="1"/>
  <c r="M208" i="8"/>
  <c r="W208" i="8" s="1"/>
  <c r="M209" i="8"/>
  <c r="W209" i="8" s="1"/>
  <c r="M210" i="8"/>
  <c r="W210" i="8" s="1"/>
  <c r="M211" i="8"/>
  <c r="W211" i="8" s="1"/>
  <c r="M212" i="8"/>
  <c r="W212" i="8" s="1"/>
  <c r="M213" i="8"/>
  <c r="W213" i="8" s="1"/>
  <c r="M214" i="8"/>
  <c r="W214" i="8" s="1"/>
  <c r="M215" i="8"/>
  <c r="W215" i="8" s="1"/>
  <c r="M216" i="8"/>
  <c r="W216" i="8" s="1"/>
  <c r="M217" i="8"/>
  <c r="W217" i="8" s="1"/>
  <c r="M218" i="8"/>
  <c r="W218" i="8" s="1"/>
  <c r="M219" i="8"/>
  <c r="W219" i="8" s="1"/>
  <c r="M220" i="8"/>
  <c r="W220" i="8" s="1"/>
  <c r="M221" i="8"/>
  <c r="W221" i="8" s="1"/>
  <c r="M222" i="8"/>
  <c r="W222" i="8" s="1"/>
  <c r="M183" i="8"/>
  <c r="W183" i="8" s="1"/>
  <c r="D185" i="8"/>
  <c r="D189" i="8"/>
  <c r="D193" i="8"/>
  <c r="D197" i="8"/>
  <c r="D201" i="8"/>
  <c r="D205" i="8"/>
  <c r="D209" i="8"/>
  <c r="D213" i="8"/>
  <c r="D217" i="8"/>
  <c r="D221" i="8"/>
  <c r="O222" i="8"/>
  <c r="J222" i="8"/>
  <c r="G222" i="8"/>
  <c r="O221" i="8"/>
  <c r="J221" i="8"/>
  <c r="G221" i="8"/>
  <c r="O220" i="8"/>
  <c r="J220" i="8"/>
  <c r="G220" i="8"/>
  <c r="O219" i="8"/>
  <c r="J219" i="8"/>
  <c r="G219" i="8"/>
  <c r="O218" i="8"/>
  <c r="J218" i="8"/>
  <c r="G218" i="8"/>
  <c r="O217" i="8"/>
  <c r="J217" i="8"/>
  <c r="G217" i="8"/>
  <c r="O216" i="8"/>
  <c r="J216" i="8"/>
  <c r="G216" i="8"/>
  <c r="O215" i="8"/>
  <c r="J215" i="8"/>
  <c r="G215" i="8"/>
  <c r="O214" i="8"/>
  <c r="J214" i="8"/>
  <c r="G214" i="8"/>
  <c r="O213" i="8"/>
  <c r="J213" i="8"/>
  <c r="G213" i="8"/>
  <c r="O212" i="8"/>
  <c r="J212" i="8"/>
  <c r="G212" i="8"/>
  <c r="O211" i="8"/>
  <c r="J211" i="8"/>
  <c r="G211" i="8"/>
  <c r="O210" i="8"/>
  <c r="J210" i="8"/>
  <c r="G210" i="8"/>
  <c r="O209" i="8"/>
  <c r="J209" i="8"/>
  <c r="G209" i="8"/>
  <c r="O208" i="8"/>
  <c r="J208" i="8"/>
  <c r="G208" i="8"/>
  <c r="O207" i="8"/>
  <c r="J207" i="8"/>
  <c r="G207" i="8"/>
  <c r="O206" i="8"/>
  <c r="J206" i="8"/>
  <c r="G206" i="8"/>
  <c r="O205" i="8"/>
  <c r="J205" i="8"/>
  <c r="G205" i="8"/>
  <c r="O204" i="8"/>
  <c r="J204" i="8"/>
  <c r="G204" i="8"/>
  <c r="O203" i="8"/>
  <c r="J203" i="8"/>
  <c r="G203" i="8"/>
  <c r="O202" i="8"/>
  <c r="J202" i="8"/>
  <c r="G202" i="8"/>
  <c r="O201" i="8"/>
  <c r="J201" i="8"/>
  <c r="G201" i="8"/>
  <c r="O200" i="8"/>
  <c r="J200" i="8"/>
  <c r="G200" i="8"/>
  <c r="O199" i="8"/>
  <c r="J199" i="8"/>
  <c r="G199" i="8"/>
  <c r="O198" i="8"/>
  <c r="J198" i="8"/>
  <c r="G198" i="8"/>
  <c r="O197" i="8"/>
  <c r="J197" i="8"/>
  <c r="G197" i="8"/>
  <c r="O196" i="8"/>
  <c r="J196" i="8"/>
  <c r="G196" i="8"/>
  <c r="O195" i="8"/>
  <c r="J195" i="8"/>
  <c r="G195" i="8"/>
  <c r="O194" i="8"/>
  <c r="J194" i="8"/>
  <c r="G194" i="8"/>
  <c r="O193" i="8"/>
  <c r="J193" i="8"/>
  <c r="G193" i="8"/>
  <c r="O192" i="8"/>
  <c r="J192" i="8"/>
  <c r="G192" i="8"/>
  <c r="O191" i="8"/>
  <c r="J191" i="8"/>
  <c r="G191" i="8"/>
  <c r="O190" i="8"/>
  <c r="J190" i="8"/>
  <c r="G190" i="8"/>
  <c r="O189" i="8"/>
  <c r="J189" i="8"/>
  <c r="G189" i="8"/>
  <c r="O188" i="8"/>
  <c r="J188" i="8"/>
  <c r="G188" i="8"/>
  <c r="O187" i="8"/>
  <c r="J187" i="8"/>
  <c r="G187" i="8"/>
  <c r="O186" i="8"/>
  <c r="J186" i="8"/>
  <c r="G186" i="8"/>
  <c r="O185" i="8"/>
  <c r="J185" i="8"/>
  <c r="G185" i="8"/>
  <c r="O184" i="8"/>
  <c r="J184" i="8"/>
  <c r="G184" i="8"/>
  <c r="O183" i="8"/>
  <c r="J183" i="8"/>
  <c r="G183" i="8"/>
  <c r="D186" i="8"/>
  <c r="D220" i="8" l="1"/>
  <c r="D216" i="8"/>
  <c r="D212" i="8"/>
  <c r="D208" i="8"/>
  <c r="D204" i="8"/>
  <c r="D200" i="8"/>
  <c r="D196" i="8"/>
  <c r="D192" i="8"/>
  <c r="D188" i="8"/>
  <c r="D184" i="8"/>
  <c r="D183" i="8"/>
  <c r="D219" i="8"/>
  <c r="D215" i="8"/>
  <c r="D211" i="8"/>
  <c r="D207" i="8"/>
  <c r="D203" i="8"/>
  <c r="D199" i="8"/>
  <c r="D195" i="8"/>
  <c r="D191" i="8"/>
  <c r="D187" i="8"/>
  <c r="D222" i="8"/>
  <c r="D218" i="8"/>
  <c r="D214" i="8"/>
  <c r="D210" i="8"/>
  <c r="D206" i="8"/>
  <c r="D202" i="8"/>
  <c r="D198" i="8"/>
  <c r="D194" i="8"/>
  <c r="D190" i="8"/>
  <c r="D184" i="9"/>
  <c r="D187" i="9"/>
  <c r="D211" i="9"/>
  <c r="D203" i="9"/>
  <c r="D195" i="9"/>
  <c r="D183" i="9"/>
  <c r="D222" i="9"/>
  <c r="D218" i="9"/>
  <c r="D214" i="9"/>
  <c r="D210" i="9"/>
  <c r="D206" i="9"/>
  <c r="D202" i="9"/>
  <c r="D198" i="9"/>
  <c r="D194" i="9"/>
  <c r="D190" i="9"/>
  <c r="D186" i="9"/>
  <c r="D219" i="9"/>
  <c r="D199" i="9"/>
  <c r="D191" i="9"/>
  <c r="D225" i="9"/>
  <c r="D221" i="9"/>
  <c r="D217" i="9"/>
  <c r="D213" i="9"/>
  <c r="D209" i="9"/>
  <c r="D205" i="9"/>
  <c r="D201" i="9"/>
  <c r="D197" i="9"/>
  <c r="D193" i="9"/>
  <c r="D189" i="9"/>
  <c r="D185" i="9"/>
  <c r="D223" i="9"/>
  <c r="D215" i="9"/>
  <c r="D207" i="9"/>
  <c r="D224" i="9"/>
  <c r="D220" i="9"/>
  <c r="D216" i="9"/>
  <c r="D212" i="9"/>
  <c r="D208" i="9"/>
  <c r="D204" i="9"/>
  <c r="D200" i="9"/>
  <c r="D196" i="9"/>
  <c r="D192" i="9"/>
  <c r="D188" i="9"/>
  <c r="O180" i="9" l="1"/>
  <c r="M180" i="9"/>
  <c r="W180" i="9" s="1"/>
  <c r="J180" i="9"/>
  <c r="G180" i="9"/>
  <c r="O179" i="9"/>
  <c r="M179" i="9"/>
  <c r="W179" i="9" s="1"/>
  <c r="J179" i="9"/>
  <c r="G179" i="9"/>
  <c r="O178" i="9"/>
  <c r="M178" i="9"/>
  <c r="W178" i="9" s="1"/>
  <c r="J178" i="9"/>
  <c r="G178" i="9"/>
  <c r="O177" i="9"/>
  <c r="M177" i="9"/>
  <c r="W177" i="9" s="1"/>
  <c r="J177" i="9"/>
  <c r="G177" i="9"/>
  <c r="O176" i="9"/>
  <c r="M176" i="9"/>
  <c r="W176" i="9" s="1"/>
  <c r="J176" i="9"/>
  <c r="G176" i="9"/>
  <c r="O175" i="9"/>
  <c r="M175" i="9"/>
  <c r="W175" i="9" s="1"/>
  <c r="J175" i="9"/>
  <c r="G175" i="9"/>
  <c r="O174" i="9"/>
  <c r="M174" i="9"/>
  <c r="W174" i="9" s="1"/>
  <c r="J174" i="9"/>
  <c r="G174" i="9"/>
  <c r="O173" i="9"/>
  <c r="M173" i="9"/>
  <c r="W173" i="9" s="1"/>
  <c r="J173" i="9"/>
  <c r="G173" i="9"/>
  <c r="O172" i="9"/>
  <c r="M172" i="9"/>
  <c r="W172" i="9" s="1"/>
  <c r="J172" i="9"/>
  <c r="G172" i="9"/>
  <c r="O171" i="9"/>
  <c r="M171" i="9"/>
  <c r="W171" i="9" s="1"/>
  <c r="J171" i="9"/>
  <c r="G171" i="9"/>
  <c r="O170" i="9"/>
  <c r="M170" i="9"/>
  <c r="W170" i="9" s="1"/>
  <c r="J170" i="9"/>
  <c r="G170" i="9"/>
  <c r="O169" i="9"/>
  <c r="M169" i="9"/>
  <c r="W169" i="9" s="1"/>
  <c r="J169" i="9"/>
  <c r="G169" i="9"/>
  <c r="O168" i="9"/>
  <c r="M168" i="9"/>
  <c r="W168" i="9" s="1"/>
  <c r="J168" i="9"/>
  <c r="G168" i="9"/>
  <c r="O167" i="9"/>
  <c r="M167" i="9"/>
  <c r="W167" i="9" s="1"/>
  <c r="J167" i="9"/>
  <c r="G167" i="9"/>
  <c r="O166" i="9"/>
  <c r="M166" i="9"/>
  <c r="W166" i="9" s="1"/>
  <c r="J166" i="9"/>
  <c r="G166" i="9"/>
  <c r="O165" i="9"/>
  <c r="M165" i="9"/>
  <c r="W165" i="9" s="1"/>
  <c r="J165" i="9"/>
  <c r="G165" i="9"/>
  <c r="O164" i="9"/>
  <c r="M164" i="9"/>
  <c r="W164" i="9" s="1"/>
  <c r="J164" i="9"/>
  <c r="G164" i="9"/>
  <c r="O163" i="9"/>
  <c r="M163" i="9"/>
  <c r="W163" i="9" s="1"/>
  <c r="J163" i="9"/>
  <c r="G163" i="9"/>
  <c r="O162" i="9"/>
  <c r="M162" i="9"/>
  <c r="W162" i="9" s="1"/>
  <c r="J162" i="9"/>
  <c r="G162" i="9"/>
  <c r="O161" i="9"/>
  <c r="M161" i="9"/>
  <c r="W161" i="9" s="1"/>
  <c r="J161" i="9"/>
  <c r="G161" i="9"/>
  <c r="O160" i="9"/>
  <c r="M160" i="9"/>
  <c r="W160" i="9" s="1"/>
  <c r="J160" i="9"/>
  <c r="G160" i="9"/>
  <c r="O159" i="9"/>
  <c r="M159" i="9"/>
  <c r="W159" i="9" s="1"/>
  <c r="J159" i="9"/>
  <c r="G159" i="9"/>
  <c r="O158" i="9"/>
  <c r="M158" i="9"/>
  <c r="W158" i="9" s="1"/>
  <c r="J158" i="9"/>
  <c r="G158" i="9"/>
  <c r="O157" i="9"/>
  <c r="M157" i="9"/>
  <c r="W157" i="9" s="1"/>
  <c r="J157" i="9"/>
  <c r="G157" i="9"/>
  <c r="O156" i="9"/>
  <c r="M156" i="9"/>
  <c r="W156" i="9" s="1"/>
  <c r="J156" i="9"/>
  <c r="G156" i="9"/>
  <c r="O155" i="9"/>
  <c r="M155" i="9"/>
  <c r="W155" i="9" s="1"/>
  <c r="J155" i="9"/>
  <c r="G155" i="9"/>
  <c r="O154" i="9"/>
  <c r="M154" i="9"/>
  <c r="W154" i="9" s="1"/>
  <c r="J154" i="9"/>
  <c r="G154" i="9"/>
  <c r="O153" i="9"/>
  <c r="M153" i="9"/>
  <c r="W153" i="9" s="1"/>
  <c r="J153" i="9"/>
  <c r="G153" i="9"/>
  <c r="O152" i="9"/>
  <c r="M152" i="9"/>
  <c r="W152" i="9" s="1"/>
  <c r="J152" i="9"/>
  <c r="G152" i="9"/>
  <c r="O151" i="9"/>
  <c r="M151" i="9"/>
  <c r="W151" i="9" s="1"/>
  <c r="J151" i="9"/>
  <c r="G151" i="9"/>
  <c r="O150" i="9"/>
  <c r="M150" i="9"/>
  <c r="W150" i="9" s="1"/>
  <c r="J150" i="9"/>
  <c r="G150" i="9"/>
  <c r="O149" i="9"/>
  <c r="M149" i="9"/>
  <c r="W149" i="9" s="1"/>
  <c r="J149" i="9"/>
  <c r="G149" i="9"/>
  <c r="O148" i="9"/>
  <c r="M148" i="9"/>
  <c r="W148" i="9" s="1"/>
  <c r="J148" i="9"/>
  <c r="G148" i="9"/>
  <c r="O147" i="9"/>
  <c r="M147" i="9"/>
  <c r="W147" i="9" s="1"/>
  <c r="J147" i="9"/>
  <c r="G147" i="9"/>
  <c r="O146" i="9"/>
  <c r="M146" i="9"/>
  <c r="W146" i="9" s="1"/>
  <c r="J146" i="9"/>
  <c r="G146" i="9"/>
  <c r="O145" i="9"/>
  <c r="M145" i="9"/>
  <c r="W145" i="9" s="1"/>
  <c r="J145" i="9"/>
  <c r="G145" i="9"/>
  <c r="O144" i="9"/>
  <c r="M144" i="9"/>
  <c r="W144" i="9" s="1"/>
  <c r="J144" i="9"/>
  <c r="G144" i="9"/>
  <c r="O143" i="9"/>
  <c r="M143" i="9"/>
  <c r="W143" i="9" s="1"/>
  <c r="J143" i="9"/>
  <c r="G143" i="9"/>
  <c r="O142" i="9"/>
  <c r="M142" i="9"/>
  <c r="W142" i="9" s="1"/>
  <c r="J142" i="9"/>
  <c r="G142" i="9"/>
  <c r="O141" i="9"/>
  <c r="M141" i="9"/>
  <c r="W141" i="9" s="1"/>
  <c r="J141" i="9"/>
  <c r="G141" i="9"/>
  <c r="O140" i="9"/>
  <c r="M140" i="9"/>
  <c r="W140" i="9" s="1"/>
  <c r="J140" i="9"/>
  <c r="G140" i="9"/>
  <c r="O139" i="9"/>
  <c r="M139" i="9"/>
  <c r="W139" i="9" s="1"/>
  <c r="J139" i="9"/>
  <c r="G139" i="9"/>
  <c r="O138" i="9"/>
  <c r="M138" i="9"/>
  <c r="W138" i="9" s="1"/>
  <c r="J138" i="9"/>
  <c r="G138" i="9"/>
  <c r="M139" i="8"/>
  <c r="W139" i="8" s="1"/>
  <c r="M140" i="8"/>
  <c r="W140" i="8" s="1"/>
  <c r="M141" i="8"/>
  <c r="W141" i="8" s="1"/>
  <c r="M142" i="8"/>
  <c r="W142" i="8" s="1"/>
  <c r="M143" i="8"/>
  <c r="W143" i="8" s="1"/>
  <c r="M144" i="8"/>
  <c r="W144" i="8" s="1"/>
  <c r="M145" i="8"/>
  <c r="W145" i="8" s="1"/>
  <c r="M146" i="8"/>
  <c r="W146" i="8" s="1"/>
  <c r="M147" i="8"/>
  <c r="W147" i="8" s="1"/>
  <c r="M148" i="8"/>
  <c r="W148" i="8" s="1"/>
  <c r="M149" i="8"/>
  <c r="W149" i="8" s="1"/>
  <c r="M150" i="8"/>
  <c r="W150" i="8" s="1"/>
  <c r="M151" i="8"/>
  <c r="W151" i="8" s="1"/>
  <c r="M152" i="8"/>
  <c r="W152" i="8" s="1"/>
  <c r="M153" i="8"/>
  <c r="W153" i="8" s="1"/>
  <c r="M154" i="8"/>
  <c r="W154" i="8" s="1"/>
  <c r="M155" i="8"/>
  <c r="W155" i="8" s="1"/>
  <c r="M156" i="8"/>
  <c r="W156" i="8" s="1"/>
  <c r="M157" i="8"/>
  <c r="W157" i="8" s="1"/>
  <c r="M158" i="8"/>
  <c r="W158" i="8" s="1"/>
  <c r="M159" i="8"/>
  <c r="W159" i="8" s="1"/>
  <c r="M160" i="8"/>
  <c r="W160" i="8" s="1"/>
  <c r="M161" i="8"/>
  <c r="W161" i="8" s="1"/>
  <c r="M162" i="8"/>
  <c r="W162" i="8" s="1"/>
  <c r="M163" i="8"/>
  <c r="W163" i="8" s="1"/>
  <c r="M164" i="8"/>
  <c r="W164" i="8" s="1"/>
  <c r="M165" i="8"/>
  <c r="W165" i="8" s="1"/>
  <c r="M166" i="8"/>
  <c r="W166" i="8" s="1"/>
  <c r="M167" i="8"/>
  <c r="W167" i="8" s="1"/>
  <c r="M168" i="8"/>
  <c r="W168" i="8" s="1"/>
  <c r="M169" i="8"/>
  <c r="W169" i="8" s="1"/>
  <c r="M170" i="8"/>
  <c r="W170" i="8" s="1"/>
  <c r="M171" i="8"/>
  <c r="W171" i="8" s="1"/>
  <c r="M172" i="8"/>
  <c r="W172" i="8" s="1"/>
  <c r="M173" i="8"/>
  <c r="W173" i="8" s="1"/>
  <c r="M174" i="8"/>
  <c r="W174" i="8" s="1"/>
  <c r="M175" i="8"/>
  <c r="W175" i="8" s="1"/>
  <c r="M176" i="8"/>
  <c r="W176" i="8" s="1"/>
  <c r="M177" i="8"/>
  <c r="W177" i="8" s="1"/>
  <c r="M138" i="8"/>
  <c r="W138" i="8" s="1"/>
  <c r="O177" i="8"/>
  <c r="J177" i="8"/>
  <c r="G177" i="8"/>
  <c r="O176" i="8"/>
  <c r="J176" i="8"/>
  <c r="G176" i="8"/>
  <c r="O175" i="8"/>
  <c r="J175" i="8"/>
  <c r="G175" i="8"/>
  <c r="O174" i="8"/>
  <c r="J174" i="8"/>
  <c r="G174" i="8"/>
  <c r="O173" i="8"/>
  <c r="J173" i="8"/>
  <c r="G173" i="8"/>
  <c r="O172" i="8"/>
  <c r="J172" i="8"/>
  <c r="G172" i="8"/>
  <c r="O171" i="8"/>
  <c r="J171" i="8"/>
  <c r="G171" i="8"/>
  <c r="O170" i="8"/>
  <c r="J170" i="8"/>
  <c r="G170" i="8"/>
  <c r="O169" i="8"/>
  <c r="J169" i="8"/>
  <c r="G169" i="8"/>
  <c r="O168" i="8"/>
  <c r="J168" i="8"/>
  <c r="G168" i="8"/>
  <c r="O167" i="8"/>
  <c r="J167" i="8"/>
  <c r="G167" i="8"/>
  <c r="O166" i="8"/>
  <c r="J166" i="8"/>
  <c r="G166" i="8"/>
  <c r="O165" i="8"/>
  <c r="J165" i="8"/>
  <c r="G165" i="8"/>
  <c r="O164" i="8"/>
  <c r="J164" i="8"/>
  <c r="G164" i="8"/>
  <c r="O163" i="8"/>
  <c r="J163" i="8"/>
  <c r="G163" i="8"/>
  <c r="O162" i="8"/>
  <c r="J162" i="8"/>
  <c r="G162" i="8"/>
  <c r="O161" i="8"/>
  <c r="J161" i="8"/>
  <c r="G161" i="8"/>
  <c r="O160" i="8"/>
  <c r="J160" i="8"/>
  <c r="G160" i="8"/>
  <c r="O159" i="8"/>
  <c r="J159" i="8"/>
  <c r="G159" i="8"/>
  <c r="O158" i="8"/>
  <c r="J158" i="8"/>
  <c r="G158" i="8"/>
  <c r="O157" i="8"/>
  <c r="J157" i="8"/>
  <c r="G157" i="8"/>
  <c r="O156" i="8"/>
  <c r="J156" i="8"/>
  <c r="G156" i="8"/>
  <c r="O155" i="8"/>
  <c r="J155" i="8"/>
  <c r="G155" i="8"/>
  <c r="O154" i="8"/>
  <c r="J154" i="8"/>
  <c r="G154" i="8"/>
  <c r="O153" i="8"/>
  <c r="G153" i="8"/>
  <c r="O152" i="8"/>
  <c r="J152" i="8"/>
  <c r="G152" i="8"/>
  <c r="O151" i="8"/>
  <c r="J151" i="8"/>
  <c r="G151" i="8"/>
  <c r="O150" i="8"/>
  <c r="J150" i="8"/>
  <c r="G150" i="8"/>
  <c r="O149" i="8"/>
  <c r="J149" i="8"/>
  <c r="G149" i="8"/>
  <c r="O148" i="8"/>
  <c r="J148" i="8"/>
  <c r="G148" i="8"/>
  <c r="O147" i="8"/>
  <c r="J147" i="8"/>
  <c r="G147" i="8"/>
  <c r="O146" i="8"/>
  <c r="J146" i="8"/>
  <c r="G146" i="8"/>
  <c r="O145" i="8"/>
  <c r="J145" i="8"/>
  <c r="G145" i="8"/>
  <c r="O144" i="8"/>
  <c r="J144" i="8"/>
  <c r="G144" i="8"/>
  <c r="O143" i="8"/>
  <c r="J143" i="8"/>
  <c r="G143" i="8"/>
  <c r="O142" i="8"/>
  <c r="J142" i="8"/>
  <c r="G142" i="8"/>
  <c r="O141" i="8"/>
  <c r="J141" i="8"/>
  <c r="G141" i="8"/>
  <c r="O140" i="8"/>
  <c r="J140" i="8"/>
  <c r="G140" i="8"/>
  <c r="O139" i="8"/>
  <c r="J139" i="8"/>
  <c r="G139" i="8"/>
  <c r="O138" i="8"/>
  <c r="J138" i="8"/>
  <c r="AC12" i="8" l="1"/>
  <c r="D139" i="9"/>
  <c r="D150" i="9"/>
  <c r="D166" i="9"/>
  <c r="D158" i="9"/>
  <c r="D146" i="9"/>
  <c r="D177" i="9"/>
  <c r="D173" i="9"/>
  <c r="D169" i="9"/>
  <c r="D165" i="9"/>
  <c r="D161" i="9"/>
  <c r="D157" i="9"/>
  <c r="D153" i="9"/>
  <c r="D149" i="9"/>
  <c r="D145" i="9"/>
  <c r="D141" i="9"/>
  <c r="D174" i="9"/>
  <c r="D154" i="9"/>
  <c r="D142" i="9"/>
  <c r="D180" i="9"/>
  <c r="D176" i="9"/>
  <c r="D172" i="9"/>
  <c r="D168" i="9"/>
  <c r="D164" i="9"/>
  <c r="D160" i="9"/>
  <c r="D156" i="9"/>
  <c r="D152" i="9"/>
  <c r="D148" i="9"/>
  <c r="D144" i="9"/>
  <c r="D140" i="9"/>
  <c r="D178" i="9"/>
  <c r="D170" i="9"/>
  <c r="D162" i="9"/>
  <c r="D179" i="9"/>
  <c r="D175" i="9"/>
  <c r="D171" i="9"/>
  <c r="D167" i="9"/>
  <c r="D163" i="9"/>
  <c r="D159" i="9"/>
  <c r="D155" i="9"/>
  <c r="D151" i="9"/>
  <c r="D147" i="9"/>
  <c r="D143" i="9"/>
  <c r="G93" i="9" l="1"/>
  <c r="J93" i="9"/>
  <c r="M93" i="9"/>
  <c r="W93" i="9" s="1"/>
  <c r="O93" i="9"/>
  <c r="G94" i="9"/>
  <c r="J94" i="9"/>
  <c r="M94" i="9"/>
  <c r="W94" i="9" s="1"/>
  <c r="O94" i="9"/>
  <c r="G95" i="9"/>
  <c r="J95" i="9"/>
  <c r="M95" i="9"/>
  <c r="W95" i="9" s="1"/>
  <c r="O95" i="9"/>
  <c r="G96" i="9"/>
  <c r="J96" i="9"/>
  <c r="M96" i="9"/>
  <c r="W96" i="9" s="1"/>
  <c r="O96" i="9"/>
  <c r="G97" i="9"/>
  <c r="J97" i="9"/>
  <c r="M97" i="9"/>
  <c r="W97" i="9" s="1"/>
  <c r="O97" i="9"/>
  <c r="G98" i="9"/>
  <c r="J98" i="9"/>
  <c r="M98" i="9"/>
  <c r="W98" i="9" s="1"/>
  <c r="O98" i="9"/>
  <c r="G99" i="9"/>
  <c r="J99" i="9"/>
  <c r="M99" i="9"/>
  <c r="W99" i="9" s="1"/>
  <c r="O99" i="9"/>
  <c r="G100" i="9"/>
  <c r="J100" i="9"/>
  <c r="M100" i="9"/>
  <c r="W100" i="9" s="1"/>
  <c r="O100" i="9"/>
  <c r="G101" i="9"/>
  <c r="J101" i="9"/>
  <c r="M101" i="9"/>
  <c r="W101" i="9" s="1"/>
  <c r="O101" i="9"/>
  <c r="G102" i="9"/>
  <c r="J102" i="9"/>
  <c r="M102" i="9"/>
  <c r="W102" i="9" s="1"/>
  <c r="O102" i="9"/>
  <c r="G103" i="9"/>
  <c r="J103" i="9"/>
  <c r="M103" i="9"/>
  <c r="W103" i="9" s="1"/>
  <c r="O103" i="9"/>
  <c r="G104" i="9"/>
  <c r="J104" i="9"/>
  <c r="M104" i="9"/>
  <c r="W104" i="9" s="1"/>
  <c r="O104" i="9"/>
  <c r="G105" i="9"/>
  <c r="J105" i="9"/>
  <c r="M105" i="9"/>
  <c r="W105" i="9" s="1"/>
  <c r="O105" i="9"/>
  <c r="G106" i="9"/>
  <c r="J106" i="9"/>
  <c r="M106" i="9"/>
  <c r="W106" i="9" s="1"/>
  <c r="O106" i="9"/>
  <c r="G107" i="9"/>
  <c r="J107" i="9"/>
  <c r="M107" i="9"/>
  <c r="W107" i="9" s="1"/>
  <c r="O107" i="9"/>
  <c r="G108" i="9"/>
  <c r="J108" i="9"/>
  <c r="M108" i="9"/>
  <c r="W108" i="9" s="1"/>
  <c r="O108" i="9"/>
  <c r="G109" i="9"/>
  <c r="J109" i="9"/>
  <c r="M109" i="9"/>
  <c r="W109" i="9" s="1"/>
  <c r="O109" i="9"/>
  <c r="G110" i="9"/>
  <c r="J110" i="9"/>
  <c r="M110" i="9"/>
  <c r="W110" i="9" s="1"/>
  <c r="O110" i="9"/>
  <c r="G111" i="9"/>
  <c r="J111" i="9"/>
  <c r="M111" i="9"/>
  <c r="W111" i="9" s="1"/>
  <c r="O111" i="9"/>
  <c r="G112" i="9"/>
  <c r="J112" i="9"/>
  <c r="M112" i="9"/>
  <c r="W112" i="9" s="1"/>
  <c r="O112" i="9"/>
  <c r="G113" i="9"/>
  <c r="J113" i="9"/>
  <c r="M113" i="9"/>
  <c r="W113" i="9" s="1"/>
  <c r="O113" i="9"/>
  <c r="G114" i="9"/>
  <c r="J114" i="9"/>
  <c r="M114" i="9"/>
  <c r="W114" i="9" s="1"/>
  <c r="O114" i="9"/>
  <c r="G115" i="9"/>
  <c r="J115" i="9"/>
  <c r="M115" i="9"/>
  <c r="W115" i="9" s="1"/>
  <c r="O115" i="9"/>
  <c r="G116" i="9"/>
  <c r="J116" i="9"/>
  <c r="M116" i="9"/>
  <c r="W116" i="9" s="1"/>
  <c r="O116" i="9"/>
  <c r="G117" i="9"/>
  <c r="J117" i="9"/>
  <c r="M117" i="9"/>
  <c r="W117" i="9" s="1"/>
  <c r="O117" i="9"/>
  <c r="G118" i="9"/>
  <c r="J118" i="9"/>
  <c r="M118" i="9"/>
  <c r="W118" i="9" s="1"/>
  <c r="O118" i="9"/>
  <c r="G119" i="9"/>
  <c r="J119" i="9"/>
  <c r="M119" i="9"/>
  <c r="W119" i="9" s="1"/>
  <c r="O119" i="9"/>
  <c r="G120" i="9"/>
  <c r="J120" i="9"/>
  <c r="M120" i="9"/>
  <c r="W120" i="9" s="1"/>
  <c r="O120" i="9"/>
  <c r="G121" i="9"/>
  <c r="J121" i="9"/>
  <c r="M121" i="9"/>
  <c r="W121" i="9" s="1"/>
  <c r="O121" i="9"/>
  <c r="G122" i="9"/>
  <c r="J122" i="9"/>
  <c r="M122" i="9"/>
  <c r="W122" i="9" s="1"/>
  <c r="O122" i="9"/>
  <c r="G123" i="9"/>
  <c r="J123" i="9"/>
  <c r="M123" i="9"/>
  <c r="W123" i="9" s="1"/>
  <c r="O123" i="9"/>
  <c r="G124" i="9"/>
  <c r="J124" i="9"/>
  <c r="M124" i="9"/>
  <c r="W124" i="9" s="1"/>
  <c r="O124" i="9"/>
  <c r="G125" i="9"/>
  <c r="J125" i="9"/>
  <c r="M125" i="9"/>
  <c r="W125" i="9" s="1"/>
  <c r="O125" i="9"/>
  <c r="G126" i="9"/>
  <c r="J126" i="9"/>
  <c r="M126" i="9"/>
  <c r="W126" i="9" s="1"/>
  <c r="O126" i="9"/>
  <c r="G127" i="9"/>
  <c r="J127" i="9"/>
  <c r="M127" i="9"/>
  <c r="W127" i="9" s="1"/>
  <c r="O127" i="9"/>
  <c r="G128" i="9"/>
  <c r="J128" i="9"/>
  <c r="M128" i="9"/>
  <c r="W128" i="9" s="1"/>
  <c r="O128" i="9"/>
  <c r="G129" i="9"/>
  <c r="J129" i="9"/>
  <c r="M129" i="9"/>
  <c r="W129" i="9" s="1"/>
  <c r="O129" i="9"/>
  <c r="G130" i="9"/>
  <c r="J130" i="9"/>
  <c r="M130" i="9"/>
  <c r="W130" i="9" s="1"/>
  <c r="O130" i="9"/>
  <c r="G131" i="9"/>
  <c r="J131" i="9"/>
  <c r="M131" i="9"/>
  <c r="W131" i="9" s="1"/>
  <c r="O131" i="9"/>
  <c r="G132" i="9"/>
  <c r="J132" i="9"/>
  <c r="M132" i="9"/>
  <c r="W132" i="9" s="1"/>
  <c r="O132" i="9"/>
  <c r="G133" i="9"/>
  <c r="J133" i="9"/>
  <c r="M133" i="9"/>
  <c r="W133" i="9" s="1"/>
  <c r="O133" i="9"/>
  <c r="G134" i="9"/>
  <c r="J134" i="9"/>
  <c r="M134" i="9"/>
  <c r="W134" i="9" s="1"/>
  <c r="O134" i="9"/>
  <c r="J135" i="9"/>
  <c r="M135" i="9"/>
  <c r="W135" i="9" s="1"/>
  <c r="O135" i="9"/>
  <c r="C93" i="8"/>
  <c r="J93" i="8"/>
  <c r="M93" i="8"/>
  <c r="O93" i="8"/>
  <c r="C94" i="8"/>
  <c r="J94" i="8"/>
  <c r="M94" i="8"/>
  <c r="O94" i="8"/>
  <c r="C95" i="8"/>
  <c r="J95" i="8"/>
  <c r="M95" i="8"/>
  <c r="O95" i="8"/>
  <c r="C96" i="8"/>
  <c r="J96" i="8"/>
  <c r="M96" i="8"/>
  <c r="O96" i="8"/>
  <c r="C97" i="8"/>
  <c r="J97" i="8"/>
  <c r="M97" i="8"/>
  <c r="O97" i="8"/>
  <c r="C98" i="8"/>
  <c r="J98" i="8"/>
  <c r="M98" i="8"/>
  <c r="O98" i="8"/>
  <c r="C99" i="8"/>
  <c r="J99" i="8"/>
  <c r="M99" i="8"/>
  <c r="O99" i="8"/>
  <c r="C100" i="8"/>
  <c r="J100" i="8"/>
  <c r="M100" i="8"/>
  <c r="O100" i="8"/>
  <c r="C101" i="8"/>
  <c r="J101" i="8"/>
  <c r="M101" i="8"/>
  <c r="O101" i="8"/>
  <c r="C102" i="8"/>
  <c r="J102" i="8"/>
  <c r="M102" i="8"/>
  <c r="O102" i="8"/>
  <c r="C103" i="8"/>
  <c r="J103" i="8"/>
  <c r="M103" i="8"/>
  <c r="O103" i="8"/>
  <c r="C104" i="8"/>
  <c r="J104" i="8"/>
  <c r="M104" i="8"/>
  <c r="O104" i="8"/>
  <c r="C105" i="8"/>
  <c r="J105" i="8"/>
  <c r="M105" i="8"/>
  <c r="O105" i="8"/>
  <c r="C106" i="8"/>
  <c r="J106" i="8"/>
  <c r="M106" i="8"/>
  <c r="O106" i="8"/>
  <c r="C107" i="8"/>
  <c r="J107" i="8"/>
  <c r="M107" i="8"/>
  <c r="O107" i="8"/>
  <c r="C108" i="8"/>
  <c r="J108" i="8"/>
  <c r="M108" i="8"/>
  <c r="O108" i="8"/>
  <c r="C109" i="8"/>
  <c r="J109" i="8"/>
  <c r="M109" i="8"/>
  <c r="O109" i="8"/>
  <c r="C110" i="8"/>
  <c r="J110" i="8"/>
  <c r="M110" i="8"/>
  <c r="O110" i="8"/>
  <c r="C111" i="8"/>
  <c r="J111" i="8"/>
  <c r="M111" i="8"/>
  <c r="O111" i="8"/>
  <c r="C112" i="8"/>
  <c r="J112" i="8"/>
  <c r="M112" i="8"/>
  <c r="O112" i="8"/>
  <c r="C113" i="8"/>
  <c r="J113" i="8"/>
  <c r="M113" i="8"/>
  <c r="O113" i="8"/>
  <c r="C114" i="8"/>
  <c r="J114" i="8"/>
  <c r="M114" i="8"/>
  <c r="O114" i="8"/>
  <c r="C115" i="8"/>
  <c r="J115" i="8"/>
  <c r="M115" i="8"/>
  <c r="O115" i="8"/>
  <c r="C116" i="8"/>
  <c r="J116" i="8"/>
  <c r="M116" i="8"/>
  <c r="O116" i="8"/>
  <c r="C117" i="8"/>
  <c r="J117" i="8"/>
  <c r="M117" i="8"/>
  <c r="O117" i="8"/>
  <c r="C118" i="8"/>
  <c r="J118" i="8"/>
  <c r="M118" i="8"/>
  <c r="O118" i="8"/>
  <c r="C119" i="8"/>
  <c r="J119" i="8"/>
  <c r="M119" i="8"/>
  <c r="O119" i="8"/>
  <c r="C120" i="8"/>
  <c r="J120" i="8"/>
  <c r="M120" i="8"/>
  <c r="O120" i="8"/>
  <c r="C121" i="8"/>
  <c r="J121" i="8"/>
  <c r="M121" i="8"/>
  <c r="O121" i="8"/>
  <c r="C122" i="8"/>
  <c r="J122" i="8"/>
  <c r="M122" i="8"/>
  <c r="O122" i="8"/>
  <c r="C123" i="8"/>
  <c r="J123" i="8"/>
  <c r="M123" i="8"/>
  <c r="O123" i="8"/>
  <c r="C124" i="8"/>
  <c r="J124" i="8"/>
  <c r="M124" i="8"/>
  <c r="O124" i="8"/>
  <c r="C125" i="8"/>
  <c r="J125" i="8"/>
  <c r="M125" i="8"/>
  <c r="O125" i="8"/>
  <c r="C126" i="8"/>
  <c r="J126" i="8"/>
  <c r="M126" i="8"/>
  <c r="O126" i="8"/>
  <c r="C127" i="8"/>
  <c r="J127" i="8"/>
  <c r="M127" i="8"/>
  <c r="O127" i="8"/>
  <c r="C128" i="8"/>
  <c r="J128" i="8"/>
  <c r="M128" i="8"/>
  <c r="O128" i="8"/>
  <c r="C129" i="8"/>
  <c r="J129" i="8"/>
  <c r="M129" i="8"/>
  <c r="O129" i="8"/>
  <c r="C130" i="8"/>
  <c r="J130" i="8"/>
  <c r="M130" i="8"/>
  <c r="O130" i="8"/>
  <c r="C131" i="8"/>
  <c r="J131" i="8"/>
  <c r="M131" i="8"/>
  <c r="O131" i="8"/>
  <c r="C132" i="8"/>
  <c r="J132" i="8"/>
  <c r="M132" i="8"/>
  <c r="O132" i="8"/>
  <c r="J48" i="9"/>
  <c r="M48" i="9"/>
  <c r="W48" i="9" s="1"/>
  <c r="O48" i="9"/>
  <c r="C49" i="9"/>
  <c r="C50" i="9"/>
  <c r="W50" i="9" s="1"/>
  <c r="C51" i="9"/>
  <c r="W51" i="9" s="1"/>
  <c r="C52" i="9"/>
  <c r="W52" i="9" s="1"/>
  <c r="C53" i="9"/>
  <c r="W53" i="9" s="1"/>
  <c r="C54" i="9"/>
  <c r="W54" i="9" s="1"/>
  <c r="C55" i="9"/>
  <c r="W55" i="9" s="1"/>
  <c r="C56" i="9"/>
  <c r="W56" i="9" s="1"/>
  <c r="C57" i="9"/>
  <c r="W57" i="9" s="1"/>
  <c r="C58" i="9"/>
  <c r="W58" i="9" s="1"/>
  <c r="C59" i="9"/>
  <c r="W59" i="9" s="1"/>
  <c r="C60" i="9"/>
  <c r="W60" i="9" s="1"/>
  <c r="C61" i="9"/>
  <c r="W61" i="9" s="1"/>
  <c r="C62" i="9"/>
  <c r="W62" i="9" s="1"/>
  <c r="C63" i="9"/>
  <c r="W63" i="9" s="1"/>
  <c r="C64" i="9"/>
  <c r="W64" i="9" s="1"/>
  <c r="C65" i="9"/>
  <c r="W65" i="9" s="1"/>
  <c r="C66" i="9"/>
  <c r="W66" i="9" s="1"/>
  <c r="C67" i="9"/>
  <c r="W67" i="9" s="1"/>
  <c r="C68" i="9"/>
  <c r="W68" i="9" s="1"/>
  <c r="C69" i="9"/>
  <c r="W69" i="9" s="1"/>
  <c r="C70" i="9"/>
  <c r="W70" i="9" s="1"/>
  <c r="C71" i="9"/>
  <c r="W71" i="9" s="1"/>
  <c r="C72" i="9"/>
  <c r="W72" i="9" s="1"/>
  <c r="C73" i="9"/>
  <c r="W73" i="9" s="1"/>
  <c r="C74" i="9"/>
  <c r="W74" i="9" s="1"/>
  <c r="C75" i="9"/>
  <c r="W75" i="9" s="1"/>
  <c r="C76" i="9"/>
  <c r="W76" i="9" s="1"/>
  <c r="C77" i="9"/>
  <c r="W77" i="9" s="1"/>
  <c r="C78" i="9"/>
  <c r="W78" i="9" s="1"/>
  <c r="C79" i="9"/>
  <c r="W79" i="9" s="1"/>
  <c r="C80" i="9"/>
  <c r="W80" i="9" s="1"/>
  <c r="C81" i="9"/>
  <c r="W81" i="9" s="1"/>
  <c r="C82" i="9"/>
  <c r="W82" i="9" s="1"/>
  <c r="C83" i="9"/>
  <c r="W83" i="9" s="1"/>
  <c r="C84" i="9"/>
  <c r="W84" i="9" s="1"/>
  <c r="C85" i="9"/>
  <c r="W85" i="9" s="1"/>
  <c r="C86" i="9"/>
  <c r="W86" i="9" s="1"/>
  <c r="C87" i="9"/>
  <c r="W87" i="9" s="1"/>
  <c r="C88" i="9"/>
  <c r="W88" i="9" s="1"/>
  <c r="C89" i="9"/>
  <c r="W89" i="9" s="1"/>
  <c r="C48" i="8"/>
  <c r="J48" i="8"/>
  <c r="M48" i="8"/>
  <c r="O48" i="8"/>
  <c r="J49" i="8"/>
  <c r="M49" i="8"/>
  <c r="W49" i="8" s="1"/>
  <c r="O49" i="8"/>
  <c r="C50" i="8"/>
  <c r="J50" i="8"/>
  <c r="M50" i="8"/>
  <c r="O50" i="8"/>
  <c r="C51" i="8"/>
  <c r="J51" i="8"/>
  <c r="M51" i="8"/>
  <c r="O51" i="8"/>
  <c r="C52" i="8"/>
  <c r="J52" i="8"/>
  <c r="M52" i="8"/>
  <c r="O52" i="8"/>
  <c r="C53" i="8"/>
  <c r="J53" i="8"/>
  <c r="M53" i="8"/>
  <c r="O53" i="8"/>
  <c r="C54" i="8"/>
  <c r="J54" i="8"/>
  <c r="M54" i="8"/>
  <c r="O54" i="8"/>
  <c r="C55" i="8"/>
  <c r="J55" i="8"/>
  <c r="M55" i="8"/>
  <c r="O55" i="8"/>
  <c r="C56" i="8"/>
  <c r="J56" i="8"/>
  <c r="M56" i="8"/>
  <c r="O56" i="8"/>
  <c r="C57" i="8"/>
  <c r="J57" i="8"/>
  <c r="M57" i="8"/>
  <c r="O57" i="8"/>
  <c r="C58" i="8"/>
  <c r="J58" i="8"/>
  <c r="M58" i="8"/>
  <c r="O58" i="8"/>
  <c r="C59" i="8"/>
  <c r="J59" i="8"/>
  <c r="M59" i="8"/>
  <c r="O59" i="8"/>
  <c r="C60" i="8"/>
  <c r="J60" i="8"/>
  <c r="M60" i="8"/>
  <c r="O60" i="8"/>
  <c r="C61" i="8"/>
  <c r="J61" i="8"/>
  <c r="M61" i="8"/>
  <c r="O61" i="8"/>
  <c r="C62" i="8"/>
  <c r="J62" i="8"/>
  <c r="M62" i="8"/>
  <c r="O62" i="8"/>
  <c r="C63" i="8"/>
  <c r="J63" i="8"/>
  <c r="M63" i="8"/>
  <c r="O63" i="8"/>
  <c r="C64" i="8"/>
  <c r="J64" i="8"/>
  <c r="M64" i="8"/>
  <c r="O64" i="8"/>
  <c r="C65" i="8"/>
  <c r="J65" i="8"/>
  <c r="M65" i="8"/>
  <c r="O65" i="8"/>
  <c r="C66" i="8"/>
  <c r="J66" i="8"/>
  <c r="M66" i="8"/>
  <c r="O66" i="8"/>
  <c r="C67" i="8"/>
  <c r="J67" i="8"/>
  <c r="M67" i="8"/>
  <c r="O67" i="8"/>
  <c r="C68" i="8"/>
  <c r="J68" i="8"/>
  <c r="M68" i="8"/>
  <c r="O68" i="8"/>
  <c r="C69" i="8"/>
  <c r="J69" i="8"/>
  <c r="M69" i="8"/>
  <c r="O69" i="8"/>
  <c r="C70" i="8"/>
  <c r="J70" i="8"/>
  <c r="M70" i="8"/>
  <c r="O70" i="8"/>
  <c r="C71" i="8"/>
  <c r="J71" i="8"/>
  <c r="M71" i="8"/>
  <c r="O71" i="8"/>
  <c r="C72" i="8"/>
  <c r="J72" i="8"/>
  <c r="M72" i="8"/>
  <c r="O72" i="8"/>
  <c r="C73" i="8"/>
  <c r="J73" i="8"/>
  <c r="M73" i="8"/>
  <c r="O73" i="8"/>
  <c r="C74" i="8"/>
  <c r="J74" i="8"/>
  <c r="M74" i="8"/>
  <c r="O74" i="8"/>
  <c r="C75" i="8"/>
  <c r="J75" i="8"/>
  <c r="M75" i="8"/>
  <c r="O75" i="8"/>
  <c r="C76" i="8"/>
  <c r="J76" i="8"/>
  <c r="M76" i="8"/>
  <c r="O76" i="8"/>
  <c r="C77" i="8"/>
  <c r="J77" i="8"/>
  <c r="M77" i="8"/>
  <c r="O77" i="8"/>
  <c r="C78" i="8"/>
  <c r="J78" i="8"/>
  <c r="M78" i="8"/>
  <c r="O78" i="8"/>
  <c r="C79" i="8"/>
  <c r="J79" i="8"/>
  <c r="M79" i="8"/>
  <c r="O79" i="8"/>
  <c r="C80" i="8"/>
  <c r="J80" i="8"/>
  <c r="M80" i="8"/>
  <c r="O80" i="8"/>
  <c r="C81" i="8"/>
  <c r="J81" i="8"/>
  <c r="M81" i="8"/>
  <c r="O81" i="8"/>
  <c r="C82" i="8"/>
  <c r="J82" i="8"/>
  <c r="M82" i="8"/>
  <c r="O82" i="8"/>
  <c r="C83" i="8"/>
  <c r="J83" i="8"/>
  <c r="M83" i="8"/>
  <c r="O83" i="8"/>
  <c r="C84" i="8"/>
  <c r="J84" i="8"/>
  <c r="M84" i="8"/>
  <c r="O84" i="8"/>
  <c r="C85" i="8"/>
  <c r="J85" i="8"/>
  <c r="M85" i="8"/>
  <c r="O85" i="8"/>
  <c r="C86" i="8"/>
  <c r="J86" i="8"/>
  <c r="M86" i="8"/>
  <c r="O86" i="8"/>
  <c r="C87" i="8"/>
  <c r="J87" i="8"/>
  <c r="M87" i="8"/>
  <c r="O87" i="8"/>
  <c r="J45" i="9"/>
  <c r="G45" i="9"/>
  <c r="C45" i="9"/>
  <c r="W45" i="9" s="1"/>
  <c r="J44" i="9"/>
  <c r="G44" i="9"/>
  <c r="C44" i="9"/>
  <c r="W44" i="9" s="1"/>
  <c r="J43" i="9"/>
  <c r="G43" i="9"/>
  <c r="C43" i="9"/>
  <c r="W43" i="9" s="1"/>
  <c r="J42" i="9"/>
  <c r="G42" i="9"/>
  <c r="C42" i="9"/>
  <c r="W42" i="9" s="1"/>
  <c r="J41" i="9"/>
  <c r="G41" i="9"/>
  <c r="C41" i="9"/>
  <c r="W41" i="9" s="1"/>
  <c r="J40" i="9"/>
  <c r="G40" i="9"/>
  <c r="C40" i="9"/>
  <c r="W40" i="9" s="1"/>
  <c r="J39" i="9"/>
  <c r="G39" i="9"/>
  <c r="C39" i="9"/>
  <c r="W39" i="9" s="1"/>
  <c r="J38" i="9"/>
  <c r="G38" i="9"/>
  <c r="C38" i="9"/>
  <c r="W38" i="9" s="1"/>
  <c r="J37" i="9"/>
  <c r="G37" i="9"/>
  <c r="C37" i="9"/>
  <c r="W37" i="9" s="1"/>
  <c r="J36" i="9"/>
  <c r="G36" i="9"/>
  <c r="C36" i="9"/>
  <c r="W36" i="9" s="1"/>
  <c r="J35" i="9"/>
  <c r="G35" i="9"/>
  <c r="C35" i="9"/>
  <c r="W35" i="9" s="1"/>
  <c r="J34" i="9"/>
  <c r="G34" i="9"/>
  <c r="C34" i="9"/>
  <c r="W34" i="9" s="1"/>
  <c r="J33" i="9"/>
  <c r="G33" i="9"/>
  <c r="C33" i="9"/>
  <c r="W33" i="9" s="1"/>
  <c r="J32" i="9"/>
  <c r="G32" i="9"/>
  <c r="C32" i="9"/>
  <c r="W32" i="9" s="1"/>
  <c r="J31" i="9"/>
  <c r="G31" i="9"/>
  <c r="C31" i="9"/>
  <c r="W31" i="9" s="1"/>
  <c r="J30" i="9"/>
  <c r="G30" i="9"/>
  <c r="C30" i="9"/>
  <c r="W30" i="9" s="1"/>
  <c r="J29" i="9"/>
  <c r="G29" i="9"/>
  <c r="C29" i="9"/>
  <c r="W29" i="9" s="1"/>
  <c r="J28" i="9"/>
  <c r="G28" i="9"/>
  <c r="C28" i="9"/>
  <c r="W28" i="9" s="1"/>
  <c r="J27" i="9"/>
  <c r="G27" i="9"/>
  <c r="C27" i="9"/>
  <c r="W27" i="9" s="1"/>
  <c r="J26" i="9"/>
  <c r="G26" i="9"/>
  <c r="C26" i="9"/>
  <c r="W26" i="9" s="1"/>
  <c r="J25" i="9"/>
  <c r="G25" i="9"/>
  <c r="C25" i="9"/>
  <c r="W25" i="9" s="1"/>
  <c r="J24" i="9"/>
  <c r="G24" i="9"/>
  <c r="C24" i="9"/>
  <c r="W24" i="9" s="1"/>
  <c r="J23" i="9"/>
  <c r="G23" i="9"/>
  <c r="C23" i="9"/>
  <c r="W23" i="9" s="1"/>
  <c r="J22" i="9"/>
  <c r="G22" i="9"/>
  <c r="C22" i="9"/>
  <c r="W22" i="9" s="1"/>
  <c r="J21" i="9"/>
  <c r="G21" i="9"/>
  <c r="C21" i="9"/>
  <c r="W21" i="9" s="1"/>
  <c r="J20" i="9"/>
  <c r="G20" i="9"/>
  <c r="C20" i="9"/>
  <c r="W20" i="9" s="1"/>
  <c r="J19" i="9"/>
  <c r="G19" i="9"/>
  <c r="C19" i="9"/>
  <c r="W19" i="9" s="1"/>
  <c r="J18" i="9"/>
  <c r="G18" i="9"/>
  <c r="C18" i="9"/>
  <c r="W18" i="9" s="1"/>
  <c r="J17" i="9"/>
  <c r="G17" i="9"/>
  <c r="C17" i="9"/>
  <c r="W17" i="9" s="1"/>
  <c r="J16" i="9"/>
  <c r="G16" i="9"/>
  <c r="C16" i="9"/>
  <c r="W16" i="9" s="1"/>
  <c r="J15" i="9"/>
  <c r="G15" i="9"/>
  <c r="C15" i="9"/>
  <c r="W15" i="9" s="1"/>
  <c r="J14" i="9"/>
  <c r="G14" i="9"/>
  <c r="C14" i="9"/>
  <c r="W14" i="9" s="1"/>
  <c r="J13" i="9"/>
  <c r="G13" i="9"/>
  <c r="C13" i="9"/>
  <c r="W13" i="9" s="1"/>
  <c r="J12" i="9"/>
  <c r="G12" i="9"/>
  <c r="C12" i="9"/>
  <c r="W12" i="9" s="1"/>
  <c r="J11" i="9"/>
  <c r="G11" i="9"/>
  <c r="C11" i="9"/>
  <c r="W11" i="9" s="1"/>
  <c r="J10" i="9"/>
  <c r="G10" i="9"/>
  <c r="C10" i="9"/>
  <c r="W10" i="9" s="1"/>
  <c r="J9" i="9"/>
  <c r="G9" i="9"/>
  <c r="C9" i="9"/>
  <c r="W9" i="9" s="1"/>
  <c r="J8" i="9"/>
  <c r="G8" i="9"/>
  <c r="C8" i="9"/>
  <c r="W8" i="9" s="1"/>
  <c r="J7" i="9"/>
  <c r="G7" i="9"/>
  <c r="C7" i="9"/>
  <c r="W7" i="9" s="1"/>
  <c r="J6" i="9"/>
  <c r="G6" i="9"/>
  <c r="C6" i="9"/>
  <c r="W6" i="9" s="1"/>
  <c r="J5" i="9"/>
  <c r="G5" i="9"/>
  <c r="C5" i="9"/>
  <c r="W5" i="9" s="1"/>
  <c r="J4" i="9"/>
  <c r="G4" i="9"/>
  <c r="C4" i="9"/>
  <c r="W4" i="9" s="1"/>
  <c r="M3" i="9"/>
  <c r="H660" i="17" s="1" a="1"/>
  <c r="H660" i="17" s="1"/>
  <c r="J3" i="9"/>
  <c r="C3" i="9"/>
  <c r="K18" i="22" s="1"/>
  <c r="O42" i="8"/>
  <c r="M42" i="8"/>
  <c r="W42" i="8" s="1"/>
  <c r="G42" i="8"/>
  <c r="O41" i="8"/>
  <c r="M41" i="8"/>
  <c r="J41" i="8"/>
  <c r="G41" i="8"/>
  <c r="C41" i="8"/>
  <c r="O40" i="8"/>
  <c r="M40" i="8"/>
  <c r="J40" i="8"/>
  <c r="G40" i="8"/>
  <c r="C40" i="8"/>
  <c r="O39" i="8"/>
  <c r="M39" i="8"/>
  <c r="J39" i="8"/>
  <c r="G39" i="8"/>
  <c r="C39" i="8"/>
  <c r="O38" i="8"/>
  <c r="M38" i="8"/>
  <c r="J38" i="8"/>
  <c r="G38" i="8"/>
  <c r="C38" i="8"/>
  <c r="O37" i="8"/>
  <c r="M37" i="8"/>
  <c r="J37" i="8"/>
  <c r="G37" i="8"/>
  <c r="C37" i="8"/>
  <c r="O36" i="8"/>
  <c r="M36" i="8"/>
  <c r="J36" i="8"/>
  <c r="G36" i="8"/>
  <c r="C36" i="8"/>
  <c r="O35" i="8"/>
  <c r="M35" i="8"/>
  <c r="J35" i="8"/>
  <c r="G35" i="8"/>
  <c r="C35" i="8"/>
  <c r="O34" i="8"/>
  <c r="M34" i="8"/>
  <c r="J34" i="8"/>
  <c r="G34" i="8"/>
  <c r="C34" i="8"/>
  <c r="O33" i="8"/>
  <c r="M33" i="8"/>
  <c r="J33" i="8"/>
  <c r="G33" i="8"/>
  <c r="C33" i="8"/>
  <c r="O32" i="8"/>
  <c r="M32" i="8"/>
  <c r="J32" i="8"/>
  <c r="G32" i="8"/>
  <c r="C32" i="8"/>
  <c r="O31" i="8"/>
  <c r="M31" i="8"/>
  <c r="J31" i="8"/>
  <c r="G31" i="8"/>
  <c r="C31" i="8"/>
  <c r="O30" i="8"/>
  <c r="M30" i="8"/>
  <c r="J30" i="8"/>
  <c r="G30" i="8"/>
  <c r="C30" i="8"/>
  <c r="O29" i="8"/>
  <c r="M29" i="8"/>
  <c r="J29" i="8"/>
  <c r="G29" i="8"/>
  <c r="C29" i="8"/>
  <c r="O28" i="8"/>
  <c r="M28" i="8"/>
  <c r="J28" i="8"/>
  <c r="G28" i="8"/>
  <c r="C28" i="8"/>
  <c r="O27" i="8"/>
  <c r="M27" i="8"/>
  <c r="J27" i="8"/>
  <c r="G27" i="8"/>
  <c r="C27" i="8"/>
  <c r="O26" i="8"/>
  <c r="M26" i="8"/>
  <c r="J26" i="8"/>
  <c r="G26" i="8"/>
  <c r="C26" i="8"/>
  <c r="O25" i="8"/>
  <c r="M25" i="8"/>
  <c r="J25" i="8"/>
  <c r="G25" i="8"/>
  <c r="C25" i="8"/>
  <c r="O24" i="8"/>
  <c r="M24" i="8"/>
  <c r="J24" i="8"/>
  <c r="G24" i="8"/>
  <c r="C24" i="8"/>
  <c r="O23" i="8"/>
  <c r="M23" i="8"/>
  <c r="J23" i="8"/>
  <c r="G23" i="8"/>
  <c r="C23" i="8"/>
  <c r="O22" i="8"/>
  <c r="M22" i="8"/>
  <c r="J22" i="8"/>
  <c r="G22" i="8"/>
  <c r="C22" i="8"/>
  <c r="O21" i="8"/>
  <c r="M21" i="8"/>
  <c r="J21" i="8"/>
  <c r="G21" i="8"/>
  <c r="C21" i="8"/>
  <c r="O20" i="8"/>
  <c r="M20" i="8"/>
  <c r="J20" i="8"/>
  <c r="G20" i="8"/>
  <c r="C20" i="8"/>
  <c r="O19" i="8"/>
  <c r="M19" i="8"/>
  <c r="J19" i="8"/>
  <c r="G19" i="8"/>
  <c r="C19" i="8"/>
  <c r="O18" i="8"/>
  <c r="M18" i="8"/>
  <c r="J18" i="8"/>
  <c r="G18" i="8"/>
  <c r="C18" i="8"/>
  <c r="O17" i="8"/>
  <c r="M17" i="8"/>
  <c r="J17" i="8"/>
  <c r="G17" i="8"/>
  <c r="C17" i="8"/>
  <c r="O16" i="8"/>
  <c r="M16" i="8"/>
  <c r="J16" i="8"/>
  <c r="G16" i="8"/>
  <c r="C16" i="8"/>
  <c r="O15" i="8"/>
  <c r="M15" i="8"/>
  <c r="J15" i="8"/>
  <c r="G15" i="8"/>
  <c r="C15" i="8"/>
  <c r="O14" i="8"/>
  <c r="M14" i="8"/>
  <c r="J14" i="8"/>
  <c r="G14" i="8"/>
  <c r="C14" i="8"/>
  <c r="O13" i="8"/>
  <c r="M13" i="8"/>
  <c r="J13" i="8"/>
  <c r="G13" i="8"/>
  <c r="C13" i="8"/>
  <c r="O12" i="8"/>
  <c r="M12" i="8"/>
  <c r="J12" i="8"/>
  <c r="G12" i="8"/>
  <c r="C12" i="8"/>
  <c r="O11" i="8"/>
  <c r="M11" i="8"/>
  <c r="J11" i="8"/>
  <c r="G11" i="8"/>
  <c r="C11" i="8"/>
  <c r="O10" i="8"/>
  <c r="M10" i="8"/>
  <c r="J10" i="8"/>
  <c r="G10" i="8"/>
  <c r="C10" i="8"/>
  <c r="O9" i="8"/>
  <c r="M9" i="8"/>
  <c r="J9" i="8"/>
  <c r="G9" i="8"/>
  <c r="C9" i="8"/>
  <c r="O8" i="8"/>
  <c r="M8" i="8"/>
  <c r="J8" i="8"/>
  <c r="G8" i="8"/>
  <c r="C8" i="8"/>
  <c r="O7" i="8"/>
  <c r="M7" i="8"/>
  <c r="J7" i="8"/>
  <c r="G7" i="8"/>
  <c r="C7" i="8"/>
  <c r="O6" i="8"/>
  <c r="M6" i="8"/>
  <c r="J6" i="8"/>
  <c r="G6" i="8"/>
  <c r="C6" i="8"/>
  <c r="O5" i="8"/>
  <c r="M5" i="8"/>
  <c r="J5" i="8"/>
  <c r="G5" i="8"/>
  <c r="C5" i="8"/>
  <c r="O4" i="8"/>
  <c r="M4" i="8"/>
  <c r="J4" i="8"/>
  <c r="G4" i="8"/>
  <c r="C4" i="8"/>
  <c r="O3" i="8"/>
  <c r="M3" i="8"/>
  <c r="J3" i="8"/>
  <c r="G3" i="8"/>
  <c r="C3" i="8"/>
  <c r="W132" i="8" l="1"/>
  <c r="W130" i="8"/>
  <c r="W128" i="8"/>
  <c r="W126" i="8"/>
  <c r="W124" i="8"/>
  <c r="W122" i="8"/>
  <c r="W120" i="8"/>
  <c r="W118" i="8"/>
  <c r="W116" i="8"/>
  <c r="W114" i="8"/>
  <c r="W112" i="8"/>
  <c r="W110" i="8"/>
  <c r="W108" i="8"/>
  <c r="W106" i="8"/>
  <c r="W104" i="8"/>
  <c r="W102" i="8"/>
  <c r="W100" i="8"/>
  <c r="W98" i="8"/>
  <c r="W96" i="8"/>
  <c r="K19" i="22"/>
  <c r="K3" i="22"/>
  <c r="W4" i="8"/>
  <c r="W12" i="8"/>
  <c r="W20" i="8"/>
  <c r="W28" i="8"/>
  <c r="W36" i="8"/>
  <c r="K4" i="22"/>
  <c r="AD9" i="8"/>
  <c r="AC9" i="8"/>
  <c r="AC8" i="9"/>
  <c r="AD8" i="9"/>
  <c r="AD9" i="9"/>
  <c r="AC9" i="9"/>
  <c r="K5" i="22"/>
  <c r="AD10" i="8"/>
  <c r="AC10" i="8"/>
  <c r="W87" i="8"/>
  <c r="W85" i="8"/>
  <c r="W83" i="8"/>
  <c r="W81" i="8"/>
  <c r="W79" i="8"/>
  <c r="W77" i="8"/>
  <c r="W75" i="8"/>
  <c r="W73" i="8"/>
  <c r="W71" i="8"/>
  <c r="AD8" i="8"/>
  <c r="AC8" i="8"/>
  <c r="W69" i="8"/>
  <c r="W127" i="8"/>
  <c r="W125" i="8"/>
  <c r="W123" i="8"/>
  <c r="W121" i="8"/>
  <c r="W119" i="8"/>
  <c r="W117" i="8"/>
  <c r="W115" i="8"/>
  <c r="W113" i="8"/>
  <c r="W111" i="8"/>
  <c r="W109" i="8"/>
  <c r="W107" i="8"/>
  <c r="W131" i="8"/>
  <c r="W129" i="8"/>
  <c r="W67" i="8"/>
  <c r="W65" i="8"/>
  <c r="W63" i="8"/>
  <c r="W61" i="8"/>
  <c r="W59" i="8"/>
  <c r="W57" i="8"/>
  <c r="W55" i="8"/>
  <c r="W53" i="8"/>
  <c r="AF9" i="8"/>
  <c r="W86" i="8"/>
  <c r="W84" i="8"/>
  <c r="W82" i="8"/>
  <c r="W80" i="8"/>
  <c r="W78" i="8"/>
  <c r="W76" i="8"/>
  <c r="W74" i="8"/>
  <c r="W72" i="8"/>
  <c r="W70" i="8"/>
  <c r="W68" i="8"/>
  <c r="W66" i="8"/>
  <c r="W64" i="8"/>
  <c r="W62" i="8"/>
  <c r="W60" i="8"/>
  <c r="W58" i="8"/>
  <c r="W56" i="8"/>
  <c r="W54" i="8"/>
  <c r="W52" i="8"/>
  <c r="W50" i="8"/>
  <c r="W9" i="8"/>
  <c r="W6" i="8"/>
  <c r="W14" i="8"/>
  <c r="W22" i="8"/>
  <c r="W30" i="8"/>
  <c r="W38" i="8"/>
  <c r="W105" i="8"/>
  <c r="W103" i="8"/>
  <c r="W101" i="8"/>
  <c r="W99" i="8"/>
  <c r="W37" i="8"/>
  <c r="B660" i="17" a="1"/>
  <c r="B660" i="17" s="1"/>
  <c r="E660" i="17" a="1"/>
  <c r="E660" i="17" s="1"/>
  <c r="J660" i="17" a="1"/>
  <c r="J660" i="17" s="1"/>
  <c r="W49" i="9"/>
  <c r="D48" i="9"/>
  <c r="D50" i="9"/>
  <c r="D58" i="9"/>
  <c r="D66" i="9"/>
  <c r="D74" i="9"/>
  <c r="D82" i="9"/>
  <c r="D90" i="9"/>
  <c r="D51" i="9"/>
  <c r="D59" i="9"/>
  <c r="D67" i="9"/>
  <c r="D75" i="9"/>
  <c r="D83" i="9"/>
  <c r="D78" i="9"/>
  <c r="D52" i="9"/>
  <c r="D60" i="9"/>
  <c r="D68" i="9"/>
  <c r="D76" i="9"/>
  <c r="D84" i="9"/>
  <c r="D86" i="9"/>
  <c r="D55" i="9"/>
  <c r="D87" i="9"/>
  <c r="D53" i="9"/>
  <c r="D61" i="9"/>
  <c r="D69" i="9"/>
  <c r="D77" i="9"/>
  <c r="D85" i="9"/>
  <c r="D63" i="9"/>
  <c r="D54" i="9"/>
  <c r="D62" i="9"/>
  <c r="D70" i="9"/>
  <c r="D56" i="9"/>
  <c r="D64" i="9"/>
  <c r="D72" i="9"/>
  <c r="D80" i="9"/>
  <c r="D88" i="9"/>
  <c r="D79" i="9"/>
  <c r="D49" i="9"/>
  <c r="D57" i="9"/>
  <c r="D65" i="9"/>
  <c r="D73" i="9"/>
  <c r="D81" i="9"/>
  <c r="D89" i="9"/>
  <c r="D71" i="9"/>
  <c r="H4" i="10"/>
  <c r="E4" i="10"/>
  <c r="G4" i="10"/>
  <c r="F4" i="10"/>
  <c r="I4" i="10"/>
  <c r="W3" i="8"/>
  <c r="W11" i="8"/>
  <c r="W19" i="8"/>
  <c r="W27" i="8"/>
  <c r="W35" i="8"/>
  <c r="G6" i="12"/>
  <c r="F6" i="12"/>
  <c r="H6" i="12"/>
  <c r="I6" i="12"/>
  <c r="E6" i="12"/>
  <c r="G9" i="12"/>
  <c r="F9" i="12"/>
  <c r="E9" i="12"/>
  <c r="H9" i="12"/>
  <c r="I9" i="12"/>
  <c r="I5" i="10"/>
  <c r="F5" i="10"/>
  <c r="H5" i="10"/>
  <c r="G5" i="10"/>
  <c r="E5" i="10"/>
  <c r="W16" i="8"/>
  <c r="W24" i="8"/>
  <c r="W40" i="8"/>
  <c r="I8" i="12"/>
  <c r="H8" i="12"/>
  <c r="E8" i="12"/>
  <c r="G8" i="12"/>
  <c r="F8" i="12"/>
  <c r="F6" i="10"/>
  <c r="E6" i="10"/>
  <c r="I6" i="10"/>
  <c r="H6" i="10"/>
  <c r="G6" i="10"/>
  <c r="W5" i="8"/>
  <c r="W13" i="8"/>
  <c r="W21" i="8"/>
  <c r="W29" i="8"/>
  <c r="W97" i="8"/>
  <c r="W95" i="8"/>
  <c r="W93" i="8"/>
  <c r="I5" i="12"/>
  <c r="H5" i="12"/>
  <c r="G5" i="12"/>
  <c r="F5" i="12"/>
  <c r="E5" i="12"/>
  <c r="W8" i="8"/>
  <c r="W32" i="8"/>
  <c r="G8" i="10"/>
  <c r="F8" i="10"/>
  <c r="H8" i="10"/>
  <c r="I8" i="10"/>
  <c r="E8" i="10"/>
  <c r="W10" i="8"/>
  <c r="W18" i="8"/>
  <c r="W26" i="8"/>
  <c r="W34" i="8"/>
  <c r="W51" i="8"/>
  <c r="W7" i="8"/>
  <c r="W31" i="8"/>
  <c r="G9" i="10"/>
  <c r="F9" i="10"/>
  <c r="E9" i="10"/>
  <c r="I9" i="10"/>
  <c r="H9" i="10"/>
  <c r="W23" i="8"/>
  <c r="W39" i="8"/>
  <c r="W15" i="8"/>
  <c r="W17" i="8"/>
  <c r="W25" i="8"/>
  <c r="W33" i="8"/>
  <c r="W41" i="8"/>
  <c r="F4" i="12"/>
  <c r="E4" i="12"/>
  <c r="I4" i="12"/>
  <c r="H4" i="12"/>
  <c r="G4" i="12"/>
  <c r="W3" i="9"/>
  <c r="W48" i="8"/>
  <c r="D48" i="8"/>
  <c r="D49" i="8"/>
  <c r="W94" i="8"/>
  <c r="D100" i="8"/>
  <c r="D132" i="8"/>
  <c r="D98" i="8"/>
  <c r="D116" i="8"/>
  <c r="D124" i="8"/>
  <c r="D108" i="8"/>
  <c r="D127" i="8"/>
  <c r="D118" i="8"/>
  <c r="D102" i="8"/>
  <c r="D94" i="8"/>
  <c r="D128" i="8"/>
  <c r="D120" i="8"/>
  <c r="D112" i="8"/>
  <c r="D104" i="8"/>
  <c r="D131" i="8"/>
  <c r="D96" i="8"/>
  <c r="D93" i="8"/>
  <c r="D126" i="8"/>
  <c r="D110" i="8"/>
  <c r="D129" i="8"/>
  <c r="D130" i="8"/>
  <c r="D122" i="8"/>
  <c r="D114" i="8"/>
  <c r="D106" i="8"/>
  <c r="D123" i="8"/>
  <c r="D86" i="8"/>
  <c r="D84" i="8"/>
  <c r="D82" i="8"/>
  <c r="D78" i="8"/>
  <c r="D76" i="8"/>
  <c r="D72" i="8"/>
  <c r="D67" i="8"/>
  <c r="D66" i="8"/>
  <c r="D50" i="8"/>
  <c r="D125" i="8"/>
  <c r="D121" i="8"/>
  <c r="D119" i="8"/>
  <c r="D117" i="8"/>
  <c r="D115" i="8"/>
  <c r="D113" i="8"/>
  <c r="D111" i="8"/>
  <c r="D109" i="8"/>
  <c r="D107" i="8"/>
  <c r="D105" i="8"/>
  <c r="D103" i="8"/>
  <c r="D101" i="8"/>
  <c r="D99" i="8"/>
  <c r="D97" i="8"/>
  <c r="D95" i="8"/>
  <c r="D87" i="8"/>
  <c r="D81" i="8"/>
  <c r="D80" i="8"/>
  <c r="D74" i="8"/>
  <c r="D70" i="8"/>
  <c r="D68" i="8"/>
  <c r="D64" i="8"/>
  <c r="D45" i="9"/>
  <c r="D85" i="8"/>
  <c r="D83" i="8"/>
  <c r="D79" i="8"/>
  <c r="D77" i="8"/>
  <c r="D75" i="8"/>
  <c r="D73" i="8"/>
  <c r="D71" i="8"/>
  <c r="D69" i="8"/>
  <c r="D65" i="8"/>
  <c r="D63" i="8"/>
  <c r="D61" i="8"/>
  <c r="D59" i="8"/>
  <c r="D57" i="8"/>
  <c r="D55" i="8"/>
  <c r="D53" i="8"/>
  <c r="D51" i="8"/>
  <c r="D41" i="8"/>
  <c r="D62" i="8"/>
  <c r="D60" i="8"/>
  <c r="D58" i="8"/>
  <c r="D56" i="8"/>
  <c r="D54" i="8"/>
  <c r="D52" i="8"/>
  <c r="D4" i="9"/>
  <c r="D6" i="9"/>
  <c r="D8" i="9"/>
  <c r="D10" i="9"/>
  <c r="D12" i="9"/>
  <c r="D14" i="9"/>
  <c r="D16" i="9"/>
  <c r="D18" i="9"/>
  <c r="D20" i="9"/>
  <c r="D22" i="9"/>
  <c r="D24" i="9"/>
  <c r="D26" i="9"/>
  <c r="D28" i="9"/>
  <c r="D30" i="9"/>
  <c r="D32" i="9"/>
  <c r="D34" i="9"/>
  <c r="D36" i="9"/>
  <c r="D38" i="9"/>
  <c r="D40" i="9"/>
  <c r="D42" i="9"/>
  <c r="D44" i="9"/>
  <c r="D3" i="9"/>
  <c r="D5" i="9"/>
  <c r="D7" i="9"/>
  <c r="D9" i="9"/>
  <c r="D11" i="9"/>
  <c r="D13" i="9"/>
  <c r="D15" i="9"/>
  <c r="D17" i="9"/>
  <c r="D19" i="9"/>
  <c r="D21" i="9"/>
  <c r="D23" i="9"/>
  <c r="D25" i="9"/>
  <c r="D27" i="9"/>
  <c r="D29" i="9"/>
  <c r="D31" i="9"/>
  <c r="D33" i="9"/>
  <c r="D35" i="9"/>
  <c r="D37" i="9"/>
  <c r="D39" i="9"/>
  <c r="D41" i="9"/>
  <c r="D43" i="9"/>
  <c r="D4" i="8"/>
  <c r="D6" i="8"/>
  <c r="D8" i="8"/>
  <c r="D10" i="8"/>
  <c r="D12" i="8"/>
  <c r="D14" i="8"/>
  <c r="D16" i="8"/>
  <c r="D18" i="8"/>
  <c r="D20" i="8"/>
  <c r="D22" i="8"/>
  <c r="D24" i="8"/>
  <c r="D26" i="8"/>
  <c r="D28" i="8"/>
  <c r="D30" i="8"/>
  <c r="D32" i="8"/>
  <c r="D34" i="8"/>
  <c r="D36" i="8"/>
  <c r="D38" i="8"/>
  <c r="D40" i="8"/>
  <c r="D42" i="8"/>
  <c r="D3" i="8"/>
  <c r="D5" i="8"/>
  <c r="D7" i="8"/>
  <c r="D9" i="8"/>
  <c r="D11" i="8"/>
  <c r="D13" i="8"/>
  <c r="D15" i="8"/>
  <c r="D17" i="8"/>
  <c r="D19" i="8"/>
  <c r="D21" i="8"/>
  <c r="D23" i="8"/>
  <c r="D25" i="8"/>
  <c r="D27" i="8"/>
  <c r="D29" i="8"/>
  <c r="D31" i="8"/>
  <c r="D33" i="8"/>
  <c r="D35" i="8"/>
  <c r="D37" i="8"/>
  <c r="D39" i="8"/>
  <c r="C4" i="22" l="1"/>
  <c r="G5" i="25"/>
  <c r="R660" i="17" a="1"/>
  <c r="R660" i="17" s="1"/>
  <c r="I13" i="12"/>
  <c r="H13" i="12"/>
  <c r="G13" i="12"/>
  <c r="F13" i="12"/>
  <c r="E13" i="12"/>
  <c r="G13" i="10"/>
  <c r="F13" i="10"/>
  <c r="I13" i="10"/>
  <c r="E13" i="10"/>
  <c r="H13" i="10"/>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<sst xmlns="http://schemas.openxmlformats.org/spreadsheetml/2006/main" count="2067" uniqueCount="283">
  <si>
    <t xml:space="preserve">high price </t>
  </si>
  <si>
    <t xml:space="preserve">Bid price </t>
  </si>
  <si>
    <t>daily trading volume</t>
  </si>
  <si>
    <t xml:space="preserve">Common shares outstanding </t>
  </si>
  <si>
    <t xml:space="preserve">free float shares </t>
  </si>
  <si>
    <t>Daily kse-100 index</t>
  </si>
  <si>
    <t xml:space="preserve">Risk free rate </t>
  </si>
  <si>
    <t xml:space="preserve">Total assets </t>
  </si>
  <si>
    <t xml:space="preserve">total liabilities </t>
  </si>
  <si>
    <t>EBITDA</t>
  </si>
  <si>
    <t xml:space="preserve">Cash and equivalents </t>
  </si>
  <si>
    <t xml:space="preserve">total debt </t>
  </si>
  <si>
    <t>Ask price</t>
  </si>
  <si>
    <t>Low price</t>
  </si>
  <si>
    <t>Exchange Date</t>
  </si>
  <si>
    <t>Price(closing)</t>
  </si>
  <si>
    <t>Daily raw return</t>
  </si>
  <si>
    <t>Sigma raw</t>
  </si>
  <si>
    <t>Relative high-low price</t>
  </si>
  <si>
    <t xml:space="preserve">Relative Bid-Ask Spread </t>
  </si>
  <si>
    <t xml:space="preserve">Trading value </t>
  </si>
  <si>
    <t>Turnover</t>
  </si>
  <si>
    <t xml:space="preserve">Free float shares </t>
  </si>
  <si>
    <t>Kohinoor</t>
  </si>
  <si>
    <t xml:space="preserve">Kot addu </t>
  </si>
  <si>
    <t xml:space="preserve">Lalpir </t>
  </si>
  <si>
    <t>common shares outstanding</t>
  </si>
  <si>
    <t>Common shares outstanding (Trading value )</t>
  </si>
  <si>
    <t xml:space="preserve"> Turnover</t>
  </si>
  <si>
    <t xml:space="preserve">Total Liabilities </t>
  </si>
  <si>
    <t xml:space="preserve">EBITDA </t>
  </si>
  <si>
    <t>Free Float shares</t>
  </si>
  <si>
    <t xml:space="preserve">Total Debt </t>
  </si>
  <si>
    <t xml:space="preserve">Nishat chunian </t>
  </si>
  <si>
    <t xml:space="preserve">High price </t>
  </si>
  <si>
    <t>Free Float Shares</t>
  </si>
  <si>
    <t>Trade Price</t>
  </si>
  <si>
    <t>Common shares outstanding</t>
  </si>
  <si>
    <t>Nishat Power ltd</t>
  </si>
  <si>
    <t xml:space="preserve"> Trading value </t>
  </si>
  <si>
    <t xml:space="preserve">Total Assets </t>
  </si>
  <si>
    <t>Pakgen</t>
  </si>
  <si>
    <t>Cash and cash equivalents</t>
  </si>
  <si>
    <t xml:space="preserve">Faysal bank </t>
  </si>
  <si>
    <t>Saif power</t>
  </si>
  <si>
    <t xml:space="preserve">Mughal iron and steel </t>
  </si>
  <si>
    <t>Tri star</t>
  </si>
  <si>
    <t>Javedan</t>
  </si>
  <si>
    <t>Pace pak</t>
  </si>
  <si>
    <t>Free float shares (Turnover)</t>
  </si>
  <si>
    <t>EBITDA (in millions)</t>
  </si>
  <si>
    <t>KSE-100 Index</t>
  </si>
  <si>
    <t>common shares outstandig</t>
  </si>
  <si>
    <t xml:space="preserve">TPL prop </t>
  </si>
  <si>
    <t>Common Share Outstanding</t>
  </si>
  <si>
    <t>Dolmen</t>
  </si>
  <si>
    <t>Common Shares Outstanding</t>
  </si>
  <si>
    <t>Globe</t>
  </si>
  <si>
    <t xml:space="preserve">Total liabilities </t>
  </si>
  <si>
    <t>Trading value</t>
  </si>
  <si>
    <t>Mean</t>
  </si>
  <si>
    <t>Median</t>
  </si>
  <si>
    <t>Min</t>
  </si>
  <si>
    <t>Max</t>
  </si>
  <si>
    <t>Raw return</t>
  </si>
  <si>
    <t>Relative high low price</t>
  </si>
  <si>
    <t>relative bid ask spread</t>
  </si>
  <si>
    <t>trading volume</t>
  </si>
  <si>
    <t>trading value</t>
  </si>
  <si>
    <t>turnover</t>
  </si>
  <si>
    <t>KSE 100 index</t>
  </si>
  <si>
    <t>Risk free rate</t>
  </si>
  <si>
    <t>Leverage ratio</t>
  </si>
  <si>
    <t>Amihud illiquidity ratio</t>
  </si>
  <si>
    <t>1)</t>
  </si>
  <si>
    <t>2)</t>
  </si>
  <si>
    <t>3)</t>
  </si>
  <si>
    <t>4)</t>
  </si>
  <si>
    <t>5)</t>
  </si>
  <si>
    <t>6)</t>
  </si>
  <si>
    <t>7)</t>
  </si>
  <si>
    <t>8)</t>
  </si>
  <si>
    <t>9)</t>
  </si>
  <si>
    <t>10)</t>
  </si>
  <si>
    <t>St.dev</t>
  </si>
  <si>
    <t>Pre-period ( CB=7.5%)</t>
  </si>
  <si>
    <t>Post-period ( CB=10%)</t>
  </si>
  <si>
    <t xml:space="preserve">Name </t>
  </si>
  <si>
    <t>Slot</t>
  </si>
  <si>
    <t>ERP</t>
  </si>
  <si>
    <t>Muhammed Taha</t>
  </si>
  <si>
    <t>Muhammed Ziyad khan</t>
  </si>
  <si>
    <t>Contribution</t>
  </si>
  <si>
    <t>Kohinoor Power Company Limited</t>
  </si>
  <si>
    <t>Kot Addu Power Company Limited</t>
  </si>
  <si>
    <t>Lalpir Power Limited</t>
  </si>
  <si>
    <t>Nishat Chunian Power Limited</t>
  </si>
  <si>
    <t>Nishat Power Limited</t>
  </si>
  <si>
    <t>PAKGEN Power Limited</t>
  </si>
  <si>
    <t>Saif Power Limited</t>
  </si>
  <si>
    <t>faysal bank</t>
  </si>
  <si>
    <t>Tri-Star Power Limited</t>
  </si>
  <si>
    <t>Javedan Corporation Limited</t>
  </si>
  <si>
    <t>Pace (Pakistan) Limited</t>
  </si>
  <si>
    <t>TPL Properties Limited</t>
  </si>
  <si>
    <t>Dolmen City Reit</t>
  </si>
  <si>
    <t>Globe Residency Reit</t>
  </si>
  <si>
    <t>Companies:</t>
  </si>
  <si>
    <t>Mughal iron and steel industries limited</t>
  </si>
  <si>
    <t>Pre-period</t>
  </si>
  <si>
    <t>Post-period</t>
  </si>
  <si>
    <t>Difference</t>
  </si>
  <si>
    <t>Relative High Low Price</t>
  </si>
  <si>
    <t>Relative Bid-Ask Spread</t>
  </si>
  <si>
    <t>Trading Volume</t>
  </si>
  <si>
    <t>Amihud illiquidity Ratio</t>
  </si>
  <si>
    <t>t-Test: Two-Sample Assuming Unequal Variances</t>
  </si>
  <si>
    <t>Variance</t>
  </si>
  <si>
    <t>Observations</t>
  </si>
  <si>
    <t>Hypothesized Mean Difference</t>
  </si>
  <si>
    <t>df</t>
  </si>
  <si>
    <t>t Stat</t>
  </si>
  <si>
    <t>P(T&lt;=t) one-tail</t>
  </si>
  <si>
    <t>t Critical one-tail</t>
  </si>
  <si>
    <t>P(T&lt;=t) two-tail</t>
  </si>
  <si>
    <t>t Critical two-tail</t>
  </si>
  <si>
    <t>The two-sample t-test results indicate statistically significant changes for several market variables after the expansion of security-wise circuit breakers. The Relative Bid-Ask Price, Relative High-Low Price, Trading Volume, and Turnover show significant differences (p-values &lt; 0.05), suggesting these variables were impacted by the regulatory change. However, the Amihud Illiquidity Ratio show p-values above 0.05, indicating no statistically significant change for these variables between the two periods. This suggests that certain aspects of market liquidity and volatility were influenced by the circuit breaker expansion, while others remained unaffected.</t>
  </si>
  <si>
    <t>Brief Interpretation</t>
  </si>
  <si>
    <r>
      <t>Table: Two-sample T</t>
    </r>
    <r>
      <rPr>
        <b/>
        <sz val="11"/>
        <color theme="1"/>
        <rFont val="Aptos"/>
        <family val="2"/>
      </rPr>
      <t>-test Results</t>
    </r>
  </si>
  <si>
    <r>
      <t xml:space="preserve">Significance / </t>
    </r>
    <r>
      <rPr>
        <b/>
        <i/>
        <sz val="11"/>
        <color theme="1"/>
        <rFont val="Aptos"/>
        <family val="2"/>
      </rPr>
      <t>p</t>
    </r>
    <r>
      <rPr>
        <b/>
        <sz val="11"/>
        <color theme="1"/>
        <rFont val="Aptos"/>
        <family val="2"/>
      </rPr>
      <t>-value</t>
    </r>
  </si>
  <si>
    <t xml:space="preserve">Pre </t>
  </si>
  <si>
    <t>Post</t>
  </si>
  <si>
    <t>#</t>
  </si>
  <si>
    <t>Company</t>
  </si>
  <si>
    <t>Slope (β)</t>
  </si>
  <si>
    <t>Intercept (α)</t>
  </si>
  <si>
    <r>
      <t>R</t>
    </r>
    <r>
      <rPr>
        <b/>
        <i/>
        <vertAlign val="superscript"/>
        <sz val="10"/>
        <color theme="0"/>
        <rFont val="Calibri"/>
        <family val="2"/>
      </rPr>
      <t>2</t>
    </r>
  </si>
  <si>
    <t>PSI</t>
  </si>
  <si>
    <t>KSE 100 Index | Price History                                          25-Sep-2024 10:37</t>
  </si>
  <si>
    <t>.KSE</t>
  </si>
  <si>
    <t>Interval: Daily</t>
  </si>
  <si>
    <t>History Period: 1 Year</t>
  </si>
  <si>
    <t>bhhbubh</t>
  </si>
  <si>
    <t>VAP: Total</t>
  </si>
  <si>
    <t>Price</t>
  </si>
  <si>
    <t>Volume</t>
  </si>
  <si>
    <t>%Volume</t>
  </si>
  <si>
    <t>Count</t>
  </si>
  <si>
    <t>%Count</t>
  </si>
  <si>
    <t>80,000.0000 - 85,000.0000</t>
  </si>
  <si>
    <t>75,000.0000 - 80,000.0000</t>
  </si>
  <si>
    <t>70,000.0000 - 75,000.0000</t>
  </si>
  <si>
    <t>65,000.0000 - 70,000.0000</t>
  </si>
  <si>
    <t>60,000.0000 - 65,000.0000</t>
  </si>
  <si>
    <t>55,000.0000 - 60,000.0000</t>
  </si>
  <si>
    <t>50,000.0000 - 55,000.0000</t>
  </si>
  <si>
    <t>45,000.0000 - 50,000.0000</t>
  </si>
  <si>
    <t>.KSE Statistics     Daily     1 Year</t>
  </si>
  <si>
    <t>Up/Down</t>
  </si>
  <si>
    <t>Price Change (Close-Close)</t>
  </si>
  <si>
    <t>High</t>
  </si>
  <si>
    <t>Advancing</t>
  </si>
  <si>
    <t>Up</t>
  </si>
  <si>
    <t>Low</t>
  </si>
  <si>
    <t>Declining</t>
  </si>
  <si>
    <t>Down</t>
  </si>
  <si>
    <t>Avg</t>
  </si>
  <si>
    <t>Total</t>
  </si>
  <si>
    <t>Unch</t>
  </si>
  <si>
    <t>Period</t>
  </si>
  <si>
    <t>1 Year</t>
  </si>
  <si>
    <t xml:space="preserve">Post Period </t>
  </si>
  <si>
    <t xml:space="preserve">Pre Period </t>
  </si>
  <si>
    <t>.KSE History     Daily     1 Year</t>
  </si>
  <si>
    <t>Close</t>
  </si>
  <si>
    <t>Net</t>
  </si>
  <si>
    <t>%Chg</t>
  </si>
  <si>
    <t>Open</t>
  </si>
  <si>
    <t>%CVol</t>
  </si>
  <si>
    <t>Daily Raw Return</t>
  </si>
  <si>
    <t>Post Period Stock Price non-synchronicity</t>
  </si>
  <si>
    <t>Market Raw Return</t>
  </si>
  <si>
    <t>Market Raw return</t>
  </si>
  <si>
    <t>SUMMARY OUTPUT</t>
  </si>
  <si>
    <t>Regression Statistics</t>
  </si>
  <si>
    <t>Multiple R</t>
  </si>
  <si>
    <t>R Square</t>
  </si>
  <si>
    <t>Adjusted R Square</t>
  </si>
  <si>
    <t>Standard Error</t>
  </si>
  <si>
    <t>ANOVA</t>
  </si>
  <si>
    <t>Regression</t>
  </si>
  <si>
    <t>Residual</t>
  </si>
  <si>
    <t>Intercept</t>
  </si>
  <si>
    <t>SS</t>
  </si>
  <si>
    <t>MS</t>
  </si>
  <si>
    <t>F</t>
  </si>
  <si>
    <t>Significance F</t>
  </si>
  <si>
    <t>Coefficients</t>
  </si>
  <si>
    <t>P-value</t>
  </si>
  <si>
    <t>Lower 95%</t>
  </si>
  <si>
    <t>Upper 95%</t>
  </si>
  <si>
    <t>Lower 95.0%</t>
  </si>
  <si>
    <t>Upper 95.0%</t>
  </si>
  <si>
    <t>Nishat Chunin</t>
  </si>
  <si>
    <t xml:space="preserve">Nishat Power </t>
  </si>
  <si>
    <t>Faysal bank</t>
  </si>
  <si>
    <t>Mughal iron and steel</t>
  </si>
  <si>
    <t xml:space="preserve">Tri star </t>
  </si>
  <si>
    <t>Javdan</t>
  </si>
  <si>
    <t>Pacepak</t>
  </si>
  <si>
    <t>Pre Period</t>
  </si>
  <si>
    <t>Dummy</t>
  </si>
  <si>
    <t>SIZE</t>
  </si>
  <si>
    <t>PROFIT</t>
  </si>
  <si>
    <t>BM</t>
  </si>
  <si>
    <t>CASH</t>
  </si>
  <si>
    <t>TURN</t>
  </si>
  <si>
    <t>LEV</t>
  </si>
  <si>
    <t>VOLTY</t>
  </si>
  <si>
    <t>Pre Period Stock Price non-synchronicity</t>
  </si>
  <si>
    <t>Packgen</t>
  </si>
  <si>
    <t>Post Period</t>
  </si>
  <si>
    <t>Auction No.</t>
  </si>
  <si>
    <t>Auction Date</t>
  </si>
  <si>
    <t>Weighted Average Yield (%)</t>
  </si>
  <si>
    <t>668th</t>
  </si>
  <si>
    <t>676th</t>
  </si>
  <si>
    <t>669th</t>
  </si>
  <si>
    <t>677th</t>
  </si>
  <si>
    <t>670th</t>
  </si>
  <si>
    <t>678th</t>
  </si>
  <si>
    <t>671st</t>
  </si>
  <si>
    <t>679th</t>
  </si>
  <si>
    <t>Independent Variables</t>
  </si>
  <si>
    <t>Size</t>
  </si>
  <si>
    <t>BM Ratio</t>
  </si>
  <si>
    <t>Cash</t>
  </si>
  <si>
    <t>Leverage</t>
  </si>
  <si>
    <t>Volatility</t>
  </si>
  <si>
    <t>Constant</t>
  </si>
  <si>
    <t>No. of Observations</t>
  </si>
  <si>
    <t>R-Squared</t>
  </si>
  <si>
    <t>Coefficients: 0.253656190700966</t>
  </si>
  <si>
    <t>P-Value: 0.737757646275132</t>
  </si>
  <si>
    <t>Coefficients: 19.1056100113247</t>
  </si>
  <si>
    <t>Coefficients: 0.584133966077245</t>
  </si>
  <si>
    <t>Coefficients: -0.63709</t>
  </si>
  <si>
    <t>Coefficients: -0.00625</t>
  </si>
  <si>
    <t>Coefficients: 0.000166</t>
  </si>
  <si>
    <t>Coefficients: -15.2722</t>
  </si>
  <si>
    <t>Coefficients: -42.055</t>
  </si>
  <si>
    <t>Coefficients: -4.2245</t>
  </si>
  <si>
    <t>Coefficients: 4.468906</t>
  </si>
  <si>
    <t>P-Value: 0.528694</t>
  </si>
  <si>
    <t>P-Value: 0.138629</t>
  </si>
  <si>
    <t>P-Value: 0.899666</t>
  </si>
  <si>
    <t>P-Value: 0.704285</t>
  </si>
  <si>
    <t>P-Value: 0.127778</t>
  </si>
  <si>
    <t>P-Value: 0.426412</t>
  </si>
  <si>
    <t>P-Value: 0.157045</t>
  </si>
  <si>
    <t>P-Value: 0.640661</t>
  </si>
  <si>
    <t>P-Value: 0.049421</t>
  </si>
  <si>
    <t>P-Value: 1.24838923471143E-07</t>
  </si>
  <si>
    <t>Coefficients: 3.72106656718686</t>
  </si>
  <si>
    <t>Regression -1</t>
  </si>
  <si>
    <t>Regression -2</t>
  </si>
  <si>
    <t>Anas Ahmed</t>
  </si>
  <si>
    <t>Abdur Rafay Moiz</t>
  </si>
  <si>
    <t>Abdul Rahim Shaikh</t>
  </si>
  <si>
    <t>Muhammad Ziyad khan</t>
  </si>
  <si>
    <t xml:space="preserve">Data extraction for 3 companies, transforming variables, calculated descriptive stats for pre and post period, assisted in regression 1 and 2 </t>
  </si>
  <si>
    <t>Data extraction for 3 companies, transforming variables, assisted in regression 1 and 2</t>
  </si>
  <si>
    <t>Data extraction for 3 companies, transforming variables, conducted 30 regressions in regression 1 and assisted in regression 2 and calculation and implementation of price non synchronicity</t>
  </si>
  <si>
    <t>Data extraction for 3 companies, transforming variables, conducted T-Tests , interpreted regression 1 and conducted regression 2 , calculation and implementation of price non synchronicity,transformation and calculation of variables in regression 2 table and comments on both regressions, formatting of project</t>
  </si>
  <si>
    <t xml:space="preserve">Data extraction for 3 companies, transforming variables, calculated descriptive stats for pre and post period,calculation and implementation of price non synchronicity, assisted in regression 1 for formulas and transformed and calculated variables in regression 2, formating of project and comments </t>
  </si>
  <si>
    <t>Nishat Chunian</t>
  </si>
  <si>
    <t>Lalpir</t>
  </si>
  <si>
    <t>Kot addu</t>
  </si>
  <si>
    <t>TPL Prop</t>
  </si>
  <si>
    <t xml:space="preserve">Saif power </t>
  </si>
  <si>
    <t>In the 1st regression the dummy variable had a p value greater then 0.05 indicating insignificant or no effect on PSI (Stock Price non-synchronicity), however in the 2nd Regression, P-value of the dummy variable is greater then 0.05 confirming that there is no effect on PSI, even with the addition of more variables. Across all tested variables, there is no statistical evidence to suggest that any variables in the model influences PSI thus suggesting that PSI(Stock Price non-synchronicity) may be independent of the Increase in Circuit Breakers.
Since the P-Value of Intercept is less than 0.05 we can say that if all additional variables become zero then there can be statistically significant impact on PSI of increase in circuit breakers.
In Adittion to this we can also notice that Rsq value of both models is very low meaning that our models are less correlated and the results would be not highly dependable. So Based on these regressions we can not have Final Conclusion.</t>
  </si>
  <si>
    <r>
      <t xml:space="preserve">After analyzing the statistical values and overall project, we can infer that the model is weak as the values of R square are very low and the t-test conducted is producing different results from the tests conducted to check PSI thus indicating the model's weakness so </t>
    </r>
    <r>
      <rPr>
        <b/>
        <sz val="26"/>
        <color theme="1"/>
        <rFont val="Calibri (Body)"/>
      </rPr>
      <t>WE CAN NOT COMPLETELY RELY ON FINDINGS of this ANALYSIS.</t>
    </r>
  </si>
  <si>
    <t>Abdur Rafay moiz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</si>
</sst>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quot;--&quot;"/>
    <numFmt numFmtId="165" formatCode="#,##0.0000;\-#,##0.0000;#,##0.0000;&quot;--&quot;"/>
    <numFmt numFmtId="166" formatCode="dd\-mmm\-yyyy"/>
    <numFmt numFmtId="167" formatCode="#,##0.00;\-#,##0.00;#,##0.00;&quot;--&quot;"/>
    <numFmt numFmtId="168" formatCode="0.000%"/>
    <numFmt numFmtId="169" formatCode="0.0000%"/>
    <numFmt numFmtId="170" formatCode="0.000E+00"/>
  </numFmts>
  <fonts count="34">
    <font>
      <sz val="11"/>
      <color theme="1"/>
      <name val="Calibri"/>
      <family val="2"/>
      <scheme val="minor"/>
    </font>
    <font>
      <b/>
      <sz val="11"/>
      <color theme="1"/>
      <name val="Calibri"/>
      <family val="2"/>
      <scheme val="minor"/>
    </font>
    <font>
      <sz val="11"/>
      <color rgb="FF000000"/>
      <name val="Calibri"/>
      <family val="2"/>
    </font>
    <font>
      <sz val="10"/>
      <color rgb="FF000000"/>
      <name val="Calibri"/>
      <family val="2"/>
    </font>
    <font>
      <b/>
      <sz val="11"/>
      <color rgb="FFFF0000"/>
      <name val="Calibri"/>
      <family val="2"/>
      <scheme val="minor"/>
    </font>
    <font>
      <sz val="11"/>
      <color theme="1"/>
      <name val="Calibri"/>
      <family val="2"/>
      <scheme val="minor"/>
    </font>
    <font>
      <sz val="11"/>
      <color theme="1"/>
      <name val="Calibri"/>
      <family val="2"/>
    </font>
    <font>
      <b/>
      <sz val="12"/>
      <color theme="1"/>
      <name val="Calibri"/>
      <family val="2"/>
      <scheme val="minor"/>
    </font>
    <font>
      <b/>
      <sz val="11"/>
      <color rgb="FF000000"/>
      <name val="Calibri"/>
      <family val="2"/>
    </font>
    <font>
      <b/>
      <sz val="11"/>
      <color rgb="FFFF0000"/>
      <name val="Calibri"/>
      <family val="2"/>
    </font>
    <font>
      <b/>
      <sz val="11"/>
      <color theme="1"/>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theme="1"/>
      <name val="Aptos"/>
      <family val="2"/>
    </font>
    <font>
      <i/>
      <sz val="11"/>
      <color theme="1"/>
      <name val="Calibri"/>
      <family val="2"/>
      <scheme val="minor"/>
    </font>
    <font>
      <sz val="22"/>
      <color theme="1"/>
      <name val="Aptos Black"/>
      <family val="2"/>
    </font>
    <font>
      <b/>
      <i/>
      <sz val="11"/>
      <color theme="1"/>
      <name val="Aptos"/>
      <family val="2"/>
    </font>
    <font>
      <b/>
      <sz val="11"/>
      <color theme="1"/>
      <name val="Aptos"/>
      <family val="2"/>
    </font>
    <font>
      <b/>
      <sz val="12"/>
      <color theme="0"/>
      <name val="Calibri"/>
      <family val="2"/>
    </font>
    <font>
      <b/>
      <sz val="10"/>
      <color theme="0"/>
      <name val="Calibri"/>
      <family val="2"/>
    </font>
    <font>
      <b/>
      <i/>
      <sz val="10"/>
      <color theme="0"/>
      <name val="Calibri"/>
      <family val="2"/>
    </font>
    <font>
      <b/>
      <i/>
      <vertAlign val="superscript"/>
      <sz val="10"/>
      <color theme="0"/>
      <name val="Calibri"/>
      <family val="2"/>
    </font>
    <font>
      <b/>
      <sz val="10"/>
      <color rgb="FF000000"/>
      <name val="Calibri"/>
      <family val="2"/>
    </font>
    <font>
      <sz val="12"/>
      <color rgb="FF9C5700"/>
      <name val="Calibri"/>
      <family val="2"/>
      <scheme val="minor"/>
    </font>
    <font>
      <b/>
      <sz val="90"/>
      <color theme="1"/>
      <name val="Algerian"/>
      <family val="5"/>
    </font>
    <font>
      <sz val="11"/>
      <color rgb="FFFF0000"/>
      <name val="Calibri"/>
      <family val="2"/>
      <scheme val="minor"/>
    </font>
    <font>
      <sz val="26"/>
      <color theme="1"/>
      <name val="Algerian"/>
      <family val="5"/>
    </font>
    <font>
      <b/>
      <sz val="11"/>
      <color rgb="FFA02B93"/>
      <name val="Aptos"/>
      <family val="2"/>
    </font>
    <font>
      <sz val="8"/>
      <name val="Calibri"/>
      <family val="2"/>
      <scheme val="minor"/>
    </font>
    <font>
      <b/>
      <sz val="11"/>
      <color rgb="FFA02B93"/>
      <name val="Aptos"/>
    </font>
    <font>
      <b/>
      <sz val="22"/>
      <color theme="1"/>
      <name val="Calibri (Body)"/>
    </font>
    <font>
      <b/>
      <u/>
      <sz val="18"/>
      <color theme="1"/>
      <name val="Calibri"/>
      <family val="2"/>
      <scheme val="minor"/>
    </font>
    <font>
      <b/>
      <sz val="26"/>
      <color theme="1"/>
      <name val="Calibri (Body)"/>
    </font>
  </fonts>
  <fills count="17">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B8CCE4"/>
        <bgColor rgb="FF000000"/>
      </patternFill>
    </fill>
    <fill>
      <patternFill patternType="solid">
        <fgColor theme="4" tint="0.39997558519241921"/>
        <bgColor indexed="64"/>
      </patternFill>
    </fill>
    <fill>
      <patternFill patternType="solid">
        <fgColor theme="2"/>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4" tint="-0.249977111117893"/>
        <bgColor rgb="FFA6A6A6"/>
      </patternFill>
    </fill>
    <fill>
      <patternFill patternType="solid">
        <fgColor rgb="FFA6A6A6"/>
        <bgColor rgb="FFA6A6A6"/>
      </patternFill>
    </fill>
    <fill>
      <patternFill patternType="solid">
        <fgColor rgb="FFFFEB9C"/>
      </patternFill>
    </fill>
    <fill>
      <patternFill patternType="solid">
        <fgColor theme="8" tint="0.59999389629810485"/>
        <bgColor theme="8" tint="0.59999389629810485"/>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63">
    <border>
      <left/>
      <right/>
      <top/>
      <bottom/>
      <diagonal/>
    </border>
    <border>
      <left style="thin">
        <color rgb="FFD5D8DB"/>
      </left>
      <right style="thin">
        <color rgb="FFD5D8DB"/>
      </right>
      <top style="thin">
        <color rgb="FFD5D8DB"/>
      </top>
      <bottom style="thin">
        <color rgb="FFD5D8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theme="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medium">
        <color rgb="FF000000"/>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bottom style="medium">
        <color rgb="FFCCCCCC"/>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808080"/>
      </right>
      <top style="thin">
        <color rgb="FF000000"/>
      </top>
      <bottom style="thin">
        <color rgb="FF000000"/>
      </bottom>
      <diagonal/>
    </border>
    <border>
      <left style="thin">
        <color rgb="FF000000"/>
      </left>
      <right style="thin">
        <color rgb="FF808080"/>
      </right>
      <top style="thin">
        <color rgb="FF000000"/>
      </top>
      <bottom style="thin">
        <color rgb="FF808080"/>
      </bottom>
      <diagonal/>
    </border>
    <border>
      <left style="thin">
        <color rgb="FF808080"/>
      </left>
      <right style="thin">
        <color rgb="FF808080"/>
      </right>
      <top style="thin">
        <color rgb="FF000000"/>
      </top>
      <bottom style="thin">
        <color rgb="FF808080"/>
      </bottom>
      <diagonal/>
    </border>
    <border>
      <left style="thin">
        <color rgb="FF808080"/>
      </left>
      <right style="thin">
        <color rgb="FF000000"/>
      </right>
      <top style="thin">
        <color rgb="FF000000"/>
      </top>
      <bottom style="thin">
        <color rgb="FF808080"/>
      </bottom>
      <diagonal/>
    </border>
    <border>
      <left/>
      <right/>
      <top style="thin">
        <color rgb="FF000000"/>
      </top>
      <bottom style="thin">
        <color rgb="FF808080"/>
      </bottom>
      <diagonal/>
    </border>
    <border>
      <left style="thin">
        <color rgb="FF000000"/>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color rgb="FF000000"/>
      </right>
      <top style="thin">
        <color rgb="FF808080"/>
      </top>
      <bottom style="thin">
        <color rgb="FF808080"/>
      </bottom>
      <diagonal/>
    </border>
    <border>
      <left/>
      <right/>
      <top style="thin">
        <color rgb="FF808080"/>
      </top>
      <bottom style="thin">
        <color rgb="FF808080"/>
      </bottom>
      <diagonal/>
    </border>
    <border>
      <left style="thin">
        <color rgb="FF000000"/>
      </left>
      <right style="thin">
        <color rgb="FF808080"/>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808080"/>
      </left>
      <right style="thin">
        <color rgb="FF000000"/>
      </right>
      <top style="thin">
        <color rgb="FF808080"/>
      </top>
      <bottom style="thin">
        <color rgb="FF000000"/>
      </bottom>
      <diagonal/>
    </border>
    <border>
      <left/>
      <right/>
      <top style="thin">
        <color rgb="FF808080"/>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s>
  <cellStyleXfs count="5">
    <xf numFmtId="0" fontId="0" fillId="0" borderId="0"/>
    <xf numFmtId="0" fontId="2" fillId="0" borderId="0" applyNumberFormat="0" applyBorder="0" applyAlignment="0"/>
    <xf numFmtId="9" fontId="5" fillId="0" borderId="0" applyFont="0" applyFill="0" applyBorder="0" applyAlignment="0" applyProtection="0"/>
    <xf numFmtId="0" fontId="5" fillId="0" borderId="0"/>
    <xf numFmtId="0" fontId="24" fillId="11" borderId="0" applyNumberFormat="0" applyBorder="0" applyAlignment="0" applyProtection="0"/>
  </cellStyleXfs>
  <cellXfs count="254">
    <xf numFmtId="0" fontId="0" fillId="0" borderId="0" xfId="0"/>
    <xf numFmtId="0" fontId="1" fillId="2" borderId="0" xfId="0" applyFont="1" applyFill="1" applyAlignment="1">
      <alignment vertical="center"/>
    </xf>
    <xf numFmtId="0" fontId="1" fillId="2" borderId="0" xfId="0" applyFont="1" applyFill="1" applyAlignment="1">
      <alignment vertical="center" wrapText="1"/>
    </xf>
    <xf numFmtId="166" fontId="3" fillId="0" borderId="0" xfId="1" applyNumberFormat="1" applyFont="1" applyBorder="1"/>
    <xf numFmtId="0" fontId="4" fillId="2" borderId="0" xfId="0" applyFont="1" applyFill="1" applyAlignment="1">
      <alignment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4" fillId="2" borderId="0" xfId="0" applyFont="1" applyFill="1" applyAlignment="1">
      <alignment horizontal="center" vertical="center" wrapText="1"/>
    </xf>
    <xf numFmtId="10" fontId="6" fillId="0" borderId="0" xfId="0" applyNumberFormat="1" applyFont="1"/>
    <xf numFmtId="10" fontId="0" fillId="0" borderId="0" xfId="0" applyNumberFormat="1"/>
    <xf numFmtId="4" fontId="2" fillId="0" borderId="0" xfId="1" applyNumberFormat="1"/>
    <xf numFmtId="0" fontId="8" fillId="4" borderId="0" xfId="0" applyFont="1" applyFill="1" applyAlignment="1">
      <alignment horizontal="center" vertical="center" wrapText="1"/>
    </xf>
    <xf numFmtId="0" fontId="9" fillId="4" borderId="0" xfId="0" applyFont="1" applyFill="1" applyAlignment="1">
      <alignment horizontal="center" vertical="center" wrapText="1"/>
    </xf>
    <xf numFmtId="0" fontId="8" fillId="4" borderId="0" xfId="0" applyFont="1" applyFill="1" applyAlignment="1">
      <alignment horizontal="center" vertical="center"/>
    </xf>
    <xf numFmtId="0" fontId="4" fillId="2" borderId="5" xfId="0" applyFont="1" applyFill="1" applyBorder="1" applyAlignment="1">
      <alignment horizontal="center" vertical="center" wrapText="1"/>
    </xf>
    <xf numFmtId="0" fontId="4" fillId="2" borderId="5" xfId="0" applyFont="1" applyFill="1" applyBorder="1" applyAlignment="1">
      <alignment vertical="center" wrapText="1"/>
    </xf>
    <xf numFmtId="0" fontId="1" fillId="2" borderId="0"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1" fillId="2" borderId="0" xfId="1" applyFont="1" applyFill="1" applyBorder="1" applyAlignment="1">
      <alignment horizontal="center" vertical="center"/>
    </xf>
    <xf numFmtId="0" fontId="4" fillId="2" borderId="0" xfId="1" applyFont="1" applyFill="1" applyAlignment="1">
      <alignment horizontal="center" vertical="center" wrapText="1"/>
    </xf>
    <xf numFmtId="0" fontId="1" fillId="2" borderId="0" xfId="1" applyFont="1" applyFill="1" applyAlignment="1">
      <alignment horizontal="center" vertical="center" wrapText="1"/>
    </xf>
    <xf numFmtId="166" fontId="2" fillId="0" borderId="0" xfId="1" applyNumberFormat="1" applyBorder="1"/>
    <xf numFmtId="165" fontId="2" fillId="0" borderId="0" xfId="1" applyNumberFormat="1" applyBorder="1"/>
    <xf numFmtId="9" fontId="2" fillId="0" borderId="0" xfId="2" applyFont="1" applyFill="1" applyBorder="1" applyProtection="1"/>
    <xf numFmtId="0" fontId="5" fillId="0" borderId="0" xfId="0" applyFont="1"/>
    <xf numFmtId="164" fontId="2" fillId="0" borderId="0" xfId="1" applyNumberFormat="1" applyBorder="1"/>
    <xf numFmtId="0" fontId="2" fillId="0" borderId="0" xfId="1" applyNumberFormat="1" applyBorder="1"/>
    <xf numFmtId="10" fontId="5" fillId="0" borderId="0" xfId="0" applyNumberFormat="1" applyFont="1"/>
    <xf numFmtId="167" fontId="2" fillId="0" borderId="0" xfId="1" applyNumberFormat="1" applyBorder="1"/>
    <xf numFmtId="10" fontId="2" fillId="0" borderId="0" xfId="2" applyNumberFormat="1" applyFont="1" applyFill="1" applyBorder="1" applyProtection="1"/>
    <xf numFmtId="3" fontId="2" fillId="0" borderId="1" xfId="0" applyNumberFormat="1" applyFont="1" applyBorder="1" applyAlignment="1">
      <alignment horizontal="right" vertical="center" wrapText="1"/>
    </xf>
    <xf numFmtId="0" fontId="2" fillId="0" borderId="1" xfId="0" applyFont="1" applyBorder="1" applyAlignment="1">
      <alignment horizontal="right" vertical="center" wrapText="1"/>
    </xf>
    <xf numFmtId="0" fontId="10" fillId="4" borderId="0" xfId="0" applyFont="1" applyFill="1" applyAlignment="1">
      <alignment horizontal="center" vertical="center" wrapText="1"/>
    </xf>
    <xf numFmtId="166" fontId="2" fillId="0" borderId="0" xfId="0" applyNumberFormat="1" applyFont="1"/>
    <xf numFmtId="165" fontId="2" fillId="0" borderId="0" xfId="0" applyNumberFormat="1" applyFont="1"/>
    <xf numFmtId="164" fontId="2" fillId="0" borderId="0" xfId="0" applyNumberFormat="1" applyFont="1"/>
    <xf numFmtId="4" fontId="2" fillId="0" borderId="0" xfId="1" applyNumberFormat="1" applyBorder="1"/>
    <xf numFmtId="0" fontId="2" fillId="0" borderId="0" xfId="0" applyFont="1" applyAlignment="1">
      <alignment horizontal="right" vertical="center" wrapText="1"/>
    </xf>
    <xf numFmtId="167" fontId="2" fillId="0" borderId="0" xfId="0" applyNumberFormat="1" applyFont="1"/>
    <xf numFmtId="0" fontId="6" fillId="0" borderId="0" xfId="1" applyFont="1" applyBorder="1"/>
    <xf numFmtId="3" fontId="2" fillId="0" borderId="0" xfId="1" applyNumberFormat="1" applyBorder="1"/>
    <xf numFmtId="0" fontId="2" fillId="0" borderId="0" xfId="1" applyBorder="1"/>
    <xf numFmtId="10" fontId="2" fillId="0" borderId="0" xfId="1" applyNumberFormat="1" applyBorder="1"/>
    <xf numFmtId="0" fontId="0" fillId="0" borderId="9" xfId="0" applyBorder="1"/>
    <xf numFmtId="0" fontId="7" fillId="2" borderId="11" xfId="0" applyFont="1" applyFill="1" applyBorder="1"/>
    <xf numFmtId="0" fontId="7" fillId="2" borderId="7" xfId="0" applyFont="1" applyFill="1" applyBorder="1"/>
    <xf numFmtId="0" fontId="0" fillId="0" borderId="6" xfId="0" applyBorder="1"/>
    <xf numFmtId="0" fontId="1" fillId="0" borderId="0" xfId="0" applyFont="1"/>
    <xf numFmtId="0" fontId="0" fillId="2" borderId="6" xfId="0" applyFill="1" applyBorder="1" applyAlignment="1">
      <alignment horizontal="center"/>
    </xf>
    <xf numFmtId="0" fontId="0" fillId="2" borderId="3" xfId="0" applyFill="1" applyBorder="1" applyAlignment="1">
      <alignment horizontal="center"/>
    </xf>
    <xf numFmtId="168" fontId="0" fillId="0" borderId="0" xfId="0" applyNumberFormat="1"/>
    <xf numFmtId="0" fontId="0" fillId="0" borderId="0" xfId="0" applyAlignment="1">
      <alignment vertical="center"/>
    </xf>
    <xf numFmtId="168" fontId="0" fillId="0" borderId="9" xfId="0" applyNumberFormat="1" applyBorder="1"/>
    <xf numFmtId="0" fontId="0" fillId="0" borderId="9" xfId="0" applyBorder="1" applyAlignment="1">
      <alignment vertical="center"/>
    </xf>
    <xf numFmtId="4" fontId="0" fillId="0" borderId="0" xfId="0" applyNumberFormat="1" applyAlignment="1">
      <alignment vertical="center"/>
    </xf>
    <xf numFmtId="4" fontId="0" fillId="0" borderId="9" xfId="0" applyNumberFormat="1" applyBorder="1" applyAlignment="1">
      <alignment vertical="center"/>
    </xf>
    <xf numFmtId="10" fontId="0" fillId="0" borderId="0" xfId="0" applyNumberFormat="1" applyAlignment="1">
      <alignment vertical="center"/>
    </xf>
    <xf numFmtId="10" fontId="0" fillId="0" borderId="9" xfId="0" applyNumberFormat="1" applyBorder="1" applyAlignment="1">
      <alignment vertical="center"/>
    </xf>
    <xf numFmtId="0" fontId="0" fillId="0" borderId="10" xfId="0" applyBorder="1" applyAlignment="1">
      <alignment vertical="center"/>
    </xf>
    <xf numFmtId="0" fontId="0" fillId="0" borderId="8" xfId="0" applyBorder="1" applyAlignment="1">
      <alignment vertical="center"/>
    </xf>
    <xf numFmtId="169" fontId="0" fillId="0" borderId="0" xfId="0" applyNumberFormat="1" applyAlignment="1">
      <alignment vertical="center"/>
    </xf>
    <xf numFmtId="0" fontId="12" fillId="5" borderId="2" xfId="0" applyFont="1" applyFill="1" applyBorder="1"/>
    <xf numFmtId="0" fontId="12" fillId="5" borderId="6" xfId="0" applyFont="1" applyFill="1" applyBorder="1"/>
    <xf numFmtId="0" fontId="12" fillId="5" borderId="4" xfId="0" applyFont="1" applyFill="1" applyBorder="1"/>
    <xf numFmtId="0" fontId="0" fillId="0" borderId="13" xfId="0" applyBorder="1"/>
    <xf numFmtId="0" fontId="0" fillId="0" borderId="10" xfId="0" applyBorder="1"/>
    <xf numFmtId="0" fontId="0" fillId="0" borderId="8" xfId="0" applyBorder="1"/>
    <xf numFmtId="0" fontId="15" fillId="0" borderId="17" xfId="0" applyFont="1" applyBorder="1" applyAlignment="1">
      <alignment horizontal="center"/>
    </xf>
    <xf numFmtId="0" fontId="14" fillId="7" borderId="8" xfId="0" applyFont="1" applyFill="1" applyBorder="1" applyAlignment="1">
      <alignment horizontal="justify" vertical="center" wrapText="1"/>
    </xf>
    <xf numFmtId="0" fontId="14" fillId="6" borderId="7" xfId="0" applyFont="1" applyFill="1" applyBorder="1" applyAlignment="1">
      <alignment horizontal="justify" vertical="center" wrapText="1"/>
    </xf>
    <xf numFmtId="0" fontId="17" fillId="8" borderId="18" xfId="0" applyFont="1" applyFill="1" applyBorder="1" applyAlignment="1">
      <alignment horizontal="left" vertical="center" wrapText="1"/>
    </xf>
    <xf numFmtId="0" fontId="18" fillId="6" borderId="4" xfId="0" applyFont="1" applyFill="1" applyBorder="1" applyAlignment="1">
      <alignment horizontal="justify" vertical="center" wrapText="1"/>
    </xf>
    <xf numFmtId="0" fontId="18" fillId="6" borderId="4" xfId="0" applyFont="1" applyFill="1" applyBorder="1" applyAlignment="1">
      <alignment horizontal="left" vertical="top" wrapText="1"/>
    </xf>
    <xf numFmtId="0" fontId="18" fillId="6" borderId="7" xfId="0" applyFont="1" applyFill="1" applyBorder="1" applyAlignment="1">
      <alignment horizontal="left" vertical="center" wrapText="1"/>
    </xf>
    <xf numFmtId="0" fontId="20" fillId="9" borderId="27" xfId="0" applyFont="1" applyFill="1" applyBorder="1" applyAlignment="1" applyProtection="1">
      <alignment horizontal="center" vertical="center" wrapText="1"/>
      <protection locked="0"/>
    </xf>
    <xf numFmtId="0" fontId="20" fillId="9" borderId="28" xfId="0" applyFont="1" applyFill="1" applyBorder="1" applyAlignment="1" applyProtection="1">
      <alignment horizontal="center" vertical="center" wrapText="1"/>
      <protection locked="0"/>
    </xf>
    <xf numFmtId="0" fontId="21" fillId="9" borderId="28" xfId="0" applyFont="1" applyFill="1" applyBorder="1" applyAlignment="1" applyProtection="1">
      <alignment horizontal="center" vertical="center" wrapText="1"/>
      <protection locked="0"/>
    </xf>
    <xf numFmtId="0" fontId="20" fillId="9" borderId="29" xfId="0" applyFont="1" applyFill="1" applyBorder="1" applyAlignment="1" applyProtection="1">
      <alignment horizontal="center" vertical="center" wrapText="1"/>
      <protection locked="0"/>
    </xf>
    <xf numFmtId="0" fontId="3" fillId="0" borderId="30" xfId="0" applyFont="1" applyBorder="1" applyAlignment="1" applyProtection="1">
      <alignment horizontal="center" vertical="center"/>
      <protection locked="0"/>
    </xf>
    <xf numFmtId="0" fontId="3" fillId="0" borderId="18" xfId="0" applyFont="1" applyBorder="1" applyAlignment="1" applyProtection="1">
      <alignment horizontal="center" vertical="center"/>
      <protection locked="0"/>
    </xf>
    <xf numFmtId="0" fontId="3" fillId="0" borderId="31" xfId="0" applyFont="1" applyBorder="1" applyAlignment="1" applyProtection="1">
      <alignment horizontal="center" vertical="center"/>
      <protection locked="0"/>
    </xf>
    <xf numFmtId="0" fontId="3" fillId="0" borderId="32" xfId="0" applyFont="1" applyBorder="1" applyAlignment="1" applyProtection="1">
      <alignment horizontal="center" vertical="center"/>
      <protection locked="0"/>
    </xf>
    <xf numFmtId="0" fontId="23" fillId="0" borderId="0" xfId="3" applyFont="1"/>
    <xf numFmtId="0" fontId="2" fillId="0" borderId="0" xfId="3" applyFont="1"/>
    <xf numFmtId="0" fontId="5" fillId="0" borderId="0" xfId="3"/>
    <xf numFmtId="0" fontId="3" fillId="0" borderId="0" xfId="3" applyFont="1"/>
    <xf numFmtId="3" fontId="3" fillId="0" borderId="0" xfId="3" applyNumberFormat="1" applyFont="1"/>
    <xf numFmtId="0" fontId="23" fillId="10" borderId="34" xfId="3" applyFont="1" applyFill="1" applyBorder="1" applyAlignment="1">
      <alignment horizontal="center"/>
    </xf>
    <xf numFmtId="0" fontId="23" fillId="10" borderId="34" xfId="3" applyFont="1" applyFill="1" applyBorder="1" applyAlignment="1">
      <alignment horizontal="right"/>
    </xf>
    <xf numFmtId="0" fontId="3" fillId="0" borderId="34" xfId="3" applyFont="1" applyBorder="1"/>
    <xf numFmtId="3" fontId="3" fillId="0" borderId="34" xfId="3" applyNumberFormat="1" applyFont="1" applyBorder="1"/>
    <xf numFmtId="10" fontId="3" fillId="0" borderId="34" xfId="3" applyNumberFormat="1" applyFont="1" applyBorder="1"/>
    <xf numFmtId="0" fontId="3" fillId="0" borderId="40" xfId="3" applyFont="1" applyBorder="1" applyAlignment="1">
      <alignment horizontal="right"/>
    </xf>
    <xf numFmtId="4" fontId="3" fillId="0" borderId="41" xfId="3" applyNumberFormat="1" applyFont="1" applyBorder="1" applyAlignment="1">
      <alignment horizontal="right"/>
    </xf>
    <xf numFmtId="15" fontId="3" fillId="0" borderId="42" xfId="3" applyNumberFormat="1" applyFont="1" applyBorder="1" applyAlignment="1">
      <alignment horizontal="right"/>
    </xf>
    <xf numFmtId="3" fontId="3" fillId="0" borderId="41" xfId="3" applyNumberFormat="1" applyFont="1" applyBorder="1" applyAlignment="1">
      <alignment horizontal="right"/>
    </xf>
    <xf numFmtId="15" fontId="3" fillId="0" borderId="41" xfId="3" applyNumberFormat="1" applyFont="1" applyBorder="1" applyAlignment="1">
      <alignment horizontal="right"/>
    </xf>
    <xf numFmtId="0" fontId="3" fillId="0" borderId="41" xfId="3" applyFont="1" applyBorder="1" applyAlignment="1">
      <alignment horizontal="right"/>
    </xf>
    <xf numFmtId="3" fontId="3" fillId="0" borderId="42" xfId="3" applyNumberFormat="1" applyFont="1" applyBorder="1" applyAlignment="1">
      <alignment horizontal="right"/>
    </xf>
    <xf numFmtId="0" fontId="3" fillId="0" borderId="43" xfId="3" applyFont="1" applyBorder="1" applyAlignment="1">
      <alignment horizontal="right"/>
    </xf>
    <xf numFmtId="0" fontId="3" fillId="0" borderId="42" xfId="3" applyFont="1" applyBorder="1" applyAlignment="1">
      <alignment horizontal="right"/>
    </xf>
    <xf numFmtId="10" fontId="3" fillId="0" borderId="41" xfId="3" applyNumberFormat="1" applyFont="1" applyBorder="1" applyAlignment="1">
      <alignment horizontal="right"/>
    </xf>
    <xf numFmtId="0" fontId="3" fillId="0" borderId="44" xfId="3" applyFont="1" applyBorder="1" applyAlignment="1">
      <alignment horizontal="right"/>
    </xf>
    <xf numFmtId="4" fontId="3" fillId="0" borderId="45" xfId="3" applyNumberFormat="1" applyFont="1" applyBorder="1" applyAlignment="1">
      <alignment horizontal="right"/>
    </xf>
    <xf numFmtId="15" fontId="3" fillId="0" borderId="46" xfId="3" applyNumberFormat="1" applyFont="1" applyBorder="1" applyAlignment="1">
      <alignment horizontal="right"/>
    </xf>
    <xf numFmtId="3" fontId="3" fillId="0" borderId="45" xfId="3" applyNumberFormat="1" applyFont="1" applyBorder="1" applyAlignment="1">
      <alignment horizontal="right"/>
    </xf>
    <xf numFmtId="15" fontId="3" fillId="0" borderId="45" xfId="3" applyNumberFormat="1" applyFont="1" applyBorder="1" applyAlignment="1">
      <alignment horizontal="right"/>
    </xf>
    <xf numFmtId="0" fontId="3" fillId="0" borderId="45" xfId="3" applyFont="1" applyBorder="1" applyAlignment="1">
      <alignment horizontal="right"/>
    </xf>
    <xf numFmtId="3" fontId="3" fillId="0" borderId="46" xfId="3" applyNumberFormat="1" applyFont="1" applyBorder="1" applyAlignment="1">
      <alignment horizontal="right"/>
    </xf>
    <xf numFmtId="0" fontId="3" fillId="0" borderId="47" xfId="3" applyFont="1" applyBorder="1" applyAlignment="1">
      <alignment horizontal="right"/>
    </xf>
    <xf numFmtId="0" fontId="3" fillId="0" borderId="46" xfId="3" applyFont="1" applyBorder="1" applyAlignment="1">
      <alignment horizontal="right"/>
    </xf>
    <xf numFmtId="10" fontId="3" fillId="0" borderId="45" xfId="3" applyNumberFormat="1" applyFont="1" applyBorder="1" applyAlignment="1">
      <alignment horizontal="right"/>
    </xf>
    <xf numFmtId="0" fontId="3" fillId="0" borderId="48" xfId="3" applyFont="1" applyBorder="1" applyAlignment="1">
      <alignment horizontal="right"/>
    </xf>
    <xf numFmtId="4" fontId="3" fillId="0" borderId="49" xfId="3" applyNumberFormat="1" applyFont="1" applyBorder="1" applyAlignment="1">
      <alignment horizontal="right"/>
    </xf>
    <xf numFmtId="0" fontId="3" fillId="0" borderId="50" xfId="3" applyFont="1" applyBorder="1" applyAlignment="1">
      <alignment horizontal="right"/>
    </xf>
    <xf numFmtId="3" fontId="3" fillId="0" borderId="49" xfId="3" applyNumberFormat="1" applyFont="1" applyBorder="1" applyAlignment="1">
      <alignment horizontal="right"/>
    </xf>
    <xf numFmtId="0" fontId="3" fillId="0" borderId="49" xfId="3" applyFont="1" applyBorder="1" applyAlignment="1">
      <alignment horizontal="right"/>
    </xf>
    <xf numFmtId="3" fontId="3" fillId="0" borderId="50" xfId="3" applyNumberFormat="1" applyFont="1" applyBorder="1" applyAlignment="1">
      <alignment horizontal="right"/>
    </xf>
    <xf numFmtId="0" fontId="3" fillId="0" borderId="51" xfId="3" applyFont="1" applyBorder="1" applyAlignment="1">
      <alignment horizontal="right"/>
    </xf>
    <xf numFmtId="10" fontId="3" fillId="0" borderId="49" xfId="3" applyNumberFormat="1" applyFont="1" applyBorder="1" applyAlignment="1">
      <alignment horizontal="right"/>
    </xf>
    <xf numFmtId="0" fontId="8" fillId="0" borderId="0" xfId="3" applyFont="1" applyAlignment="1">
      <alignment horizontal="center"/>
    </xf>
    <xf numFmtId="0" fontId="23" fillId="10" borderId="36" xfId="3" applyFont="1" applyFill="1" applyBorder="1" applyAlignment="1">
      <alignment horizontal="right"/>
    </xf>
    <xf numFmtId="0" fontId="23" fillId="10" borderId="53" xfId="3" applyFont="1" applyFill="1" applyBorder="1" applyAlignment="1">
      <alignment horizontal="right"/>
    </xf>
    <xf numFmtId="15" fontId="3" fillId="0" borderId="34" xfId="3" applyNumberFormat="1" applyFont="1" applyBorder="1"/>
    <xf numFmtId="4" fontId="3" fillId="0" borderId="34" xfId="3" applyNumberFormat="1" applyFont="1" applyBorder="1"/>
    <xf numFmtId="10" fontId="3" fillId="0" borderId="53" xfId="3" applyNumberFormat="1" applyFont="1" applyBorder="1"/>
    <xf numFmtId="0" fontId="20" fillId="0" borderId="0" xfId="0" applyFont="1" applyAlignment="1" applyProtection="1">
      <alignment horizontal="center" vertical="center" wrapText="1"/>
      <protection locked="0"/>
    </xf>
    <xf numFmtId="0" fontId="21" fillId="0" borderId="0" xfId="0" applyFont="1" applyAlignment="1" applyProtection="1">
      <alignment horizontal="center" vertical="center" wrapText="1"/>
      <protection locked="0"/>
    </xf>
    <xf numFmtId="0" fontId="15" fillId="0" borderId="17" xfId="0" applyFont="1" applyBorder="1" applyAlignment="1">
      <alignment horizontal="centerContinuous"/>
    </xf>
    <xf numFmtId="0" fontId="15" fillId="0" borderId="0" xfId="0" applyFont="1" applyAlignment="1">
      <alignment horizontal="center"/>
    </xf>
    <xf numFmtId="170" fontId="0" fillId="0" borderId="0" xfId="0" applyNumberFormat="1"/>
    <xf numFmtId="0" fontId="24" fillId="11" borderId="0" xfId="4" applyAlignment="1">
      <alignment wrapText="1"/>
    </xf>
    <xf numFmtId="0" fontId="24" fillId="11" borderId="0" xfId="4" applyAlignment="1">
      <alignment horizontal="center" vertical="center" wrapText="1"/>
    </xf>
    <xf numFmtId="0" fontId="0" fillId="7" borderId="0" xfId="0" applyFill="1"/>
    <xf numFmtId="0" fontId="0" fillId="7" borderId="10" xfId="0" applyFill="1" applyBorder="1"/>
    <xf numFmtId="2" fontId="0" fillId="0" borderId="0" xfId="0" applyNumberFormat="1"/>
    <xf numFmtId="11" fontId="0" fillId="0" borderId="0" xfId="0" applyNumberFormat="1"/>
    <xf numFmtId="0" fontId="26" fillId="0" borderId="0" xfId="0" applyFont="1"/>
    <xf numFmtId="0" fontId="0" fillId="0" borderId="4" xfId="0" applyBorder="1"/>
    <xf numFmtId="0" fontId="0" fillId="5" borderId="3" xfId="0" applyFill="1" applyBorder="1"/>
    <xf numFmtId="0" fontId="0" fillId="5" borderId="10" xfId="0" applyFill="1" applyBorder="1"/>
    <xf numFmtId="0" fontId="28" fillId="14" borderId="6" xfId="0" applyFont="1" applyFill="1" applyBorder="1" applyAlignment="1">
      <alignment horizontal="justify" vertical="center" wrapText="1"/>
    </xf>
    <xf numFmtId="0" fontId="2" fillId="0" borderId="0" xfId="1" applyAlignment="1">
      <alignment horizontal="center" vertical="center" wrapText="1"/>
    </xf>
    <xf numFmtId="0" fontId="2" fillId="0" borderId="0" xfId="1" applyAlignment="1">
      <alignment horizontal="center"/>
    </xf>
    <xf numFmtId="0" fontId="2" fillId="0" borderId="0" xfId="1" applyAlignment="1"/>
    <xf numFmtId="0" fontId="2" fillId="0" borderId="0" xfId="1" applyBorder="1" applyAlignment="1">
      <alignment vertical="center"/>
    </xf>
    <xf numFmtId="0" fontId="3" fillId="0" borderId="6" xfId="0" applyFont="1" applyBorder="1" applyAlignment="1" applyProtection="1">
      <alignment horizontal="center" vertical="center"/>
      <protection locked="0"/>
    </xf>
    <xf numFmtId="0" fontId="3" fillId="0" borderId="6" xfId="0" applyFont="1" applyBorder="1" applyAlignment="1" applyProtection="1">
      <alignment horizontal="left" vertical="center"/>
      <protection locked="0"/>
    </xf>
    <xf numFmtId="0" fontId="3" fillId="0" borderId="59" xfId="0" applyFont="1" applyBorder="1" applyAlignment="1" applyProtection="1">
      <alignment horizontal="center" vertical="center"/>
      <protection locked="0"/>
    </xf>
    <xf numFmtId="0" fontId="20" fillId="9" borderId="60" xfId="0" applyFont="1" applyFill="1" applyBorder="1" applyAlignment="1" applyProtection="1">
      <alignment horizontal="center" vertical="center" wrapText="1"/>
      <protection locked="0"/>
    </xf>
    <xf numFmtId="0" fontId="21" fillId="9" borderId="60" xfId="0" applyFont="1" applyFill="1" applyBorder="1" applyAlignment="1" applyProtection="1">
      <alignment horizontal="center" vertical="center" wrapText="1"/>
      <protection locked="0"/>
    </xf>
    <xf numFmtId="0" fontId="20" fillId="9" borderId="61" xfId="0" applyFont="1" applyFill="1" applyBorder="1" applyAlignment="1" applyProtection="1">
      <alignment horizontal="center" vertical="center" wrapText="1"/>
      <protection locked="0"/>
    </xf>
    <xf numFmtId="0" fontId="20" fillId="9" borderId="62" xfId="0" applyFont="1" applyFill="1" applyBorder="1" applyAlignment="1" applyProtection="1">
      <alignment horizontal="center" vertical="center" wrapText="1"/>
      <protection locked="0"/>
    </xf>
    <xf numFmtId="0" fontId="1" fillId="0" borderId="6" xfId="0" applyFont="1" applyBorder="1"/>
    <xf numFmtId="0" fontId="1" fillId="12" borderId="6" xfId="0" applyFont="1" applyFill="1" applyBorder="1" applyAlignment="1">
      <alignment horizontal="center" vertical="top"/>
    </xf>
    <xf numFmtId="0" fontId="1" fillId="0" borderId="6" xfId="0" applyFont="1" applyBorder="1" applyAlignment="1">
      <alignment horizontal="center" vertical="top"/>
    </xf>
    <xf numFmtId="0" fontId="1" fillId="7" borderId="0" xfId="0" applyFont="1" applyFill="1" applyAlignment="1">
      <alignment horizontal="center"/>
    </xf>
    <xf numFmtId="0" fontId="1" fillId="7" borderId="10" xfId="0" applyFont="1" applyFill="1" applyBorder="1" applyAlignment="1">
      <alignment horizontal="center"/>
    </xf>
    <xf numFmtId="0" fontId="1" fillId="0" borderId="8" xfId="0" applyFont="1" applyBorder="1"/>
    <xf numFmtId="0" fontId="0" fillId="0" borderId="7" xfId="0" applyBorder="1"/>
    <xf numFmtId="0" fontId="0" fillId="0" borderId="2" xfId="0" applyBorder="1"/>
    <xf numFmtId="0" fontId="0" fillId="0" borderId="56" xfId="0" applyBorder="1"/>
    <xf numFmtId="0" fontId="0" fillId="0" borderId="57" xfId="0" applyBorder="1"/>
    <xf numFmtId="0" fontId="0" fillId="0" borderId="55" xfId="0" applyBorder="1"/>
    <xf numFmtId="0" fontId="5" fillId="0" borderId="0" xfId="0" applyFont="1" applyAlignment="1">
      <alignment horizontal="center"/>
    </xf>
    <xf numFmtId="0" fontId="3" fillId="0" borderId="33" xfId="0" applyFont="1" applyBorder="1" applyAlignment="1" applyProtection="1">
      <alignment horizontal="center" vertical="center"/>
      <protection locked="0"/>
    </xf>
    <xf numFmtId="0" fontId="13" fillId="3" borderId="12" xfId="0" applyFont="1" applyFill="1" applyBorder="1"/>
    <xf numFmtId="0" fontId="13" fillId="3" borderId="13" xfId="0" applyFont="1" applyFill="1" applyBorder="1"/>
    <xf numFmtId="0" fontId="13" fillId="3" borderId="11" xfId="0" applyFont="1" applyFill="1" applyBorder="1"/>
    <xf numFmtId="0" fontId="13" fillId="3" borderId="9" xfId="0" applyFont="1" applyFill="1" applyBorder="1"/>
    <xf numFmtId="0" fontId="13" fillId="3" borderId="7" xfId="0" applyFont="1" applyFill="1" applyBorder="1"/>
    <xf numFmtId="0" fontId="13" fillId="3" borderId="8" xfId="0" applyFont="1" applyFill="1" applyBorder="1"/>
    <xf numFmtId="0" fontId="10" fillId="3" borderId="16" xfId="0" applyFont="1" applyFill="1" applyBorder="1" applyAlignment="1">
      <alignment wrapText="1"/>
    </xf>
    <xf numFmtId="0" fontId="10" fillId="3" borderId="14" xfId="0" applyFont="1" applyFill="1" applyBorder="1" applyAlignment="1">
      <alignment wrapText="1"/>
    </xf>
    <xf numFmtId="0" fontId="10" fillId="3" borderId="15" xfId="0" applyFont="1" applyFill="1" applyBorder="1" applyAlignment="1">
      <alignment wrapText="1"/>
    </xf>
    <xf numFmtId="0" fontId="11" fillId="3" borderId="12" xfId="0" applyFont="1" applyFill="1" applyBorder="1"/>
    <xf numFmtId="0" fontId="11" fillId="3" borderId="0" xfId="0" applyFont="1" applyFill="1"/>
    <xf numFmtId="0" fontId="11" fillId="3" borderId="58" xfId="0" applyFont="1" applyFill="1" applyBorder="1"/>
    <xf numFmtId="0" fontId="11" fillId="3" borderId="9" xfId="0" applyFont="1" applyFill="1" applyBorder="1"/>
    <xf numFmtId="0" fontId="11" fillId="3" borderId="13" xfId="0" applyFont="1" applyFill="1" applyBorder="1"/>
    <xf numFmtId="0" fontId="11" fillId="3" borderId="10" xfId="0" applyFont="1" applyFill="1" applyBorder="1"/>
    <xf numFmtId="0" fontId="11" fillId="3" borderId="8" xfId="0" applyFont="1" applyFill="1" applyBorder="1"/>
    <xf numFmtId="0" fontId="12" fillId="5" borderId="2" xfId="0" applyFont="1" applyFill="1" applyBorder="1" applyAlignment="1">
      <alignment horizontal="center"/>
    </xf>
    <xf numFmtId="0" fontId="12" fillId="5" borderId="3"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19" fillId="9" borderId="2" xfId="0" applyFont="1" applyFill="1" applyBorder="1" applyAlignment="1" applyProtection="1">
      <alignment horizontal="center" vertical="center" wrapText="1"/>
      <protection locked="0"/>
    </xf>
    <xf numFmtId="0" fontId="19" fillId="9" borderId="3" xfId="0" applyFont="1" applyFill="1" applyBorder="1" applyAlignment="1" applyProtection="1">
      <alignment horizontal="center" vertical="center" wrapText="1"/>
      <protection locked="0"/>
    </xf>
    <xf numFmtId="0" fontId="19" fillId="9" borderId="4" xfId="0" applyFont="1" applyFill="1" applyBorder="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1" fillId="15" borderId="21" xfId="0" applyFont="1" applyFill="1" applyBorder="1" applyAlignment="1">
      <alignment horizontal="center" wrapText="1"/>
    </xf>
    <xf numFmtId="0" fontId="1" fillId="15" borderId="22" xfId="0" applyFont="1" applyFill="1" applyBorder="1" applyAlignment="1">
      <alignment horizontal="center" wrapText="1"/>
    </xf>
    <xf numFmtId="0" fontId="1" fillId="15" borderId="0" xfId="0" applyFont="1" applyFill="1" applyAlignment="1">
      <alignment horizontal="center" wrapText="1"/>
    </xf>
    <xf numFmtId="0" fontId="1" fillId="15" borderId="23" xfId="0" applyFont="1" applyFill="1" applyBorder="1" applyAlignment="1">
      <alignment horizontal="center" wrapText="1"/>
    </xf>
    <xf numFmtId="0" fontId="1" fillId="15" borderId="24" xfId="0" applyFont="1" applyFill="1" applyBorder="1" applyAlignment="1">
      <alignment horizontal="center" wrapText="1"/>
    </xf>
    <xf numFmtId="0" fontId="1" fillId="15" borderId="25" xfId="0" applyFont="1" applyFill="1" applyBorder="1" applyAlignment="1">
      <alignment horizontal="center" wrapText="1"/>
    </xf>
    <xf numFmtId="0" fontId="1" fillId="15" borderId="26" xfId="0" applyFont="1" applyFill="1" applyBorder="1" applyAlignment="1">
      <alignment horizontal="center" wrapText="1"/>
    </xf>
    <xf numFmtId="0" fontId="16" fillId="6" borderId="19" xfId="0" applyFont="1" applyFill="1" applyBorder="1" applyAlignment="1">
      <alignment horizontal="center" wrapText="1"/>
    </xf>
    <xf numFmtId="0" fontId="16" fillId="6" borderId="20" xfId="0" applyFont="1" applyFill="1" applyBorder="1" applyAlignment="1">
      <alignment horizontal="center" wrapText="1"/>
    </xf>
    <xf numFmtId="0" fontId="16" fillId="6" borderId="21" xfId="0" applyFont="1" applyFill="1" applyBorder="1" applyAlignment="1">
      <alignment horizontal="center" wrapText="1"/>
    </xf>
    <xf numFmtId="0" fontId="25" fillId="3" borderId="0" xfId="0" applyFont="1" applyFill="1" applyAlignment="1">
      <alignment horizontal="center" vertical="center"/>
    </xf>
    <xf numFmtId="0" fontId="1" fillId="2" borderId="10" xfId="0" applyFont="1" applyFill="1" applyBorder="1" applyAlignment="1">
      <alignment horizontal="center"/>
    </xf>
    <xf numFmtId="0" fontId="27" fillId="13" borderId="55" xfId="0" applyFont="1" applyFill="1" applyBorder="1" applyAlignment="1">
      <alignment horizontal="center" vertical="center" textRotation="90"/>
    </xf>
    <xf numFmtId="0" fontId="27" fillId="13" borderId="56" xfId="0" applyFont="1" applyFill="1" applyBorder="1" applyAlignment="1">
      <alignment horizontal="center" vertical="center" textRotation="90"/>
    </xf>
    <xf numFmtId="0" fontId="27" fillId="13" borderId="12" xfId="0" applyFont="1" applyFill="1" applyBorder="1" applyAlignment="1">
      <alignment horizontal="center" vertical="center" textRotation="90"/>
    </xf>
    <xf numFmtId="0" fontId="27" fillId="13" borderId="9" xfId="0" applyFont="1" applyFill="1" applyBorder="1" applyAlignment="1">
      <alignment horizontal="center" vertical="center" textRotation="90"/>
    </xf>
    <xf numFmtId="0" fontId="27" fillId="13" borderId="13" xfId="0" applyFont="1" applyFill="1" applyBorder="1" applyAlignment="1">
      <alignment horizontal="center" vertical="center" textRotation="90"/>
    </xf>
    <xf numFmtId="0" fontId="27" fillId="13" borderId="8" xfId="0" applyFont="1" applyFill="1" applyBorder="1" applyAlignment="1">
      <alignment horizontal="center" vertical="center" textRotation="90"/>
    </xf>
    <xf numFmtId="0" fontId="30" fillId="14" borderId="57" xfId="0" applyFont="1" applyFill="1" applyBorder="1" applyAlignment="1">
      <alignment horizontal="justify" vertical="center" wrapText="1"/>
    </xf>
    <xf numFmtId="0" fontId="30" fillId="14" borderId="7" xfId="0" applyFont="1" applyFill="1" applyBorder="1" applyAlignment="1">
      <alignment horizontal="justify" vertical="center" wrapText="1"/>
    </xf>
    <xf numFmtId="0" fontId="28" fillId="14" borderId="2" xfId="0" applyFont="1" applyFill="1" applyBorder="1" applyAlignment="1">
      <alignment horizontal="center" vertical="center" wrapText="1"/>
    </xf>
    <xf numFmtId="0" fontId="28" fillId="14" borderId="4" xfId="0" applyFont="1" applyFill="1" applyBorder="1" applyAlignment="1">
      <alignment horizontal="center" vertical="center" wrapText="1"/>
    </xf>
    <xf numFmtId="0" fontId="11" fillId="5" borderId="2" xfId="0" applyFont="1" applyFill="1" applyBorder="1" applyAlignment="1">
      <alignment horizontal="center"/>
    </xf>
    <xf numFmtId="0" fontId="11" fillId="5" borderId="3" xfId="0" applyFont="1" applyFill="1" applyBorder="1" applyAlignment="1">
      <alignment horizontal="center"/>
    </xf>
    <xf numFmtId="0" fontId="11" fillId="5" borderId="4" xfId="0" applyFont="1" applyFill="1" applyBorder="1" applyAlignment="1">
      <alignment horizontal="center"/>
    </xf>
    <xf numFmtId="0" fontId="2" fillId="0" borderId="0" xfId="3" applyFont="1"/>
    <xf numFmtId="0" fontId="2" fillId="0" borderId="53" xfId="3" applyFont="1" applyBorder="1"/>
    <xf numFmtId="0" fontId="2" fillId="0" borderId="54" xfId="3" applyFont="1" applyBorder="1"/>
    <xf numFmtId="0" fontId="2" fillId="0" borderId="52" xfId="3" applyFont="1" applyBorder="1"/>
    <xf numFmtId="0" fontId="8" fillId="0" borderId="0" xfId="3" applyFont="1" applyAlignment="1">
      <alignment horizontal="center"/>
    </xf>
    <xf numFmtId="0" fontId="2" fillId="0" borderId="35" xfId="3" applyFont="1" applyBorder="1"/>
    <xf numFmtId="0" fontId="23" fillId="10" borderId="36" xfId="3" applyFont="1" applyFill="1" applyBorder="1" applyAlignment="1">
      <alignment horizontal="left"/>
    </xf>
    <xf numFmtId="0" fontId="23" fillId="10" borderId="37" xfId="3" applyFont="1" applyFill="1" applyBorder="1" applyAlignment="1">
      <alignment horizontal="left"/>
    </xf>
    <xf numFmtId="0" fontId="23" fillId="10" borderId="38" xfId="3" applyFont="1" applyFill="1" applyBorder="1" applyAlignment="1">
      <alignment horizontal="left"/>
    </xf>
    <xf numFmtId="0" fontId="23" fillId="10" borderId="39" xfId="3" applyFont="1" applyFill="1" applyBorder="1" applyAlignment="1">
      <alignment horizontal="left"/>
    </xf>
    <xf numFmtId="0" fontId="0" fillId="5" borderId="0" xfId="0" applyFill="1" applyBorder="1"/>
    <xf numFmtId="0" fontId="11" fillId="3" borderId="0" xfId="0" applyFont="1" applyFill="1" applyBorder="1"/>
    <xf numFmtId="0" fontId="1" fillId="15" borderId="0" xfId="0" applyFont="1" applyFill="1" applyAlignment="1">
      <alignment horizontal="center" vertical="center" wrapText="1"/>
    </xf>
    <xf numFmtId="0" fontId="32" fillId="16" borderId="0" xfId="0" applyFont="1" applyFill="1" applyAlignment="1">
      <alignment horizontal="center"/>
    </xf>
    <xf numFmtId="0" fontId="28" fillId="2" borderId="57" xfId="0" applyFont="1" applyFill="1" applyBorder="1" applyAlignment="1">
      <alignment horizontal="justify" vertical="center" wrapText="1"/>
    </xf>
    <xf numFmtId="0" fontId="28" fillId="2" borderId="7" xfId="0" applyFont="1" applyFill="1" applyBorder="1" applyAlignment="1">
      <alignment horizontal="justify" vertical="center" wrapText="1"/>
    </xf>
    <xf numFmtId="0" fontId="28" fillId="2" borderId="55" xfId="0" applyFont="1" applyFill="1" applyBorder="1" applyAlignment="1">
      <alignment horizontal="center" vertical="center" wrapText="1"/>
    </xf>
    <xf numFmtId="0" fontId="28" fillId="2" borderId="56" xfId="0" applyFont="1" applyFill="1" applyBorder="1" applyAlignment="1">
      <alignment horizontal="center" vertical="center" wrapText="1"/>
    </xf>
    <xf numFmtId="0" fontId="28" fillId="2" borderId="13" xfId="0" applyFont="1" applyFill="1" applyBorder="1" applyAlignment="1">
      <alignment horizontal="center" vertical="center" wrapText="1"/>
    </xf>
    <xf numFmtId="0" fontId="28" fillId="2" borderId="8" xfId="0" applyFont="1" applyFill="1" applyBorder="1" applyAlignment="1">
      <alignment horizontal="center" vertical="center" wrapText="1"/>
    </xf>
    <xf numFmtId="0" fontId="31" fillId="15" borderId="0" xfId="0" applyFont="1" applyFill="1" applyBorder="1" applyAlignment="1">
      <alignment horizontal="center" vertical="center" wrapText="1"/>
    </xf>
    <xf numFmtId="0" fontId="31" fillId="15" borderId="55" xfId="0" applyFont="1" applyFill="1" applyBorder="1" applyAlignment="1">
      <alignment horizontal="center" vertical="center" wrapText="1"/>
    </xf>
    <xf numFmtId="0" fontId="31" fillId="15" borderId="58" xfId="0" applyFont="1" applyFill="1" applyBorder="1" applyAlignment="1">
      <alignment horizontal="center" vertical="center" wrapText="1"/>
    </xf>
    <xf numFmtId="0" fontId="31" fillId="15" borderId="56" xfId="0" applyFont="1" applyFill="1" applyBorder="1" applyAlignment="1">
      <alignment horizontal="center" vertical="center" wrapText="1"/>
    </xf>
    <xf numFmtId="0" fontId="31" fillId="15" borderId="12" xfId="0" applyFont="1" applyFill="1" applyBorder="1" applyAlignment="1">
      <alignment horizontal="center" vertical="center" wrapText="1"/>
    </xf>
    <xf numFmtId="0" fontId="31" fillId="15" borderId="9" xfId="0" applyFont="1" applyFill="1" applyBorder="1" applyAlignment="1">
      <alignment horizontal="center" vertical="center" wrapText="1"/>
    </xf>
    <xf numFmtId="0" fontId="31" fillId="15" borderId="13" xfId="0" applyFont="1" applyFill="1" applyBorder="1" applyAlignment="1">
      <alignment horizontal="center" vertical="center" wrapText="1"/>
    </xf>
    <xf numFmtId="0" fontId="31" fillId="15" borderId="10" xfId="0" applyFont="1" applyFill="1" applyBorder="1" applyAlignment="1">
      <alignment horizontal="center" vertical="center" wrapText="1"/>
    </xf>
    <xf numFmtId="0" fontId="31" fillId="15" borderId="8" xfId="0" applyFont="1" applyFill="1" applyBorder="1" applyAlignment="1">
      <alignment horizontal="center" vertical="center" wrapText="1"/>
    </xf>
    <xf numFmtId="0" fontId="0" fillId="0" borderId="0" xfId="0" applyFill="1" applyBorder="1"/>
    <xf numFmtId="0" fontId="12" fillId="0" borderId="0" xfId="0" applyFont="1" applyFill="1" applyBorder="1"/>
    <xf numFmtId="0" fontId="13" fillId="0" borderId="0" xfId="0" applyFont="1" applyFill="1" applyBorder="1"/>
    <xf numFmtId="0" fontId="12" fillId="5" borderId="55" xfId="0" applyFont="1" applyFill="1" applyBorder="1"/>
    <xf numFmtId="0" fontId="12" fillId="5" borderId="57" xfId="0" applyFont="1" applyFill="1" applyBorder="1"/>
    <xf numFmtId="0" fontId="12" fillId="5" borderId="56" xfId="0" applyFont="1" applyFill="1" applyBorder="1"/>
    <xf numFmtId="0" fontId="12" fillId="3" borderId="18" xfId="0" applyFont="1" applyFill="1" applyBorder="1"/>
  </cellXfs>
  <cellStyles count="5">
    <cellStyle name="Neutral" xfId="4" builtinId="28"/>
    <cellStyle name="Normal" xfId="0" builtinId="0"/>
    <cellStyle name="Normal 2" xfId="1" xr:uid="{00000000-0005-0000-0000-000002000000}"/>
    <cellStyle name="Normal 2 2" xfId="3" xr:uid="{00000000-0005-0000-0000-000003000000}"/>
    <cellStyle name="Percent" xfId="2" builtinId="5"/>
  </cellStyles>
  <dxfs count="16">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border diagonalUp="0" diagonalDown="0">
        <left style="medium">
          <color indexed="64"/>
        </left>
        <right/>
        <top style="medium">
          <color indexed="64"/>
        </top>
        <bottom style="medium">
          <color indexed="64"/>
        </bottom>
        <vertical style="medium">
          <color indexed="64"/>
        </vertical>
        <horizontal style="medium">
          <color indexed="64"/>
        </horizontal>
      </border>
    </dxf>
    <dxf>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border diagonalUp="0" diagonalDown="0">
        <left/>
        <right style="medium">
          <color indexed="64"/>
        </right>
        <top style="medium">
          <color indexed="64"/>
        </top>
        <bottom style="medium">
          <color indexed="64"/>
        </bottom>
        <vertical style="medium">
          <color indexed="64"/>
        </vertical>
        <horizontal style="medium">
          <color indexed="64"/>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diagonalUp="0" diagonalDown="0">
        <left style="medium">
          <color indexed="64"/>
        </left>
        <right style="medium">
          <color indexed="64"/>
        </right>
        <top/>
        <bottom/>
        <vertical style="medium">
          <color indexed="64"/>
        </vertical>
        <horizontal style="medium">
          <color indexed="64"/>
        </horizontal>
      </border>
    </dxf>
    <dxf>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athak!!/Desktop/rfm%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ntribution"/>
      <sheetName val="Pre-Period"/>
      <sheetName val="Post-Period"/>
      <sheetName val="REG 2"/>
      <sheetName val="Pre-period(stats)"/>
      <sheetName val="Post-period(stats) "/>
      <sheetName val="Rough"/>
      <sheetName val="T-Test"/>
      <sheetName val="KSE 100"/>
    </sheetNames>
    <sheetDataSet>
      <sheetData sheetId="0"/>
      <sheetData sheetId="1"/>
      <sheetData sheetId="2">
        <row r="8">
          <cell r="AB8" t="str">
            <v>Kohinoor</v>
          </cell>
        </row>
        <row r="9">
          <cell r="AB9" t="str">
            <v xml:space="preserve">Kot addu </v>
          </cell>
        </row>
        <row r="10">
          <cell r="AB10" t="str">
            <v xml:space="preserve">Lalpir </v>
          </cell>
        </row>
        <row r="11">
          <cell r="AB11" t="str">
            <v xml:space="preserve">Nishat chunian </v>
          </cell>
        </row>
        <row r="12">
          <cell r="AB12" t="str">
            <v>Nishat Power ltd</v>
          </cell>
        </row>
        <row r="13">
          <cell r="AB13" t="str">
            <v>Pakgen</v>
          </cell>
        </row>
        <row r="14">
          <cell r="AB14" t="str">
            <v xml:space="preserve">Faysal bank </v>
          </cell>
        </row>
        <row r="15">
          <cell r="AB15" t="str">
            <v>Saif power</v>
          </cell>
        </row>
        <row r="16">
          <cell r="AB16" t="str">
            <v xml:space="preserve">Mughal iron and steel </v>
          </cell>
        </row>
        <row r="17">
          <cell r="AB17" t="str">
            <v>Tri star</v>
          </cell>
        </row>
        <row r="18">
          <cell r="AB18" t="str">
            <v>Javedan</v>
          </cell>
        </row>
        <row r="19">
          <cell r="AB19" t="str">
            <v>Pace pak</v>
          </cell>
        </row>
        <row r="20">
          <cell r="AB20" t="str">
            <v xml:space="preserve">TPL prop </v>
          </cell>
        </row>
        <row r="21">
          <cell r="AB21" t="str">
            <v>Dolmen</v>
          </cell>
        </row>
        <row r="22">
          <cell r="AB22" t="str">
            <v>Globe</v>
          </cell>
        </row>
      </sheetData>
      <sheetData sheetId="3">
        <row r="3">
          <cell r="B3">
            <v>7.29</v>
          </cell>
        </row>
      </sheetData>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C2:K17" headerRowCount="0" totalsRowShown="0">
  <tableColumns count="9">
    <tableColumn id="1" xr3:uid="{00000000-0010-0000-0200-000001000000}" name="Column1">
      <calculatedColumnFormula>'Pre-Period'!AF6</calculatedColumnFormula>
    </tableColumn>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C18:K32" headerRowCount="0" totalsRowShown="0" dataDxfId="7">
  <tableColumns count="9">
    <tableColumn id="1" xr3:uid="{00000000-0010-0000-0300-000001000000}" name="Column1">
      <calculatedColumnFormula>'Post-Period'!AF8</calculatedColumnFormula>
    </tableColumn>
    <tableColumn id="2" xr3:uid="{00000000-0010-0000-0300-000002000000}" name="Column2"/>
    <tableColumn id="3" xr3:uid="{00000000-0010-0000-0300-000003000000}" name="Column3" dataDxfId="6">
      <calculatedColumnFormula>LN(AVERAGE('Post-Period'!B4:B46)*'Post-Period'!L4)</calculatedColumnFormula>
    </tableColumn>
    <tableColumn id="4" xr3:uid="{00000000-0010-0000-0300-000004000000}" name="Column4" dataDxfId="5">
      <calculatedColumnFormula>IF('Post-Period'!T4&lt;0,0,LN('Post-Period'!T4*1000))</calculatedColumnFormula>
    </tableColumn>
    <tableColumn id="5" xr3:uid="{00000000-0010-0000-0300-000005000000}" name="Column5" dataDxfId="4">
      <calculatedColumnFormula>(('Post-Period'!R3-'Post-Period'!S3)*1000/('Post-Period'!L3*AVERAGE('Post-Period'!B3:B42)))</calculatedColumnFormula>
    </tableColumn>
    <tableColumn id="6" xr3:uid="{00000000-0010-0000-0300-000006000000}" name="Column6" dataDxfId="3">
      <calculatedColumnFormula>'Post-Period'!U3/'Post-Period'!R3</calculatedColumnFormula>
    </tableColumn>
    <tableColumn id="7" xr3:uid="{00000000-0010-0000-0300-000007000000}" name="Column7" dataDxfId="2">
      <calculatedColumnFormula>AVERAGE('Post-Period'!K3:K42)/'Post-Period'!L3</calculatedColumnFormula>
    </tableColumn>
    <tableColumn id="8" xr3:uid="{00000000-0010-0000-0300-000008000000}" name="Column8" dataDxfId="1">
      <calculatedColumnFormula>'Post-Period'!X3</calculatedColumnFormula>
    </tableColumn>
    <tableColumn id="9" xr3:uid="{00000000-0010-0000-0300-000009000000}" name="Column9" dataDxfId="0">
      <calculatedColumnFormula>_xlfn.STDEV.S('Post-Period'!C3:C42)</calculatedColumnFormula>
    </tableColumn>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F2:I7" headerRowCount="0" totalsRowShown="0">
  <tableColumns count="4">
    <tableColumn id="1" xr3:uid="{00000000-0010-0000-0000-000001000000}" name="Column1"/>
    <tableColumn id="2" xr3:uid="{00000000-0010-0000-0000-000002000000}" name="Column2"/>
    <tableColumn id="3" xr3:uid="{00000000-0010-0000-0000-000003000000}" name="Column3"/>
    <tableColumn id="4" xr3:uid="{00000000-0010-0000-0000-000004000000}" name="Column4" dataDxfId="15"/>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2:D7" headerRowCount="0" totalsRowShown="0" headerRowDxfId="14" tableBorderDxfId="13" totalsRowBorderDxfId="12">
  <tableColumns count="4">
    <tableColumn id="1" xr3:uid="{00000000-0010-0000-0100-000001000000}" name="Column1" dataDxfId="11"/>
    <tableColumn id="2" xr3:uid="{00000000-0010-0000-0100-000002000000}" name="Column2" dataDxfId="10"/>
    <tableColumn id="3" xr3:uid="{00000000-0010-0000-0100-000003000000}" name="Column3" dataDxfId="9"/>
    <tableColumn id="4" xr3:uid="{00000000-0010-0000-0100-000004000000}" name="Column4" dataDxfId="8"/>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F12"/>
  <sheetViews>
    <sheetView workbookViewId="0">
      <selection activeCell="F6" sqref="F6"/>
    </sheetView>
  </sheetViews>
  <sheetFormatPr defaultColWidth="8.81640625" defaultRowHeight="14.5"/>
  <cols>
    <col min="3" max="3" width="31" bestFit="1" customWidth="1"/>
    <col min="4" max="4" width="16" customWidth="1"/>
    <col min="5" max="5" width="19.1796875" customWidth="1"/>
  </cols>
  <sheetData>
    <row r="4" spans="2:6" ht="15" thickBot="1"/>
    <row r="5" spans="2:6" ht="21">
      <c r="C5" s="250" t="s">
        <v>87</v>
      </c>
      <c r="D5" s="251" t="s">
        <v>89</v>
      </c>
      <c r="E5" s="252" t="s">
        <v>88</v>
      </c>
    </row>
    <row r="6" spans="2:6" ht="21">
      <c r="C6" s="253" t="s">
        <v>266</v>
      </c>
      <c r="D6" s="253">
        <v>26074</v>
      </c>
      <c r="E6" s="253">
        <v>97392</v>
      </c>
    </row>
    <row r="7" spans="2:6" ht="21">
      <c r="C7" s="253" t="s">
        <v>90</v>
      </c>
      <c r="D7" s="253">
        <v>26060</v>
      </c>
      <c r="E7" s="253">
        <v>97392</v>
      </c>
    </row>
    <row r="8" spans="2:6" ht="21">
      <c r="C8" s="253" t="s">
        <v>268</v>
      </c>
      <c r="D8" s="253">
        <v>26570</v>
      </c>
      <c r="E8" s="253">
        <v>97398</v>
      </c>
    </row>
    <row r="9" spans="2:6" ht="21">
      <c r="C9" s="253" t="s">
        <v>91</v>
      </c>
      <c r="D9" s="253">
        <v>26658</v>
      </c>
      <c r="E9" s="253">
        <v>97398</v>
      </c>
    </row>
    <row r="10" spans="2:6" ht="21">
      <c r="C10" s="253" t="s">
        <v>282</v>
      </c>
      <c r="D10" s="253">
        <v>26083</v>
      </c>
      <c r="E10" s="253">
        <v>97392</v>
      </c>
    </row>
    <row r="12" spans="2:6" ht="21">
      <c r="B12" s="247"/>
      <c r="C12" s="248"/>
      <c r="D12" s="249"/>
      <c r="E12" s="249"/>
      <c r="F12" s="24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29F8-F930-8A4C-A180-35B298AD13C3}">
  <dimension ref="C11:R32"/>
  <sheetViews>
    <sheetView topLeftCell="A6" zoomScale="54" zoomScaleNormal="109" workbookViewId="0">
      <selection activeCell="H10" sqref="H10"/>
    </sheetView>
  </sheetViews>
  <sheetFormatPr defaultColWidth="10.90625" defaultRowHeight="14.5"/>
  <sheetData>
    <row r="11" spans="3:18">
      <c r="C11" s="51"/>
      <c r="D11" s="51"/>
      <c r="E11" s="51"/>
      <c r="F11" s="51"/>
      <c r="G11" s="51"/>
      <c r="H11" s="51"/>
      <c r="I11" s="51"/>
      <c r="J11" s="51"/>
      <c r="K11" s="51"/>
      <c r="L11" s="51"/>
      <c r="M11" s="51"/>
      <c r="N11" s="51"/>
      <c r="O11" s="51"/>
    </row>
    <row r="12" spans="3:18" ht="15" thickBot="1">
      <c r="C12" s="51"/>
      <c r="D12" s="51"/>
      <c r="E12" s="51"/>
      <c r="F12" s="51"/>
      <c r="G12" s="51"/>
      <c r="H12" s="51"/>
      <c r="I12" s="51"/>
      <c r="J12" s="51"/>
      <c r="K12" s="51"/>
      <c r="L12" s="51"/>
      <c r="M12" s="51"/>
      <c r="N12" s="51"/>
      <c r="O12" s="51"/>
    </row>
    <row r="13" spans="3:18" ht="14.5" customHeight="1">
      <c r="C13" s="51"/>
      <c r="D13" s="51"/>
      <c r="E13" s="51"/>
      <c r="F13" s="239" t="s">
        <v>281</v>
      </c>
      <c r="G13" s="240"/>
      <c r="H13" s="240"/>
      <c r="I13" s="240"/>
      <c r="J13" s="240"/>
      <c r="K13" s="240"/>
      <c r="L13" s="240"/>
      <c r="M13" s="240"/>
      <c r="N13" s="240"/>
      <c r="O13" s="240"/>
      <c r="P13" s="240"/>
      <c r="Q13" s="240"/>
      <c r="R13" s="241"/>
    </row>
    <row r="14" spans="3:18" ht="14.5" customHeight="1">
      <c r="C14" s="51"/>
      <c r="D14" s="51"/>
      <c r="E14" s="51"/>
      <c r="F14" s="242"/>
      <c r="G14" s="238"/>
      <c r="H14" s="238"/>
      <c r="I14" s="238"/>
      <c r="J14" s="238"/>
      <c r="K14" s="238"/>
      <c r="L14" s="238"/>
      <c r="M14" s="238"/>
      <c r="N14" s="238"/>
      <c r="O14" s="238"/>
      <c r="P14" s="238"/>
      <c r="Q14" s="238"/>
      <c r="R14" s="243"/>
    </row>
    <row r="15" spans="3:18" ht="14.5" customHeight="1">
      <c r="C15" s="51"/>
      <c r="D15" s="51"/>
      <c r="E15" s="51"/>
      <c r="F15" s="242"/>
      <c r="G15" s="238"/>
      <c r="H15" s="238"/>
      <c r="I15" s="238"/>
      <c r="J15" s="238"/>
      <c r="K15" s="238"/>
      <c r="L15" s="238"/>
      <c r="M15" s="238"/>
      <c r="N15" s="238"/>
      <c r="O15" s="238"/>
      <c r="P15" s="238"/>
      <c r="Q15" s="238"/>
      <c r="R15" s="243"/>
    </row>
    <row r="16" spans="3:18" ht="14.5" customHeight="1">
      <c r="C16" s="51"/>
      <c r="D16" s="51"/>
      <c r="E16" s="51"/>
      <c r="F16" s="242"/>
      <c r="G16" s="238"/>
      <c r="H16" s="238"/>
      <c r="I16" s="238"/>
      <c r="J16" s="238"/>
      <c r="K16" s="238"/>
      <c r="L16" s="238"/>
      <c r="M16" s="238"/>
      <c r="N16" s="238"/>
      <c r="O16" s="238"/>
      <c r="P16" s="238"/>
      <c r="Q16" s="238"/>
      <c r="R16" s="243"/>
    </row>
    <row r="17" spans="3:18" ht="14.5" customHeight="1">
      <c r="C17" s="51"/>
      <c r="D17" s="51"/>
      <c r="E17" s="51"/>
      <c r="F17" s="242"/>
      <c r="G17" s="238"/>
      <c r="H17" s="238"/>
      <c r="I17" s="238"/>
      <c r="J17" s="238"/>
      <c r="K17" s="238"/>
      <c r="L17" s="238"/>
      <c r="M17" s="238"/>
      <c r="N17" s="238"/>
      <c r="O17" s="238"/>
      <c r="P17" s="238"/>
      <c r="Q17" s="238"/>
      <c r="R17" s="243"/>
    </row>
    <row r="18" spans="3:18" ht="14.5" customHeight="1">
      <c r="C18" s="51"/>
      <c r="D18" s="51"/>
      <c r="E18" s="51"/>
      <c r="F18" s="242"/>
      <c r="G18" s="238"/>
      <c r="H18" s="238"/>
      <c r="I18" s="238"/>
      <c r="J18" s="238"/>
      <c r="K18" s="238"/>
      <c r="L18" s="238"/>
      <c r="M18" s="238"/>
      <c r="N18" s="238"/>
      <c r="O18" s="238"/>
      <c r="P18" s="238"/>
      <c r="Q18" s="238"/>
      <c r="R18" s="243"/>
    </row>
    <row r="19" spans="3:18" ht="14.5" customHeight="1">
      <c r="C19" s="51"/>
      <c r="D19" s="51"/>
      <c r="E19" s="51"/>
      <c r="F19" s="242"/>
      <c r="G19" s="238"/>
      <c r="H19" s="238"/>
      <c r="I19" s="238"/>
      <c r="J19" s="238"/>
      <c r="K19" s="238"/>
      <c r="L19" s="238"/>
      <c r="M19" s="238"/>
      <c r="N19" s="238"/>
      <c r="O19" s="238"/>
      <c r="P19" s="238"/>
      <c r="Q19" s="238"/>
      <c r="R19" s="243"/>
    </row>
    <row r="20" spans="3:18" ht="14.5" customHeight="1">
      <c r="C20" s="51"/>
      <c r="D20" s="51"/>
      <c r="E20" s="51"/>
      <c r="F20" s="242"/>
      <c r="G20" s="238"/>
      <c r="H20" s="238"/>
      <c r="I20" s="238"/>
      <c r="J20" s="238"/>
      <c r="K20" s="238"/>
      <c r="L20" s="238"/>
      <c r="M20" s="238"/>
      <c r="N20" s="238"/>
      <c r="O20" s="238"/>
      <c r="P20" s="238"/>
      <c r="Q20" s="238"/>
      <c r="R20" s="243"/>
    </row>
    <row r="21" spans="3:18" ht="14.5" customHeight="1">
      <c r="C21" s="51"/>
      <c r="D21" s="51"/>
      <c r="E21" s="51"/>
      <c r="F21" s="242"/>
      <c r="G21" s="238"/>
      <c r="H21" s="238"/>
      <c r="I21" s="238"/>
      <c r="J21" s="238"/>
      <c r="K21" s="238"/>
      <c r="L21" s="238"/>
      <c r="M21" s="238"/>
      <c r="N21" s="238"/>
      <c r="O21" s="238"/>
      <c r="P21" s="238"/>
      <c r="Q21" s="238"/>
      <c r="R21" s="243"/>
    </row>
    <row r="22" spans="3:18" ht="14.5" customHeight="1">
      <c r="C22" s="51"/>
      <c r="D22" s="51"/>
      <c r="E22" s="51"/>
      <c r="F22" s="242"/>
      <c r="G22" s="238"/>
      <c r="H22" s="238"/>
      <c r="I22" s="238"/>
      <c r="J22" s="238"/>
      <c r="K22" s="238"/>
      <c r="L22" s="238"/>
      <c r="M22" s="238"/>
      <c r="N22" s="238"/>
      <c r="O22" s="238"/>
      <c r="P22" s="238"/>
      <c r="Q22" s="238"/>
      <c r="R22" s="243"/>
    </row>
    <row r="23" spans="3:18" ht="14.5" customHeight="1">
      <c r="C23" s="51"/>
      <c r="D23" s="51"/>
      <c r="E23" s="51"/>
      <c r="F23" s="242"/>
      <c r="G23" s="238"/>
      <c r="H23" s="238"/>
      <c r="I23" s="238"/>
      <c r="J23" s="238"/>
      <c r="K23" s="238"/>
      <c r="L23" s="238"/>
      <c r="M23" s="238"/>
      <c r="N23" s="238"/>
      <c r="O23" s="238"/>
      <c r="P23" s="238"/>
      <c r="Q23" s="238"/>
      <c r="R23" s="243"/>
    </row>
    <row r="24" spans="3:18" ht="14.5" customHeight="1">
      <c r="C24" s="51"/>
      <c r="D24" s="51"/>
      <c r="E24" s="51"/>
      <c r="F24" s="242"/>
      <c r="G24" s="238"/>
      <c r="H24" s="238"/>
      <c r="I24" s="238"/>
      <c r="J24" s="238"/>
      <c r="K24" s="238"/>
      <c r="L24" s="238"/>
      <c r="M24" s="238"/>
      <c r="N24" s="238"/>
      <c r="O24" s="238"/>
      <c r="P24" s="238"/>
      <c r="Q24" s="238"/>
      <c r="R24" s="243"/>
    </row>
    <row r="25" spans="3:18" ht="14.5" customHeight="1">
      <c r="C25" s="51"/>
      <c r="D25" s="51"/>
      <c r="E25" s="51"/>
      <c r="F25" s="242"/>
      <c r="G25" s="238"/>
      <c r="H25" s="238"/>
      <c r="I25" s="238"/>
      <c r="J25" s="238"/>
      <c r="K25" s="238"/>
      <c r="L25" s="238"/>
      <c r="M25" s="238"/>
      <c r="N25" s="238"/>
      <c r="O25" s="238"/>
      <c r="P25" s="238"/>
      <c r="Q25" s="238"/>
      <c r="R25" s="243"/>
    </row>
    <row r="26" spans="3:18" ht="14.5" customHeight="1">
      <c r="C26" s="51"/>
      <c r="D26" s="51"/>
      <c r="E26" s="51"/>
      <c r="F26" s="242"/>
      <c r="G26" s="238"/>
      <c r="H26" s="238"/>
      <c r="I26" s="238"/>
      <c r="J26" s="238"/>
      <c r="K26" s="238"/>
      <c r="L26" s="238"/>
      <c r="M26" s="238"/>
      <c r="N26" s="238"/>
      <c r="O26" s="238"/>
      <c r="P26" s="238"/>
      <c r="Q26" s="238"/>
      <c r="R26" s="243"/>
    </row>
    <row r="27" spans="3:18" ht="15" customHeight="1">
      <c r="C27" s="51"/>
      <c r="D27" s="51"/>
      <c r="E27" s="51"/>
      <c r="F27" s="242"/>
      <c r="G27" s="238"/>
      <c r="H27" s="238"/>
      <c r="I27" s="238"/>
      <c r="J27" s="238"/>
      <c r="K27" s="238"/>
      <c r="L27" s="238"/>
      <c r="M27" s="238"/>
      <c r="N27" s="238"/>
      <c r="O27" s="238"/>
      <c r="P27" s="238"/>
      <c r="Q27" s="238"/>
      <c r="R27" s="243"/>
    </row>
    <row r="28" spans="3:18">
      <c r="C28" s="51"/>
      <c r="D28" s="51"/>
      <c r="E28" s="51"/>
      <c r="F28" s="242"/>
      <c r="G28" s="238"/>
      <c r="H28" s="238"/>
      <c r="I28" s="238"/>
      <c r="J28" s="238"/>
      <c r="K28" s="238"/>
      <c r="L28" s="238"/>
      <c r="M28" s="238"/>
      <c r="N28" s="238"/>
      <c r="O28" s="238"/>
      <c r="P28" s="238"/>
      <c r="Q28" s="238"/>
      <c r="R28" s="243"/>
    </row>
    <row r="29" spans="3:18">
      <c r="F29" s="242"/>
      <c r="G29" s="238"/>
      <c r="H29" s="238"/>
      <c r="I29" s="238"/>
      <c r="J29" s="238"/>
      <c r="K29" s="238"/>
      <c r="L29" s="238"/>
      <c r="M29" s="238"/>
      <c r="N29" s="238"/>
      <c r="O29" s="238"/>
      <c r="P29" s="238"/>
      <c r="Q29" s="238"/>
      <c r="R29" s="243"/>
    </row>
    <row r="30" spans="3:18">
      <c r="F30" s="242"/>
      <c r="G30" s="238"/>
      <c r="H30" s="238"/>
      <c r="I30" s="238"/>
      <c r="J30" s="238"/>
      <c r="K30" s="238"/>
      <c r="L30" s="238"/>
      <c r="M30" s="238"/>
      <c r="N30" s="238"/>
      <c r="O30" s="238"/>
      <c r="P30" s="238"/>
      <c r="Q30" s="238"/>
      <c r="R30" s="243"/>
    </row>
    <row r="31" spans="3:18">
      <c r="F31" s="242"/>
      <c r="G31" s="238"/>
      <c r="H31" s="238"/>
      <c r="I31" s="238"/>
      <c r="J31" s="238"/>
      <c r="K31" s="238"/>
      <c r="L31" s="238"/>
      <c r="M31" s="238"/>
      <c r="N31" s="238"/>
      <c r="O31" s="238"/>
      <c r="P31" s="238"/>
      <c r="Q31" s="238"/>
      <c r="R31" s="243"/>
    </row>
    <row r="32" spans="3:18" ht="15" thickBot="1">
      <c r="F32" s="244"/>
      <c r="G32" s="245"/>
      <c r="H32" s="245"/>
      <c r="I32" s="245"/>
      <c r="J32" s="245"/>
      <c r="K32" s="245"/>
      <c r="L32" s="245"/>
      <c r="M32" s="245"/>
      <c r="N32" s="245"/>
      <c r="O32" s="245"/>
      <c r="P32" s="245"/>
      <c r="Q32" s="245"/>
      <c r="R32" s="246"/>
    </row>
  </sheetData>
  <mergeCells count="1">
    <mergeCell ref="F13:R3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
  <sheetViews>
    <sheetView tabSelected="1" zoomScale="121" workbookViewId="0">
      <selection activeCell="F2" sqref="F2"/>
    </sheetView>
  </sheetViews>
  <sheetFormatPr defaultColWidth="10.81640625" defaultRowHeight="14.5"/>
  <sheetData>
    <row r="1" spans="1:9" ht="15" thickBot="1"/>
    <row r="2" spans="1:9" ht="15" thickBot="1">
      <c r="A2" s="158" t="s">
        <v>210</v>
      </c>
      <c r="B2" s="159"/>
      <c r="C2" s="159"/>
      <c r="D2" s="64"/>
      <c r="F2" s="153" t="s">
        <v>221</v>
      </c>
      <c r="G2" s="46"/>
      <c r="H2" s="160"/>
      <c r="I2" s="46"/>
    </row>
    <row r="3" spans="1:9" ht="15" thickBot="1">
      <c r="A3" s="138" t="s">
        <v>222</v>
      </c>
      <c r="B3" s="46" t="s">
        <v>223</v>
      </c>
      <c r="C3" s="46" t="s">
        <v>224</v>
      </c>
      <c r="D3" s="160"/>
      <c r="F3" s="46" t="s">
        <v>222</v>
      </c>
      <c r="G3" s="46" t="s">
        <v>223</v>
      </c>
      <c r="H3" s="160" t="s">
        <v>224</v>
      </c>
      <c r="I3" s="46"/>
    </row>
    <row r="4" spans="1:9" ht="15" thickBot="1">
      <c r="A4" s="138" t="s">
        <v>225</v>
      </c>
      <c r="B4" s="46">
        <v>45385</v>
      </c>
      <c r="C4" s="46">
        <v>0.2160083300062787</v>
      </c>
      <c r="D4" s="160"/>
      <c r="F4" s="46" t="s">
        <v>226</v>
      </c>
      <c r="G4" s="46">
        <v>45497</v>
      </c>
      <c r="H4" s="160">
        <v>0.194852</v>
      </c>
      <c r="I4" s="46"/>
    </row>
    <row r="5" spans="1:9" ht="15" thickBot="1">
      <c r="A5" s="138" t="s">
        <v>227</v>
      </c>
      <c r="B5" s="46">
        <v>45399</v>
      </c>
      <c r="C5" s="46">
        <v>0.216363</v>
      </c>
      <c r="D5" s="160"/>
      <c r="F5" s="46" t="s">
        <v>228</v>
      </c>
      <c r="G5" s="46">
        <v>45511</v>
      </c>
      <c r="H5" s="160">
        <v>0.18895899999999999</v>
      </c>
      <c r="I5" s="46"/>
    </row>
    <row r="6" spans="1:9" ht="15" thickBot="1">
      <c r="A6" s="138" t="s">
        <v>229</v>
      </c>
      <c r="B6" s="46">
        <v>45412</v>
      </c>
      <c r="C6" s="46">
        <v>0.21589296553578755</v>
      </c>
      <c r="D6" s="160"/>
      <c r="F6" s="46" t="s">
        <v>230</v>
      </c>
      <c r="G6" s="46">
        <v>45525</v>
      </c>
      <c r="H6" s="160">
        <v>0.17465971056601307</v>
      </c>
      <c r="I6" s="46"/>
    </row>
    <row r="7" spans="1:9" ht="15" thickBot="1">
      <c r="A7" s="161" t="s">
        <v>231</v>
      </c>
      <c r="B7" s="162">
        <v>45427</v>
      </c>
      <c r="C7" s="162">
        <v>0.21571930295616781</v>
      </c>
      <c r="D7" s="163"/>
      <c r="F7" s="46" t="s">
        <v>232</v>
      </c>
      <c r="G7" s="46">
        <v>45539</v>
      </c>
      <c r="H7" s="46">
        <v>0.17410154295764588</v>
      </c>
      <c r="I7" s="46"/>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1:M13"/>
  <sheetViews>
    <sheetView topLeftCell="C1" zoomScale="109" workbookViewId="0">
      <selection activeCell="G11" sqref="G11"/>
    </sheetView>
  </sheetViews>
  <sheetFormatPr defaultColWidth="8.81640625" defaultRowHeight="14.5"/>
  <cols>
    <col min="4" max="4" width="24.1796875" bestFit="1" customWidth="1"/>
    <col min="5" max="5" width="15" customWidth="1"/>
    <col min="6" max="6" width="12.453125" bestFit="1" customWidth="1"/>
    <col min="7" max="7" width="13.1796875" bestFit="1" customWidth="1"/>
    <col min="8" max="9" width="12.453125" bestFit="1" customWidth="1"/>
  </cols>
  <sheetData>
    <row r="1" spans="3:13" ht="15" thickBot="1"/>
    <row r="2" spans="3:13" ht="19" thickBot="1">
      <c r="D2" s="215" t="s">
        <v>85</v>
      </c>
      <c r="E2" s="216"/>
      <c r="F2" s="216"/>
      <c r="G2" s="216"/>
      <c r="H2" s="216"/>
      <c r="I2" s="217"/>
    </row>
    <row r="3" spans="3:13" ht="15" thickBot="1">
      <c r="D3" s="46"/>
      <c r="E3" s="48" t="s">
        <v>60</v>
      </c>
      <c r="F3" s="49" t="s">
        <v>61</v>
      </c>
      <c r="G3" s="48" t="s">
        <v>62</v>
      </c>
      <c r="H3" s="49" t="s">
        <v>63</v>
      </c>
      <c r="I3" s="48" t="s">
        <v>84</v>
      </c>
    </row>
    <row r="4" spans="3:13" ht="15.5">
      <c r="C4" s="47" t="s">
        <v>74</v>
      </c>
      <c r="D4" s="44" t="s">
        <v>64</v>
      </c>
      <c r="E4" s="50">
        <f>AVERAGE('Pre-Period'!$C$3:$C$42,'Pre-Period'!$C$48:$C$87,'Pre-Period'!$C$93:$C$132,'Pre-Period'!$C$138:$C$177,'Pre-Period'!$C$183:$C$222,'Pre-Period'!$C$228:$C$267,'Pre-Period'!$C$272:$C$311,'Pre-Period'!$C$316:$C$355,'Pre-Period'!$C$360:$C$399,'Pre-Period'!$C$404:$C$443,'Pre-Period'!$C$448:$C$487,'Pre-Period'!$C$492:$C$531,'Pre-Period'!$C$536:$C$575,'Pre-Period'!$C$580:$C$619,'Pre-Period'!$C$624:$C$663)</f>
        <v>-9.822531000063296E-4</v>
      </c>
      <c r="F4" s="50">
        <f>MEDIAN('Pre-Period'!$C$3:$C$42,'Pre-Period'!$C$48:$C$87,'Pre-Period'!$C$93:$C$132,'Pre-Period'!$C$138:$C$177,'Pre-Period'!$C$183:$C$222,'Pre-Period'!$C$228:$C$267,'Pre-Period'!$C$272:$C$311,'Pre-Period'!$C$316:$C$355,'Pre-Period'!$C$360:$C$399,'Pre-Period'!$C$404:$C$443,'Pre-Period'!$C$448:$C$487,'Pre-Period'!$C$492:$C$531,'Pre-Period'!$C$536:$C$575,'Pre-Period'!$C$580:$C$619,'Pre-Period'!$C$624:$C$663)</f>
        <v>1.9092562284047846E-4</v>
      </c>
      <c r="G4" s="50">
        <f>MIN('Pre-Period'!$C$3:$C$42,'Pre-Period'!$C$48:$C$87,'Pre-Period'!$C$93:$C$132,'Pre-Period'!$C$138:$C$177,'Pre-Period'!$C$183:$C$222,'Pre-Period'!$C$228:$C$267,'Pre-Period'!$C$272:$C$311,'Pre-Period'!$C$316:$C$355,'Pre-Period'!$C$360:$C$399,'Pre-Period'!$C$404:$C$443,'Pre-Period'!$C$448:$C$487,'Pre-Period'!$C$492:$C$531,'Pre-Period'!$C$536:$C$575,'Pre-Period'!$C$580:$C$619,'Pre-Period'!$C$624:$C$663)</f>
        <v>-1</v>
      </c>
      <c r="H4" s="50">
        <f>MAX('Pre-Period'!$C$3:$C$42,'Pre-Period'!$C$48:$C$87,'Pre-Period'!$C$93:$C$132,'Pre-Period'!$C$138:$C$177,'Pre-Period'!$C$183:$C$222,'Pre-Period'!$C$228:$C$267,'Pre-Period'!$C$272:$C$311,'Pre-Period'!$C$316:$C$355,'Pre-Period'!$C$360:$C$399,'Pre-Period'!$C$404:$C$443,'Pre-Period'!$C$448:$C$487,'Pre-Period'!$C$492:$C$531,'Pre-Period'!$C$536:$C$575,'Pre-Period'!$C$580:$C$619,'Pre-Period'!$C$624:$C$663)</f>
        <v>0.43165089379600424</v>
      </c>
      <c r="I4" s="52">
        <f>_xlfn.STDEV.S('Pre-Period'!$C$3:$C$42,'Pre-Period'!$C$48:$C$87,'Pre-Period'!$C$93:$C$132,'Pre-Period'!$C$138:$C$177,'Pre-Period'!$C$183:$C$222,'Pre-Period'!$C$228:$C$267,'Pre-Period'!$C$272:$C$311,'Pre-Period'!$C$316:$C$355,'Pre-Period'!$C$360:$C$399,'Pre-Period'!$C$404:$C$443,'Pre-Period'!$C$448:$C$487,'Pre-Period'!$C$492:$C$531,'Pre-Period'!$C$536:$C$575,'Pre-Period'!$C$580:$C$619,'Pre-Period'!$C$624:$C$663)</f>
        <v>8.2336165474248948E-2</v>
      </c>
    </row>
    <row r="5" spans="3:13" ht="15.5">
      <c r="C5" s="47" t="s">
        <v>75</v>
      </c>
      <c r="D5" s="44" t="s">
        <v>65</v>
      </c>
      <c r="E5">
        <f>AVERAGE('Pre-Period'!$G$3:$G$42,'Pre-Period'!$G$48:$G$87,'Pre-Period'!$G$93:$G$132,'Pre-Period'!$G$138:$G$177,'Pre-Period'!$G$183:$G$222,'Pre-Period'!$G$228:$G$267,'Pre-Period'!$G$272:$G$311,'Pre-Period'!$G$316:$G$355,'Pre-Period'!$G$360:$G$399,'Pre-Period'!$G$404:$G$443,'Pre-Period'!$G$448:$G$487,'Pre-Period'!$G$492:$G$531,'Pre-Period'!$G$536:$G$575,'Pre-Period'!$G$580:$G$619,'Pre-Period'!$G$624:$G$663)</f>
        <v>3.4830012509098167E-2</v>
      </c>
      <c r="F5">
        <f>MEDIAN('Pre-Period'!$G$3:$G$42,'Pre-Period'!$G$48:$G$87,'Pre-Period'!$G$93:$G$132,'Pre-Period'!$G$138:$G$177,'Pre-Period'!$G$183:$G$222,'Pre-Period'!$G$228:$G$267,'Pre-Period'!$G$272:$G$311,'Pre-Period'!$G$316:$G$355,'Pre-Period'!$G$360:$G$399,'Pre-Period'!$G$404:$G$443,'Pre-Period'!$G$448:$G$487,'Pre-Period'!$G$492:$G$531,'Pre-Period'!$G$536:$G$575,'Pre-Period'!$G$580:$G$619,'Pre-Period'!$G$624:$G$663)</f>
        <v>2.7469413471018868E-2</v>
      </c>
      <c r="G5">
        <f>MIN('Pre-Period'!$G$3:$G$42,'Pre-Period'!$G$48:$G$87,'Pre-Period'!$G$93:$G$132,'Pre-Period'!$G$138:$G$177,'Pre-Period'!$G$183:$G$222,'Pre-Period'!$G$228:$G$267,'Pre-Period'!$G$272:$G$311,'Pre-Period'!$G$316:$G$355,'Pre-Period'!$G$360:$G$399,'Pre-Period'!$G$404:$G$443,'Pre-Period'!$G$448:$G$487,'Pre-Period'!$G$492:$G$531,'Pre-Period'!$G$536:$G$575,'Pre-Period'!$G$580:$G$619,'Pre-Period'!$G$624:$G$663)</f>
        <v>-0.10278701099463043</v>
      </c>
      <c r="H5">
        <f>MAX('Pre-Period'!$G$3:$G$42,'Pre-Period'!$G$48:$G$87,'Pre-Period'!$G$93:$G$132,'Pre-Period'!$G$138:$G$177,'Pre-Period'!$G$183:$G$222,'Pre-Period'!$G$228:$G$267,'Pre-Period'!$G$272:$G$311,'Pre-Period'!$G$316:$G$355,'Pre-Period'!$G$360:$G$399,'Pre-Period'!$G$404:$G$443,'Pre-Period'!$G$448:$G$487,'Pre-Period'!$G$492:$G$531,'Pre-Period'!$G$536:$G$575,'Pre-Period'!$G$580:$G$619,'Pre-Period'!$G$624:$G$663)</f>
        <v>0.39825517993456927</v>
      </c>
      <c r="I5" s="43">
        <f>_xlfn.STDEV.S('Pre-Period'!$G$3:$G$42,'Pre-Period'!$G$48:$G$87,'Pre-Period'!$G$93:$G$132,'Pre-Period'!$G$138:$G$177,'Pre-Period'!$G$183:$G$222,'Pre-Period'!$G$228:$G$267,'Pre-Period'!$G$272:$G$311,'Pre-Period'!$G$316:$G$355,'Pre-Period'!$G$360:$G$399,'Pre-Period'!$G$404:$G$443,'Pre-Period'!$G$448:$G$487,'Pre-Period'!$G$492:$G$531,'Pre-Period'!$G$536:$G$575,'Pre-Period'!$G$580:$G$619,'Pre-Period'!$G$624:$G$663)</f>
        <v>5.4083334021191191E-2</v>
      </c>
    </row>
    <row r="6" spans="3:13" ht="15.5">
      <c r="C6" s="47" t="s">
        <v>76</v>
      </c>
      <c r="D6" s="44" t="s">
        <v>66</v>
      </c>
      <c r="E6">
        <f>AVERAGE('Pre-Period'!$J$3:$J$42,'Pre-Period'!$J$48:$J$87,'Pre-Period'!$J$93:$J$132,'Pre-Period'!$J$138:$J$177,'Pre-Period'!$J$183:$J$222,'Pre-Period'!$J$228:$J$267,'Pre-Period'!$J$272:$J$311,'Pre-Period'!$J$316:$J$355,'Pre-Period'!$J$360:$J$399,'Pre-Period'!$J$404:$J$443,'Pre-Period'!$J$448:$J$487,'Pre-Period'!$J$492:$J$531,'Pre-Period'!$J$536:$J$575,'Pre-Period'!$J$580:$J$619,'Pre-Period'!$J$624:$J$663)</f>
        <v>0.10446075119328532</v>
      </c>
      <c r="F6">
        <f>MEDIAN('Pre-Period'!$J$3:$J$42,'Pre-Period'!$J$48:$J$87,'Pre-Period'!$J$93:$J$132,'Pre-Period'!$J$138:$J$177,'Pre-Period'!$J$183:$J$222,'Pre-Period'!$J$228:$J$267,'Pre-Period'!$J$272:$J$311,'Pre-Period'!$J$316:$J$355,'Pre-Period'!$J$360:$J$399,'Pre-Period'!$J$404:$J$443,'Pre-Period'!$J$448:$J$487,'Pre-Period'!$J$492:$J$531,'Pre-Period'!$J$536:$J$575,'Pre-Period'!$J$580:$J$619,'Pre-Period'!$J$624:$J$663)</f>
        <v>4.5304799291596993E-3</v>
      </c>
      <c r="G6">
        <f>MIN('Pre-Period'!$J$3:$J$42,'Pre-Period'!$J$48:$J$87,'Pre-Period'!$J$93:$J$132,'Pre-Period'!$J$138:$J$177,'Pre-Period'!$J$183:$J$222,'Pre-Period'!$J$228:$J$267,'Pre-Period'!$J$272:$J$311,'Pre-Period'!$J$316:$J$355,'Pre-Period'!$J$360:$J$399,'Pre-Period'!$J$404:$J$443,'Pre-Period'!$J$448:$J$487,'Pre-Period'!$J$492:$J$531,'Pre-Period'!$J$536:$J$575,'Pre-Period'!$J$580:$J$619,'Pre-Period'!$J$624:$J$663)</f>
        <v>-2</v>
      </c>
      <c r="H6">
        <f>MAX('Pre-Period'!$J$3:$J$42,'Pre-Period'!$J$48:$J$87,'Pre-Period'!$J$93:$J$132,'Pre-Period'!$J$138:$J$177,'Pre-Period'!$J$183:$J$222,'Pre-Period'!$J$228:$J$267,'Pre-Period'!$J$272:$J$311,'Pre-Period'!$J$316:$J$355,'Pre-Period'!$J$360:$J$399,'Pre-Period'!$J$404:$J$443,'Pre-Period'!$J$448:$J$487,'Pre-Period'!$J$492:$J$531,'Pre-Period'!$J$536:$J$575,'Pre-Period'!$J$580:$J$619,'Pre-Period'!$J$624:$J$663)</f>
        <v>1.6649626425481714</v>
      </c>
      <c r="I6" s="43">
        <f>_xlfn.STDEV.S('Pre-Period'!$J$3:$J$42,'Pre-Period'!$J$48:$J$87,'Pre-Period'!$J$93:$J$132,'Pre-Period'!$J$138:$J$177,'Pre-Period'!$J$183:$J$222,'Pre-Period'!$J$228:$J$267,'Pre-Period'!$J$272:$J$311,'Pre-Period'!$J$316:$J$355,'Pre-Period'!$J$360:$J$399,'Pre-Period'!$J$404:$J$443,'Pre-Period'!$J$448:$J$487,'Pre-Period'!$J$492:$J$531,'Pre-Period'!$J$536:$J$575,'Pre-Period'!$J$580:$J$619,'Pre-Period'!$J$624:$J$663)</f>
        <v>0.4417592507106835</v>
      </c>
      <c r="K6" s="51"/>
      <c r="L6" s="51"/>
      <c r="M6" s="51"/>
    </row>
    <row r="7" spans="3:13" ht="15.5">
      <c r="C7" s="47" t="s">
        <v>77</v>
      </c>
      <c r="D7" s="44" t="s">
        <v>67</v>
      </c>
      <c r="E7">
        <f>AVERAGE('Pre-Period'!$K$3:$K$42,'Pre-Period'!$K$48:$K$87,'Pre-Period'!$K$93:$K$132,'Pre-Period'!$K$138:$K$177,'Pre-Period'!$K$183:$K$222,'Pre-Period'!$K$228:$K$267,'Pre-Period'!$K$272:$K$311,'Pre-Period'!$K$316:$K$355,'Pre-Period'!$K$360:$K$399,'Pre-Period'!$K$404:$K$443,'Pre-Period'!$K$448:$K$487,'Pre-Period'!$K$492:$K$531,'Pre-Period'!$K$536:$K$575,'Pre-Period'!$K$580:$K$619,'Pre-Period'!$K$624:$K$663)</f>
        <v>1680806.4966101695</v>
      </c>
      <c r="F7">
        <f>MEDIAN('Pre-Period'!$K$3:$K$42,'Pre-Period'!$K$48:$K$87,'Pre-Period'!$K$93:$K$132,'Pre-Period'!$K$138:$K$177,'Pre-Period'!$K$183:$K$222,'Pre-Period'!$K$228:$K$267,'Pre-Period'!$K$272:$K$311,'Pre-Period'!$K$316:$K$355,'Pre-Period'!$K$360:$K$399,'Pre-Period'!$K$404:$K$443,'Pre-Period'!$K$448:$K$487,'Pre-Period'!$K$492:$K$531,'Pre-Period'!$K$536:$K$575,'Pre-Period'!$K$580:$K$619,'Pre-Period'!$K$624:$K$663)</f>
        <v>464664.5</v>
      </c>
      <c r="G7">
        <f>MIN('Pre-Period'!$K$3:$K$42,'Pre-Period'!$K$48:$K$87,'Pre-Period'!$K$93:$K$132,'Pre-Period'!$K$138:$K$177,'Pre-Period'!$K$183:$K$222,'Pre-Period'!$K$228:$K$267,'Pre-Period'!$K$272:$K$311,'Pre-Period'!$K$316:$K$355,'Pre-Period'!$K$360:$K$399,'Pre-Period'!$K$404:$K$443,'Pre-Period'!$K$448:$K$487,'Pre-Period'!$K$492:$K$531,'Pre-Period'!$K$536:$K$575,'Pre-Period'!$K$580:$K$619,'Pre-Period'!$K$624:$K$663)</f>
        <v>0</v>
      </c>
      <c r="H7">
        <f>MAX('Pre-Period'!$K$3:$K$42,'Pre-Period'!$K$48:$K$87,'Pre-Period'!$K$93:$K$132,'Pre-Period'!$K$138:$K$177,'Pre-Period'!$K$183:$K$222,'Pre-Period'!$K$228:$K$267,'Pre-Period'!$K$272:$K$311,'Pre-Period'!$K$316:$K$355,'Pre-Period'!$K$360:$K$399,'Pre-Period'!$K$404:$K$443,'Pre-Period'!$K$448:$K$487,'Pre-Period'!$K$492:$K$531,'Pre-Period'!$K$536:$K$575,'Pre-Period'!$K$580:$K$619,'Pre-Period'!$K$624:$K$663)</f>
        <v>46645000</v>
      </c>
      <c r="I7" s="43">
        <f>_xlfn.STDEV.S('Pre-Period'!$K$3:$K$42,'Pre-Period'!$K$48:$K$87,'Pre-Period'!$K$93:$K$132,'Pre-Period'!$K$138:$K$177,'Pre-Period'!$K$183:$K$222,'Pre-Period'!$K$228:$K$267,'Pre-Period'!$K$272:$K$311,'Pre-Period'!$K$316:$K$355,'Pre-Period'!$K$360:$K$399,'Pre-Period'!$K$404:$K$443,'Pre-Period'!$K$448:$K$487,'Pre-Period'!$K$492:$K$531,'Pre-Period'!$K$536:$K$575,'Pre-Period'!$K$580:$K$619,'Pre-Period'!$K$624:$K$663)</f>
        <v>3774734.2078774609</v>
      </c>
      <c r="K7" s="51"/>
    </row>
    <row r="8" spans="3:13" ht="15.5">
      <c r="C8" s="47" t="s">
        <v>78</v>
      </c>
      <c r="D8" s="44" t="s">
        <v>68</v>
      </c>
      <c r="E8">
        <f>AVERAGE('Pre-Period'!$M$3:$M$42,'Pre-Period'!$M$48:$M$87,'Pre-Period'!$M$93:$M$132,'Pre-Period'!$M$138:$M$177,'Pre-Period'!$M$183:$M$222,'Pre-Period'!$M$228:$M$267,'Pre-Period'!$M$272:$M$311,'Pre-Period'!$M$316:$M$355,'Pre-Period'!$M$360:$M$399,'Pre-Period'!$M$404:$M$443,'Pre-Period'!$M$448:$M$487,'Pre-Period'!$M$492:$M$531,'Pre-Period'!$M$536:$M$575,'Pre-Period'!$M$580:$M$619,'Pre-Period'!$M$624:$M$663)</f>
        <v>37224426.500416659</v>
      </c>
      <c r="F8">
        <f>MEDIAN('Pre-Period'!$M$3:$M$42,'Pre-Period'!$M$48:$M$87,'Pre-Period'!$M$93:$M$132,'Pre-Period'!$M$138:$M$177,'Pre-Period'!$M$183:$M$222,'Pre-Period'!$M$228:$M$267,'Pre-Period'!$M$272:$M$311,'Pre-Period'!$M$316:$M$355,'Pre-Period'!$M$360:$M$399,'Pre-Period'!$M$404:$M$443,'Pre-Period'!$M$448:$M$487,'Pre-Period'!$M$492:$M$531,'Pre-Period'!$M$536:$M$575,'Pre-Period'!$M$580:$M$619,'Pre-Period'!$M$624:$M$663)</f>
        <v>7674200.96</v>
      </c>
      <c r="G8">
        <f>MIN('Pre-Period'!$M$3:$M$42,'Pre-Period'!$M$48:$M$87,'Pre-Period'!$M$93:$M$132,'Pre-Period'!$M$138:$M$177,'Pre-Period'!$M$183:$M$222,'Pre-Period'!$M$228:$M$267,'Pre-Period'!$M$272:$M$311,'Pre-Period'!$M$316:$M$355,'Pre-Period'!$M$360:$M$399,'Pre-Period'!$M$404:$M$443,'Pre-Period'!$M$448:$M$487,'Pre-Period'!$M$492:$M$531,'Pre-Period'!$M$536:$M$575,'Pre-Period'!$M$580:$M$619,'Pre-Period'!$M$624:$M$663)</f>
        <v>0</v>
      </c>
      <c r="H8">
        <f>MAX('Pre-Period'!$M$3:$M$42,'Pre-Period'!$M$48:$M$87,'Pre-Period'!$M$93:$M$132,'Pre-Period'!$M$138:$M$177,'Pre-Period'!$M$183:$M$222,'Pre-Period'!$M$228:$M$267,'Pre-Period'!$M$272:$M$311,'Pre-Period'!$M$316:$M$355,'Pre-Period'!$M$360:$M$399,'Pre-Period'!$M$404:$M$443,'Pre-Period'!$M$448:$M$487,'Pre-Period'!$M$492:$M$531,'Pre-Period'!$M$536:$M$575,'Pre-Period'!$M$580:$M$619,'Pre-Period'!$M$624:$M$663)</f>
        <v>635143058.71999991</v>
      </c>
      <c r="I8" s="43">
        <f>_xlfn.STDEV.S('Pre-Period'!$M$3:$M$42,'Pre-Period'!$M$48:$M$87,'Pre-Period'!$M$93:$M$132,'Pre-Period'!$M$138:$M$177,'Pre-Period'!$M$183:$M$222,'Pre-Period'!$M$228:$M$267,'Pre-Period'!$M$272:$M$311,'Pre-Period'!$M$316:$M$355,'Pre-Period'!$M$360:$M$399,'Pre-Period'!$M$404:$M$443,'Pre-Period'!$M$448:$M$487,'Pre-Period'!$M$492:$M$531,'Pre-Period'!$M$536:$M$575,'Pre-Period'!$M$580:$M$619,'Pre-Period'!$M$624:$M$663)</f>
        <v>76349076.969226599</v>
      </c>
    </row>
    <row r="9" spans="3:13" ht="15.5">
      <c r="C9" s="47" t="s">
        <v>79</v>
      </c>
      <c r="D9" s="44" t="s">
        <v>69</v>
      </c>
      <c r="E9" s="51">
        <f>AVERAGE('Pre-Period'!$O$3:$O$42,'Pre-Period'!$O$48:$O$87,'Pre-Period'!$O$93:$O$132,'Pre-Period'!$O$138:$O$177,'Pre-Period'!$O$183:$O$222,'Pre-Period'!$O$228:$O$267,'Pre-Period'!$O$272:$O$311,'Pre-Period'!$O$316:$O$355,'Pre-Period'!$O$360:$O$399,'Pre-Period'!$O$404:$O$443,'Pre-Period'!$O$448:$O$487,'Pre-Period'!$O$492:$O$531,'Pre-Period'!$O$536:$O$575,'Pre-Period'!$O$580:$O$619,'Pre-Period'!$O$624:$O$663)</f>
        <v>8.1348568227176607E-3</v>
      </c>
      <c r="F9" s="51">
        <f>MEDIAN('Pre-Period'!$O$3:$O$42,'Pre-Period'!$O$48:$O$87,'Pre-Period'!$O$93:$O$132,'Pre-Period'!$O$138:$O$177,'Pre-Period'!$O$183:$O$222,'Pre-Period'!$O$228:$O$267,'Pre-Period'!$O$272:$O$311,'Pre-Period'!$O$316:$O$355,'Pre-Period'!$O$360:$O$399,'Pre-Period'!$O$404:$O$443,'Pre-Period'!$O$448:$O$487,'Pre-Period'!$O$492:$O$531,'Pre-Period'!$O$536:$O$575,'Pre-Period'!$O$580:$O$619,'Pre-Period'!$O$624:$O$663)</f>
        <v>2.5952173876774903E-3</v>
      </c>
      <c r="G9" s="51">
        <f>MIN('Pre-Period'!$O$3:$O$42,'Pre-Period'!$O$48:$O$87,'Pre-Period'!$O$93:$O$132,'Pre-Period'!$O$138:$O$177,'Pre-Period'!$O$183:$O$222,'Pre-Period'!$O$228:$O$267,'Pre-Period'!$O$272:$O$311,'Pre-Period'!$O$316:$O$355,'Pre-Period'!$O$360:$O$399,'Pre-Period'!$O$404:$O$443,'Pre-Period'!$O$448:$O$487,'Pre-Period'!$O$492:$O$531,'Pre-Period'!$O$536:$O$575,'Pre-Period'!$O$580:$O$619,'Pre-Period'!$O$624:$O$663)</f>
        <v>0</v>
      </c>
      <c r="H9" s="51">
        <f>MAX('Pre-Period'!$O$3:$O$42,'Pre-Period'!$O$48:$O$87,'Pre-Period'!$O$93:$O$132,'Pre-Period'!$O$138:$O$177,'Pre-Period'!$O$183:$O$222,'Pre-Period'!$O$228:$O$267,'Pre-Period'!$O$272:$O$311,'Pre-Period'!$O$316:$O$355,'Pre-Period'!$O$360:$O$399,'Pre-Period'!$O$404:$O$443,'Pre-Period'!$O$448:$O$487,'Pre-Period'!$O$492:$O$531,'Pre-Period'!$O$536:$O$575,'Pre-Period'!$O$580:$O$619,'Pre-Period'!$O$624:$O$663)</f>
        <v>0.19174168619229662</v>
      </c>
      <c r="I9" s="53">
        <f>_xlfn.STDEV.S('Pre-Period'!$O$3:$O$42,'Pre-Period'!$O$48:$O$87,'Pre-Period'!$O$93:$O$132,'Pre-Period'!$O$138:$O$177,'Pre-Period'!$O$183:$O$222,'Pre-Period'!$O$228:$O$267,'Pre-Period'!$O$272:$O$311,'Pre-Period'!$O$316:$O$355,'Pre-Period'!$O$360:$O$399,'Pre-Period'!$O$404:$O$443,'Pre-Period'!$O$448:$O$487,'Pre-Period'!$O$492:$O$531,'Pre-Period'!$O$536:$O$575,'Pre-Period'!$O$580:$O$619,'Pre-Period'!$O$624:$O$663)</f>
        <v>1.7093676898921724E-2</v>
      </c>
    </row>
    <row r="10" spans="3:13" ht="15.5">
      <c r="C10" s="47" t="s">
        <v>80</v>
      </c>
      <c r="D10" s="44" t="s">
        <v>70</v>
      </c>
      <c r="E10" s="54">
        <f>AVERAGE('Pre-Period'!$P$3:$P$42,'Pre-Period'!$P$48:$P$87,'Pre-Period'!$P$93:$P$132,'Pre-Period'!$P$138:$P$177,'Pre-Period'!$P$183:$P$222,'Pre-Period'!$P$228:$P$267,'Pre-Period'!$P$272:$P$311,'Pre-Period'!$P$316:$P$355,'Pre-Period'!$P$360:$P$399,'Pre-Period'!$P$404:$P$443,'Pre-Period'!$P$448:$P$487,'Pre-Period'!$P$492:$P$531,'Pre-Period'!$P$536:$P$575,'Pre-Period'!$P$580:$P$619,'Pre-Period'!$P$624:$P$663)</f>
        <v>71321.948749999923</v>
      </c>
      <c r="F10" s="54">
        <f>MEDIAN('Pre-Period'!$P$3:$P$42,'Pre-Period'!$P$48:$P$87,'Pre-Period'!$P$93:$P$132,'Pre-Period'!$P$138:$P$177,'Pre-Period'!$P$183:$P$222,'Pre-Period'!$P$228:$P$267,'Pre-Period'!$P$272:$P$311,'Pre-Period'!$P$316:$P$355,'Pre-Period'!$P$360:$P$399,'Pre-Period'!$P$404:$P$443,'Pre-Period'!$P$448:$P$487,'Pre-Period'!$P$492:$P$531,'Pre-Period'!$P$536:$P$575,'Pre-Period'!$P$580:$P$619,'Pre-Period'!$P$624:$P$663)</f>
        <v>71564.244999999995</v>
      </c>
      <c r="G10" s="54">
        <f>MIN('Pre-Period'!$P$3:$P$42,'Pre-Period'!$P$48:$P$87,'Pre-Period'!$P$93:$P$132,'Pre-Period'!$P$138:$P$177,'Pre-Period'!$P$183:$P$222,'Pre-Period'!$P$228:$P$267,'Pre-Period'!$P$272:$P$311,'Pre-Period'!$P$316:$P$355,'Pre-Period'!$P$360:$P$399,'Pre-Period'!$P$404:$P$443,'Pre-Period'!$P$448:$P$487,'Pre-Period'!$P$492:$P$531,'Pre-Period'!$P$536:$P$575,'Pre-Period'!$P$580:$P$619,'Pre-Period'!$P$624:$P$663)</f>
        <v>65525.65</v>
      </c>
      <c r="H10" s="54">
        <f>MAX('Pre-Period'!$P$3:$P$42,'Pre-Period'!$P$48:$P$87,'Pre-Period'!$P$93:$P$132,'Pre-Period'!$P$138:$P$177,'Pre-Period'!$P$183:$P$222,'Pre-Period'!$P$228:$P$267,'Pre-Period'!$P$272:$P$311,'Pre-Period'!$P$316:$P$355,'Pre-Period'!$P$360:$P$399,'Pre-Period'!$P$404:$P$443,'Pre-Period'!$P$448:$P$487,'Pre-Period'!$P$492:$P$531,'Pre-Period'!$P$536:$P$575,'Pre-Period'!$P$580:$P$619,'Pre-Period'!$P$624:$P$663)</f>
        <v>75983.039999999994</v>
      </c>
      <c r="I10" s="55">
        <f>_xlfn.STDEV.S('Pre-Period'!$P$3:$P$42,'Pre-Period'!$P$48:$P$87,'Pre-Period'!$P$93:$P$132,'Pre-Period'!$P$138:$P$177,'Pre-Period'!$P$183:$P$222,'Pre-Period'!$P$228:$P$267,'Pre-Period'!$P$272:$P$311,'Pre-Period'!$P$316:$P$355,'Pre-Period'!$P$360:$P$399,'Pre-Period'!$P$404:$P$443,'Pre-Period'!$P$448:$P$487,'Pre-Period'!$P$492:$P$531,'Pre-Period'!$P$536:$P$575,'Pre-Period'!$P$580:$P$619,'Pre-Period'!$P$624:$P$663)</f>
        <v>2920.3166117215956</v>
      </c>
    </row>
    <row r="11" spans="3:13" ht="15.5">
      <c r="C11" s="47" t="s">
        <v>81</v>
      </c>
      <c r="D11" s="44" t="s">
        <v>71</v>
      </c>
      <c r="E11" s="56">
        <f>AVERAGE('Pre-Period'!$Q$3:$Q$42,'Pre-Period'!$Q$48:$Q$87,'Pre-Period'!$Q$93:$Q$132,'Pre-Period'!$Q$138:$Q$177,'Pre-Period'!$Q$183:$Q$222,'Pre-Period'!$Q$228:$Q$267,'Pre-Period'!$Q$272:$Q$311,'Pre-Period'!$Q$316:$Q$355,'Pre-Period'!$Q$360:$Q$399,'Pre-Period'!$Q$404:$Q$443,'Pre-Period'!$Q$448:$Q$487,'Pre-Period'!$Q$492:$Q$531,'Pre-Period'!$Q$536:$Q$575,'Pre-Period'!$Q$580:$Q$619,'Pre-Period'!$Q$624:$Q$663)</f>
        <v>0.21600499999999859</v>
      </c>
      <c r="F11" s="56">
        <f>MEDIAN('Pre-Period'!$Q$3:$Q$42,'Pre-Period'!$Q$48:$Q$87,'Pre-Period'!$Q$93:$Q$132,'Pre-Period'!$Q$138:$Q$177,'Pre-Period'!$Q$183:$Q$222,'Pre-Period'!$Q$228:$Q$267,'Pre-Period'!$Q$272:$Q$311,'Pre-Period'!$Q$316:$Q$355,'Pre-Period'!$Q$360:$Q$399,'Pre-Period'!$Q$404:$Q$443,'Pre-Period'!$Q$448:$Q$487,'Pre-Period'!$Q$492:$Q$531,'Pre-Period'!$Q$536:$Q$575,'Pre-Period'!$Q$580:$Q$619,'Pre-Period'!$Q$624:$Q$663)</f>
        <v>0.216</v>
      </c>
      <c r="G11" s="56">
        <f>MIN('Pre-Period'!$Q$3:$Q$42,'Pre-Period'!$Q$48:$Q$87,'Pre-Period'!$Q$93:$Q$132,'Pre-Period'!$Q$138:$Q$177,'Pre-Period'!$Q$183:$Q$222,'Pre-Period'!$Q$228:$Q$267,'Pre-Period'!$Q$272:$Q$311,'Pre-Period'!$Q$316:$Q$355,'Pre-Period'!$Q$360:$Q$399,'Pre-Period'!$Q$404:$Q$443,'Pre-Period'!$Q$448:$Q$487,'Pre-Period'!$Q$492:$Q$531,'Pre-Period'!$Q$536:$Q$575,'Pre-Period'!$Q$580:$Q$619,'Pre-Period'!$Q$624:$Q$663)</f>
        <v>0.2157</v>
      </c>
      <c r="H11" s="56">
        <f>MAX('Pre-Period'!$Q$3:$Q$42,'Pre-Period'!$Q$48:$Q$87,'Pre-Period'!$Q$93:$Q$132,'Pre-Period'!$Q$138:$Q$177,'Pre-Period'!$Q$183:$Q$222,'Pre-Period'!$Q$228:$Q$267,'Pre-Period'!$Q$272:$Q$311,'Pre-Period'!$Q$316:$Q$355,'Pre-Period'!$Q$360:$Q$399,'Pre-Period'!$Q$404:$Q$443,'Pre-Period'!$Q$448:$Q$487,'Pre-Period'!$Q$492:$Q$531,'Pre-Period'!$Q$536:$Q$575,'Pre-Period'!$Q$580:$Q$619,'Pre-Period'!$Q$624:$Q$663)</f>
        <v>0.21640000000000001</v>
      </c>
      <c r="I11" s="57">
        <f>_xlfn.STDEV.S('Pre-Period'!$Q$3:$Q$42,'Pre-Period'!$Q$48:$Q$87,'Pre-Period'!$Q$93:$Q$132,'Pre-Period'!$Q$138:$Q$177,'Pre-Period'!$Q$183:$Q$222,'Pre-Period'!$Q$228:$Q$267,'Pre-Period'!$Q$272:$Q$311,'Pre-Period'!$Q$316:$Q$355,'Pre-Period'!$Q$360:$Q$399,'Pre-Period'!$Q$404:$Q$443,'Pre-Period'!$Q$448:$Q$487,'Pre-Period'!$Q$492:$Q$531,'Pre-Period'!$Q$536:$Q$575,'Pre-Period'!$Q$580:$Q$619,'Pre-Period'!$Q$624:$Q$663)</f>
        <v>2.3784297790116775E-4</v>
      </c>
    </row>
    <row r="12" spans="3:13" ht="15.5">
      <c r="C12" s="47" t="s">
        <v>82</v>
      </c>
      <c r="D12" s="44" t="s">
        <v>72</v>
      </c>
      <c r="E12" s="51">
        <f>AVERAGE('Pre-Period'!$X$3:$X$42,'Pre-Period'!$X$48:$X$87,'Pre-Period'!$X$93:$X$132,'Pre-Period'!$X$138:$X$177,'Pre-Period'!$X$183:$X$222,'Pre-Period'!$X$228:$X$267,'Pre-Period'!$X$272:$X$311,'Pre-Period'!$X$316:$X$355,'Pre-Period'!$X$360:$X$399,'Pre-Period'!$X$404:$X$443,'Pre-Period'!$X$448:$X$487,'Pre-Period'!$X$492:$X$531,'Pre-Period'!$X$536:$X$575,'Pre-Period'!$X$580:$X$619,'Pre-Period'!$X$624:$X$663)</f>
        <v>0.24042359063051891</v>
      </c>
      <c r="F12" s="51">
        <f>MEDIAN('Pre-Period'!$X$3:$X$42,'Pre-Period'!$X$48:$X$87,'Pre-Period'!$X$93:$X$132,'Pre-Period'!$X$138:$X$177,'Pre-Period'!$X$183:$X$222,'Pre-Period'!$X$228:$X$267,'Pre-Period'!$X$272:$X$311,'Pre-Period'!$X$316:$X$355,'Pre-Period'!$X$360:$X$399,'Pre-Period'!$X$404:$X$443,'Pre-Period'!$X$448:$X$487,'Pre-Period'!$X$492:$X$531,'Pre-Period'!$X$536:$X$575,'Pre-Period'!$X$580:$X$619,'Pre-Period'!$X$624:$X$663)</f>
        <v>0.16884421485031431</v>
      </c>
      <c r="G12" s="51">
        <f>MIN('Pre-Period'!$X$3:$X$42,'Pre-Period'!$X$48:$X$87,'Pre-Period'!$X$93:$X$132,'Pre-Period'!$X$138:$X$177,'Pre-Period'!$X$183:$X$222,'Pre-Period'!$X$228:$X$267,'Pre-Period'!$X$272:$X$311,'Pre-Period'!$X$316:$X$355,'Pre-Period'!$X$360:$X$399,'Pre-Period'!$X$404:$X$443,'Pre-Period'!$X$448:$X$487,'Pre-Period'!$X$492:$X$531,'Pre-Period'!$X$536:$X$575,'Pre-Period'!$X$580:$X$619,'Pre-Period'!$X$624:$X$663)</f>
        <v>0</v>
      </c>
      <c r="H12" s="51">
        <f>MAX('Pre-Period'!$X$3:$X$42,'Pre-Period'!$X$48:$X$87,'Pre-Period'!$X$93:$X$132,'Pre-Period'!$X$138:$X$177,'Pre-Period'!$X$183:$X$222,'Pre-Period'!$X$228:$X$267,'Pre-Period'!$X$272:$X$311,'Pre-Period'!$X$316:$X$355,'Pre-Period'!$X$360:$X$399,'Pre-Period'!$X$404:$X$443,'Pre-Period'!$X$448:$X$487,'Pre-Period'!$X$492:$X$531,'Pre-Period'!$X$536:$X$575,'Pre-Period'!$X$580:$X$619,'Pre-Period'!$X$624:$X$663)</f>
        <v>3.8444610294880199</v>
      </c>
      <c r="I12" s="53">
        <f>_xlfn.STDEV.S('Pre-Period'!$X$3:$X$42,'Pre-Period'!$X$48:$X$87,'Pre-Period'!$X$93:$X$132,'Pre-Period'!$X$138:$X$177,'Pre-Period'!$X$183:$X$222,'Pre-Period'!$X$228:$X$267,'Pre-Period'!$X$272:$X$311,'Pre-Period'!$X$316:$X$355,'Pre-Period'!$X$360:$X$399,'Pre-Period'!$X$404:$X$443,'Pre-Period'!$X$448:$X$487,'Pre-Period'!$X$492:$X$531,'Pre-Period'!$X$536:$X$575,'Pre-Period'!$X$580:$X$619,'Pre-Period'!$X$624:$X$663)</f>
        <v>0.43659069851909277</v>
      </c>
    </row>
    <row r="13" spans="3:13" ht="16" thickBot="1">
      <c r="C13" s="47" t="s">
        <v>83</v>
      </c>
      <c r="D13" s="45" t="s">
        <v>73</v>
      </c>
      <c r="E13" s="58">
        <f>AVERAGE('Pre-Period'!$W$3:$W$42,'Pre-Period'!$W$48:$W$87,'Pre-Period'!$W$93:$W$132,'Pre-Period'!$W$138:$W$177,'Pre-Period'!$W$183:$W$222,'Pre-Period'!$W$228:$W$267,'Pre-Period'!$W$272:$W$311,'Pre-Period'!$W$316:$W$355,'Pre-Period'!$W$360:$W$399,'Pre-Period'!$W$404:$W$443,'Pre-Period'!$W$448:$W$487,'Pre-Period'!$W$492:$W$531,'Pre-Period'!$W$536:$W$575,'Pre-Period'!$W$580:$W$619,'Pre-Period'!$W$624:$W$663)</f>
        <v>5.5454741494627691E-8</v>
      </c>
      <c r="F13" s="58">
        <f>MEDIAN('Pre-Period'!$W$3:$W$42,'Pre-Period'!$W$48:$W$87,'Pre-Period'!$W$93:$W$132,'Pre-Period'!$W$138:$W$177,'Pre-Period'!$W$183:$W$222,'Pre-Period'!$W$228:$W$267,'Pre-Period'!$W$272:$W$311,'Pre-Period'!$W$316:$W$355,'Pre-Period'!$W$360:$W$399,'Pre-Period'!$W$404:$W$443,'Pre-Period'!$W$448:$W$487,'Pre-Period'!$W$492:$W$531,'Pre-Period'!$W$536:$W$575,'Pre-Period'!$W$580:$W$619,'Pre-Period'!$W$624:$W$663)</f>
        <v>6.5550144412579043E-10</v>
      </c>
      <c r="G13" s="58">
        <f>MIN('Pre-Period'!$W$3:$W$42,'Pre-Period'!$W$48:$W$87,'Pre-Period'!$W$93:$W$132,'Pre-Period'!$W$138:$W$177,'Pre-Period'!$W$183:$W$222,'Pre-Period'!$W$228:$W$267,'Pre-Period'!$W$272:$W$311,'Pre-Period'!$W$316:$W$355,'Pre-Period'!$W$360:$W$399,'Pre-Period'!$W$404:$W$443,'Pre-Period'!$W$448:$W$487,'Pre-Period'!$W$492:$W$531,'Pre-Period'!$W$536:$W$575,'Pre-Period'!$W$580:$W$619,'Pre-Period'!$W$624:$W$663)</f>
        <v>0</v>
      </c>
      <c r="H13" s="58">
        <f>MAX('Pre-Period'!$W$3:$W$42,'Pre-Period'!$W$48:$W$87,'Pre-Period'!$W$93:$W$132,'Pre-Period'!$W$138:$W$177,'Pre-Period'!$W$183:$W$222,'Pre-Period'!$W$228:$W$267,'Pre-Period'!$W$272:$W$311,'Pre-Period'!$W$316:$W$355,'Pre-Period'!$W$360:$W$399,'Pre-Period'!$W$404:$W$443,'Pre-Period'!$W$448:$W$487,'Pre-Period'!$W$492:$W$531,'Pre-Period'!$W$536:$W$575,'Pre-Period'!$W$580:$W$619,'Pre-Period'!$W$624:$W$663)</f>
        <v>3.5102584276463011E-6</v>
      </c>
      <c r="I13" s="59">
        <f>_xlfn.STDEV.S('Pre-Period'!$W$3:$W$42,'Pre-Period'!$W$48:$W$87,'Pre-Period'!$W$93:$W$132,'Pre-Period'!$W$138:$W$177,'Pre-Period'!$W$183:$W$222,'Pre-Period'!$W$228:$W$267,'Pre-Period'!$W$272:$W$311,'Pre-Period'!$W$316:$W$355,'Pre-Period'!$W$360:$W$399,'Pre-Period'!$W$404:$W$443,'Pre-Period'!$W$448:$W$487,'Pre-Period'!$W$492:$W$531,'Pre-Period'!$W$536:$W$575,'Pre-Period'!$W$580:$W$619,'Pre-Period'!$W$624:$W$663)</f>
        <v>2.3735837178451368E-7</v>
      </c>
    </row>
  </sheetData>
  <mergeCells count="1">
    <mergeCell ref="D2:I2"/>
  </mergeCells>
  <pageMargins left="0.7" right="0.7" top="0.75" bottom="0.75" header="0.3" footer="0.3"/>
  <ignoredErrors>
    <ignoredError sqref="F4"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M19"/>
  <sheetViews>
    <sheetView topLeftCell="A7" zoomScale="160" workbookViewId="0">
      <selection activeCell="G14" sqref="G14"/>
    </sheetView>
  </sheetViews>
  <sheetFormatPr defaultColWidth="8.81640625" defaultRowHeight="14.5"/>
  <cols>
    <col min="4" max="4" width="24.1796875" bestFit="1" customWidth="1"/>
    <col min="5" max="5" width="11.1796875" bestFit="1" customWidth="1"/>
    <col min="6" max="6" width="12.6328125" bestFit="1" customWidth="1"/>
    <col min="7" max="7" width="11.6328125" bestFit="1" customWidth="1"/>
    <col min="8" max="9" width="12.6328125" bestFit="1" customWidth="1"/>
  </cols>
  <sheetData>
    <row r="1" spans="3:13" ht="15" thickBot="1"/>
    <row r="2" spans="3:13" ht="19" thickBot="1">
      <c r="D2" s="215" t="s">
        <v>86</v>
      </c>
      <c r="E2" s="216"/>
      <c r="F2" s="216"/>
      <c r="G2" s="216"/>
      <c r="H2" s="216"/>
      <c r="I2" s="217"/>
    </row>
    <row r="3" spans="3:13" ht="15" thickBot="1">
      <c r="D3" s="46"/>
      <c r="E3" s="48" t="s">
        <v>60</v>
      </c>
      <c r="F3" s="49" t="s">
        <v>61</v>
      </c>
      <c r="G3" s="48" t="s">
        <v>62</v>
      </c>
      <c r="H3" s="49" t="s">
        <v>63</v>
      </c>
      <c r="I3" s="48" t="s">
        <v>84</v>
      </c>
    </row>
    <row r="4" spans="3:13" ht="15.5">
      <c r="C4" s="47" t="s">
        <v>74</v>
      </c>
      <c r="D4" s="44" t="s">
        <v>64</v>
      </c>
      <c r="E4" s="50">
        <f>AVERAGE('Post-Period'!$C$3:$C$45,'Post-Period'!$C$48:$C$90,'Post-Period'!$C$93:$C$135,'Post-Period'!$C$138:$C$180,'Post-Period'!$C$183:$C$225,'Post-Period'!$C$228:$C$270,'Post-Period'!$C$273:$C$315,'Post-Period'!$C$318:$C$360,'Post-Period'!$C$363:$C$405,'Post-Period'!$C$408:$C$450,'Post-Period'!$C$453:$C$495,'Post-Period'!$C$498:$C$540,'Post-Period'!$C$543:$C$585,'Post-Period'!$C$588:$C$630,'Post-Period'!$C$633:$C$675)</f>
        <v>2.5214290227063411E-3</v>
      </c>
      <c r="F4" s="50">
        <f>MEDIAN('Post-Period'!$C$3:$C$45,'Post-Period'!$C$48:$C$90,'Post-Period'!$C$93:$C$135,'Post-Period'!$C$138:$C$180,'Post-Period'!$C$183:$C$225,'Post-Period'!$C$228:$C$270,'Post-Period'!$C$273:$C$315,'Post-Period'!$C$318:$C$360,'Post-Period'!$C$363:$C$405,'Post-Period'!$C$408:$C$450,'Post-Period'!$C$453:$C$495,'Post-Period'!$C$498:$C$540,'Post-Period'!$C$543:$C$585,'Post-Period'!$C$588:$C$630,'Post-Period'!$C$633:$C$675)</f>
        <v>0</v>
      </c>
      <c r="G4" s="50">
        <f>MIN('Post-Period'!$C$3:$C$45,'Post-Period'!$C$48:$C$90,'Post-Period'!$C$93:$C$135,'Post-Period'!$C$138:$C$180,'Post-Period'!$C$183:$C$225,'Post-Period'!$C$228:$C$270,'Post-Period'!$C$273:$C$315,'Post-Period'!$C$318:$C$360,'Post-Period'!$C$363:$C$405,'Post-Period'!$C$408:$C$450,'Post-Period'!$C$453:$C$495,'Post-Period'!$C$498:$C$540,'Post-Period'!$C$543:$C$585,'Post-Period'!$C$588:$C$630,'Post-Period'!$C$633:$C$675)</f>
        <v>-0.10408163265306135</v>
      </c>
      <c r="H4" s="50">
        <f>MAX('Post-Period'!$C$3:$C$45,'Post-Period'!$C$48:$C$90,'Post-Period'!$C$93:$C$135,'Post-Period'!$C$138:$C$180,'Post-Period'!$C$183:$C$225,'Post-Period'!$C$228:$C$270,'Post-Period'!$C$273:$C$315,'Post-Period'!$C$318:$C$360,'Post-Period'!$C$363:$C$405,'Post-Period'!$C$408:$C$450,'Post-Period'!$C$453:$C$495,'Post-Period'!$C$498:$C$540,'Post-Period'!$C$543:$C$585,'Post-Period'!$C$588:$C$630,'Post-Period'!$C$633:$C$675)</f>
        <v>0.27322404371584696</v>
      </c>
      <c r="I4" s="52">
        <f>_xlfn.STDEV.S('Post-Period'!$C$3:$C$45,'Post-Period'!$C$48:$C$90,'Post-Period'!$C$93:$C$135,'Post-Period'!$C$138:$C$180,'Post-Period'!$C$183:$C$225,'Post-Period'!$C$228:$C$270,'Post-Period'!$C$273:$C$315,'Post-Period'!$C$318:$C$360,'Post-Period'!$C$363:$C$405,'Post-Period'!$C$408:$C$450,'Post-Period'!$C$453:$C$495,'Post-Period'!$C$498:$C$540,'Post-Period'!$C$543:$C$585,'Post-Period'!$C$588:$C$630,'Post-Period'!$C$633:$C$675)</f>
        <v>3.5015985196703001E-2</v>
      </c>
      <c r="K4" s="60"/>
    </row>
    <row r="5" spans="3:13" ht="15.5">
      <c r="C5" s="47" t="s">
        <v>75</v>
      </c>
      <c r="D5" s="44" t="s">
        <v>65</v>
      </c>
      <c r="E5" s="51">
        <f>AVERAGE('Post-Period'!$G$3:$G$45,'Post-Period'!$G$48:$G$90,'Post-Period'!$G$93:$G$135,'Post-Period'!$G$138:$G$180,'Post-Period'!$G$183:$G$225,'Post-Period'!$G$228:$G$270,'Post-Period'!$G$273:$G$315,'Post-Period'!$G$318:$G$360,'Post-Period'!$G$363:$G$405,'Post-Period'!$G$408:$G$450,'Post-Period'!$G$453:$G$495,'Post-Period'!$G$498:$G$540,'Post-Period'!$G$543:$G$585,'Post-Period'!$G$588:$G$630,'Post-Period'!$G$633:$G$675)</f>
        <v>4.6467404022920711E-2</v>
      </c>
      <c r="F5" s="51">
        <f>MEDIAN('Post-Period'!$G$3:$G$45,'Post-Period'!$G$48:$G$90,'Post-Period'!$G$93:$G$135,'Post-Period'!$G$138:$G$180,'Post-Period'!$G$183:$G$225,'Post-Period'!$G$228:$G$270,'Post-Period'!$G$273:$G$315,'Post-Period'!$G$318:$G$360,'Post-Period'!$G$363:$G$405,'Post-Period'!$G$408:$G$450,'Post-Period'!$G$453:$G$495,'Post-Period'!$G$498:$G$540,'Post-Period'!$G$543:$G$585,'Post-Period'!$G$588:$G$630,'Post-Period'!$G$633:$G$675)</f>
        <v>3.5502958579881658E-2</v>
      </c>
      <c r="G5" s="51">
        <f>MIN('Post-Period'!$G$3:$G$45,'Post-Period'!$G$48:$G$90,'Post-Period'!$G$93:$G$135,'Post-Period'!$G$138:$G$180,'Post-Period'!$G$183:$G$225,'Post-Period'!$G$228:$G$270,'Post-Period'!$G$273:$G$315,'Post-Period'!$G$318:$G$360,'Post-Period'!$G$363:$G$405,'Post-Period'!$G$408:$G$450,'Post-Period'!$G$453:$G$495,'Post-Period'!$G$498:$G$540,'Post-Period'!$G$543:$G$585,'Post-Period'!$G$588:$G$630,'Post-Period'!$G$633:$G$675)</f>
        <v>0</v>
      </c>
      <c r="H5" s="51">
        <f>MAX('Post-Period'!$G$3:$G$45,'Post-Period'!$G$48:$G$90,'Post-Period'!$G$93:$G$135,'Post-Period'!$G$138:$G$180,'Post-Period'!$G$183:$G$225,'Post-Period'!$G$228:$G$270,'Post-Period'!$G$273:$G$315,'Post-Period'!$G$318:$G$360,'Post-Period'!$G$363:$G$405,'Post-Period'!$G$408:$G$450,'Post-Period'!$G$453:$G$495,'Post-Period'!$G$498:$G$540,'Post-Period'!$G$543:$G$585,'Post-Period'!$G$588:$G$630,'Post-Period'!$G$633:$G$675)</f>
        <v>0.26763990267639903</v>
      </c>
      <c r="I5" s="53">
        <f>_xlfn.STDEV.S('Post-Period'!$G$3:$G$45,'Post-Period'!$G$48:$G$90,'Post-Period'!$G$93:$G$135,'Post-Period'!$G$138:$G$180,'Post-Period'!$G$183:$G$225,'Post-Period'!$G$228:$G$270,'Post-Period'!$G$273:$G$315,'Post-Period'!$G$318:$G$360,'Post-Period'!$G$363:$G$405,'Post-Period'!$G$408:$G$450,'Post-Period'!$G$453:$G$495,'Post-Period'!$G$498:$G$540,'Post-Period'!$G$543:$G$585,'Post-Period'!$G$588:$G$630,'Post-Period'!$G$633:$G$675)</f>
        <v>3.867305875679386E-2</v>
      </c>
    </row>
    <row r="6" spans="3:13" ht="15.5">
      <c r="C6" s="47" t="s">
        <v>76</v>
      </c>
      <c r="D6" s="44" t="s">
        <v>66</v>
      </c>
      <c r="E6" s="51">
        <f>AVERAGE('Post-Period'!$J$3:$J$45,'Post-Period'!$J$48:$J$90,'Post-Period'!$J$93:$J$135,'Post-Period'!$J$138:$J$180,'Post-Period'!$J$183:$J$225,'Post-Period'!$J$228:$J$270,'Post-Period'!$J$273:$J$315,'Post-Period'!$J$318:$J$360,'Post-Period'!$J$363:$J$405,'Post-Period'!$J$408:$J$450,'Post-Period'!$J$453:$J$495,'Post-Period'!$J$498:$J$540,'Post-Period'!$J$543:$J$585,'Post-Period'!$J$588:$J$630,'Post-Period'!$J$633:$J$675)</f>
        <v>9.558185831687746E-2</v>
      </c>
      <c r="F6" s="51">
        <f>MEDIAN('Post-Period'!$J$3:$J$45,'Post-Period'!$J$48:$J$90,'Post-Period'!$J$93:$J$135,'Post-Period'!$J$138:$J$180,'Post-Period'!$J$183:$J$225,'Post-Period'!$J$228:$J$270,'Post-Period'!$J$273:$J$315,'Post-Period'!$J$318:$J$360,'Post-Period'!$J$363:$J$405,'Post-Period'!$J$408:$J$450,'Post-Period'!$J$453:$J$495,'Post-Period'!$J$498:$J$540,'Post-Period'!$J$543:$J$585,'Post-Period'!$J$588:$J$630,'Post-Period'!$J$633:$J$675)</f>
        <v>3.5992801439711287E-3</v>
      </c>
      <c r="G6" s="51">
        <f>MIN('Post-Period'!$J$3:$J$45,'Post-Period'!$J$48:$J$90,'Post-Period'!$J$93:$J$135,'Post-Period'!$J$138:$J$180,'Post-Period'!$J$183:$J$225,'Post-Period'!$J$228:$J$270,'Post-Period'!$J$273:$J$315,'Post-Period'!$J$318:$J$360,'Post-Period'!$J$363:$J$405,'Post-Period'!$J$408:$J$450,'Post-Period'!$J$453:$J$495,'Post-Period'!$J$498:$J$540,'Post-Period'!$J$543:$J$585,'Post-Period'!$J$588:$J$630,'Post-Period'!$J$633:$J$675)</f>
        <v>-2</v>
      </c>
      <c r="H6" s="51">
        <f>MAX('Post-Period'!$J$3:$J$45,'Post-Period'!$J$48:$J$90,'Post-Period'!$J$93:$J$135,'Post-Period'!$J$138:$J$180,'Post-Period'!$J$183:$J$225,'Post-Period'!$J$228:$J$270,'Post-Period'!$J$273:$J$315,'Post-Period'!$J$318:$J$360,'Post-Period'!$J$363:$J$405,'Post-Period'!$J$408:$J$450,'Post-Period'!$J$453:$J$495,'Post-Period'!$J$498:$J$540,'Post-Period'!$J$543:$J$585,'Post-Period'!$J$588:$J$630,'Post-Period'!$J$633:$J$675)</f>
        <v>2</v>
      </c>
      <c r="I6" s="53">
        <f>_xlfn.STDEV.S('Post-Period'!$J$3:$J$45,'Post-Period'!$J$48:$J$90,'Post-Period'!$J$93:$J$135,'Post-Period'!$J$138:$J$180,'Post-Period'!$J$183:$J$225,'Post-Period'!$J$228:$J$270,'Post-Period'!$J$273:$J$315,'Post-Period'!$J$318:$J$360,'Post-Period'!$J$363:$J$405,'Post-Period'!$J$408:$J$450,'Post-Period'!$J$453:$J$495,'Post-Period'!$J$498:$J$540,'Post-Period'!$J$543:$J$585,'Post-Period'!$J$588:$J$630,'Post-Period'!$J$633:$J$675)</f>
        <v>0.46634709645294736</v>
      </c>
      <c r="K6" s="51"/>
      <c r="L6" s="51"/>
      <c r="M6" s="51"/>
    </row>
    <row r="7" spans="3:13" ht="15.5">
      <c r="C7" s="47" t="s">
        <v>77</v>
      </c>
      <c r="D7" s="44" t="s">
        <v>67</v>
      </c>
      <c r="E7" s="51">
        <f>AVERAGE('Post-Period'!$K$3:$K$45,'Post-Period'!$K$48:$K$90,'Post-Period'!$K$93:$K$135,'Post-Period'!$K$138:$K$180,'Post-Period'!$K$183:$K$225,'Post-Period'!$K$228:$K$270,'Post-Period'!$K$273:$K$315,'Post-Period'!$K$318:$K$360,'Post-Period'!$K$363:$K$405,'Post-Period'!$K$408:$K$450,'Post-Period'!$K$453:$K$495,'Post-Period'!$K$498:$K$540,'Post-Period'!$K$543:$K$585,'Post-Period'!$K$588:$K$630,'Post-Period'!$K$633:$K$675)</f>
        <v>1836277.0124031007</v>
      </c>
      <c r="F7" s="51">
        <f>MEDIAN('Post-Period'!$K$3:$K$45,'Post-Period'!$K$48:$K$90,'Post-Period'!$K$93:$K$135,'Post-Period'!$K$138:$K$180,'Post-Period'!$K$183:$K$225,'Post-Period'!$K$228:$K$270,'Post-Period'!$K$273:$K$315,'Post-Period'!$K$318:$K$360,'Post-Period'!$K$363:$K$405,'Post-Period'!$K$408:$K$450,'Post-Period'!$K$453:$K$495,'Post-Period'!$K$498:$K$540,'Post-Period'!$K$543:$K$585,'Post-Period'!$K$588:$K$630,'Post-Period'!$K$633:$K$675)</f>
        <v>380284</v>
      </c>
      <c r="G7" s="51">
        <f>MIN('Post-Period'!$K$3:$K$45,'Post-Period'!$K$48:$K$90,'Post-Period'!$K$93:$K$135,'Post-Period'!$K$138:$K$180,'Post-Period'!$K$183:$K$225,'Post-Period'!$K$228:$K$270,'Post-Period'!$K$273:$K$315,'Post-Period'!$K$318:$K$360,'Post-Period'!$K$363:$K$405,'Post-Period'!$K$408:$K$450,'Post-Period'!$K$453:$K$495,'Post-Period'!$K$498:$K$540,'Post-Period'!$K$543:$K$585,'Post-Period'!$K$588:$K$630,'Post-Period'!$K$633:$K$675)</f>
        <v>2</v>
      </c>
      <c r="H7" s="51">
        <f>MAX('Post-Period'!$K$3:$K$45,'Post-Period'!$K$48:$K$90,'Post-Period'!$K$93:$K$135,'Post-Period'!$K$138:$K$180,'Post-Period'!$K$183:$K$225,'Post-Period'!$K$228:$K$270,'Post-Period'!$K$273:$K$315,'Post-Period'!$K$318:$K$360,'Post-Period'!$K$363:$K$405,'Post-Period'!$K$408:$K$450,'Post-Period'!$K$453:$K$495,'Post-Period'!$K$498:$K$540,'Post-Period'!$K$543:$K$585,'Post-Period'!$K$588:$K$630,'Post-Period'!$K$633:$K$675)</f>
        <v>80985708</v>
      </c>
      <c r="I7" s="53">
        <f>_xlfn.STDEV.S('Post-Period'!$K$3:$K$45,'Post-Period'!$K$48:$K$90,'Post-Period'!$K$93:$K$135,'Post-Period'!$K$138:$K$180,'Post-Period'!$K$183:$K$225,'Post-Period'!$K$228:$K$270,'Post-Period'!$K$273:$K$315,'Post-Period'!$K$318:$K$360,'Post-Period'!$K$363:$K$405,'Post-Period'!$K$408:$K$450,'Post-Period'!$K$453:$K$495,'Post-Period'!$K$498:$K$540,'Post-Period'!$K$543:$K$585,'Post-Period'!$K$588:$K$630,'Post-Period'!$K$633:$K$675)</f>
        <v>6109195.7434841748</v>
      </c>
      <c r="K7" s="51"/>
    </row>
    <row r="8" spans="3:13" ht="15.5">
      <c r="C8" s="47" t="s">
        <v>78</v>
      </c>
      <c r="D8" s="44" t="s">
        <v>68</v>
      </c>
      <c r="E8" s="51">
        <f>AVERAGE('Post-Period'!$M$3:$M$45,'Post-Period'!$M$48:$M$90,'Post-Period'!$M$93:$M$135,'Post-Period'!$M$138:$M$180,'Post-Period'!$M$183:$M$225,'Post-Period'!$M$228:$M$270,'Post-Period'!$M$273:$M$315,'Post-Period'!$M$318:$M$360,'Post-Period'!$M$363:$M$405,'Post-Period'!$M$408:$M$450,'Post-Period'!$M$453:$M$495,'Post-Period'!$M$498:$M$540,'Post-Period'!$M$543:$M$585,'Post-Period'!$M$588:$M$630,'Post-Period'!$M$633:$M$675)</f>
        <v>30186293.284031015</v>
      </c>
      <c r="F8" s="51">
        <f>MEDIAN('Post-Period'!$M$3:$M$45,'Post-Period'!$M$48:$M$90,'Post-Period'!$M$93:$M$135,'Post-Period'!$M$138:$M$180,'Post-Period'!$M$183:$M$225,'Post-Period'!$M$228:$M$270,'Post-Period'!$M$273:$M$315,'Post-Period'!$M$318:$M$360,'Post-Period'!$M$363:$M$405,'Post-Period'!$M$408:$M$450,'Post-Period'!$M$453:$M$495,'Post-Period'!$M$498:$M$540,'Post-Period'!$M$543:$M$585,'Post-Period'!$M$588:$M$630,'Post-Period'!$M$633:$M$675)</f>
        <v>9078971.9000000004</v>
      </c>
      <c r="G8" s="51">
        <f>MIN('Post-Period'!$M$3:$M$45,'Post-Period'!$M$48:$M$90,'Post-Period'!$M$93:$M$135,'Post-Period'!$M$138:$M$180,'Post-Period'!$M$183:$M$225,'Post-Period'!$M$228:$M$270,'Post-Period'!$M$273:$M$315,'Post-Period'!$M$318:$M$360,'Post-Period'!$M$363:$M$405,'Post-Period'!$M$408:$M$450,'Post-Period'!$M$453:$M$495,'Post-Period'!$M$498:$M$540,'Post-Period'!$M$543:$M$585,'Post-Period'!$M$588:$M$630,'Post-Period'!$M$633:$M$675)</f>
        <v>15.56</v>
      </c>
      <c r="H8" s="51">
        <f>MAX('Post-Period'!$M$3:$M$45,'Post-Period'!$M$48:$M$90,'Post-Period'!$M$93:$M$135,'Post-Period'!$M$138:$M$180,'Post-Period'!$M$183:$M$225,'Post-Period'!$M$228:$M$270,'Post-Period'!$M$273:$M$315,'Post-Period'!$M$318:$M$360,'Post-Period'!$M$363:$M$405,'Post-Period'!$M$408:$M$450,'Post-Period'!$M$453:$M$495,'Post-Period'!$M$498:$M$540,'Post-Period'!$M$543:$M$585,'Post-Period'!$M$588:$M$630,'Post-Period'!$M$633:$M$675)</f>
        <v>542478467.16000009</v>
      </c>
      <c r="I8" s="53">
        <f>_xlfn.STDEV.S('Post-Period'!$M$3:$M$45,'Post-Period'!$M$48:$M$90,'Post-Period'!$M$93:$M$135,'Post-Period'!$M$138:$M$180,'Post-Period'!$M$183:$M$225,'Post-Period'!$M$228:$M$270,'Post-Period'!$M$273:$M$315,'Post-Period'!$M$318:$M$360,'Post-Period'!$M$363:$M$405,'Post-Period'!$M$408:$M$450,'Post-Period'!$M$453:$M$495,'Post-Period'!$M$498:$M$540,'Post-Period'!$M$543:$M$585,'Post-Period'!$M$588:$M$630,'Post-Period'!$M$633:$M$675)</f>
        <v>63470656.886508442</v>
      </c>
    </row>
    <row r="9" spans="3:13" ht="15.5">
      <c r="C9" s="47" t="s">
        <v>79</v>
      </c>
      <c r="D9" s="44" t="s">
        <v>69</v>
      </c>
      <c r="E9" s="51">
        <f>AVERAGE('Post-Period'!$O$3:$O$45,'Post-Period'!$O$48:$O$90,'Post-Period'!$O$93:$O$135,'Post-Period'!$O$138:$O$180,'Post-Period'!$O$183:$O$225,'Post-Period'!$O$228:$O$270,'Post-Period'!$O$273:$O$315,'Post-Period'!$O$318:$O$360,'Post-Period'!$O$363:$O$405,'Post-Period'!$O$408:$O$450,'Post-Period'!$O$453:$O$495,'Post-Period'!$O$498:$O$540,'Post-Period'!$O$543:$O$585,'Post-Period'!$O$588:$O$630,'Post-Period'!$O$633:$O$675)</f>
        <v>3.1094919312180946E-2</v>
      </c>
      <c r="F9" s="51">
        <f>MEDIAN('Post-Period'!$O$3:$O$45,'Post-Period'!$O$48:$O$90,'Post-Period'!$O$93:$O$135,'Post-Period'!$O$138:$O$180,'Post-Period'!$O$183:$O$225,'Post-Period'!$O$228:$O$270,'Post-Period'!$O$273:$O$315,'Post-Period'!$O$318:$O$360,'Post-Period'!$O$363:$O$405,'Post-Period'!$O$408:$O$450,'Post-Period'!$O$453:$O$495,'Post-Period'!$O$498:$O$540,'Post-Period'!$O$543:$O$585,'Post-Period'!$O$588:$O$630,'Post-Period'!$O$633:$O$675)</f>
        <v>2.307510302736748E-3</v>
      </c>
      <c r="G9" s="51">
        <f>MIN('Post-Period'!$O$3:$O$45,'Post-Period'!$O$48:$O$90,'Post-Period'!$O$93:$O$135,'Post-Period'!$O$138:$O$180,'Post-Period'!$O$183:$O$225,'Post-Period'!$O$228:$O$270,'Post-Period'!$O$273:$O$315,'Post-Period'!$O$318:$O$360,'Post-Period'!$O$363:$O$405,'Post-Period'!$O$408:$O$450,'Post-Period'!$O$453:$O$495,'Post-Period'!$O$498:$O$540,'Post-Period'!$O$543:$O$585,'Post-Period'!$O$588:$O$630,'Post-Period'!$O$633:$O$675)</f>
        <v>1.6835016835016834E-7</v>
      </c>
      <c r="H9" s="51">
        <f>MAX('Post-Period'!$O$3:$O$45,'Post-Period'!$O$48:$O$90,'Post-Period'!$O$93:$O$135,'Post-Period'!$O$138:$O$180,'Post-Period'!$O$183:$O$225,'Post-Period'!$O$228:$O$270,'Post-Period'!$O$273:$O$315,'Post-Period'!$O$318:$O$360,'Post-Period'!$O$363:$O$405,'Post-Period'!$O$408:$O$450,'Post-Period'!$O$453:$O$495,'Post-Period'!$O$498:$O$540,'Post-Period'!$O$543:$O$585,'Post-Period'!$O$588:$O$630,'Post-Period'!$O$633:$O$675)</f>
        <v>1.5911982481751825</v>
      </c>
      <c r="I9" s="53">
        <f>_xlfn.STDEV.S('Post-Period'!$O$3:$O$45,'Post-Period'!$O$48:$O$90,'Post-Period'!$O$93:$O$135,'Post-Period'!$O$138:$O$180,'Post-Period'!$O$183:$O$225,'Post-Period'!$O$228:$O$270,'Post-Period'!$O$273:$O$315,'Post-Period'!$O$318:$O$360,'Post-Period'!$O$363:$O$405,'Post-Period'!$O$408:$O$450,'Post-Period'!$O$453:$O$495,'Post-Period'!$O$498:$O$540,'Post-Period'!$O$543:$O$585,'Post-Period'!$O$588:$O$630,'Post-Period'!$O$633:$O$675)</f>
        <v>0.12662724029761338</v>
      </c>
    </row>
    <row r="10" spans="3:13" ht="15.5">
      <c r="C10" s="47" t="s">
        <v>80</v>
      </c>
      <c r="D10" s="44" t="s">
        <v>70</v>
      </c>
      <c r="E10" s="54">
        <f>AVERAGE('Post-Period'!$P$3:$P$45,'Post-Period'!$P$48:$P$90,'Post-Period'!$P$93:$P$135,'Post-Period'!$P$138:$P$180,'Post-Period'!$P$183:$P$225,'Post-Period'!$P$228:$P$270,'Post-Period'!$P$273:$P$315,'Post-Period'!$P$318:$P$360,'Post-Period'!$P$363:$P$405,'Post-Period'!$P$408:$P$450,'Post-Period'!$P$453:$P$495,'Post-Period'!$P$498:$P$540,'Post-Period'!$P$543:$P$585,'Post-Period'!$P$588:$P$630,'Post-Period'!$P$633:$P$675)</f>
        <v>78584.459534883717</v>
      </c>
      <c r="F10" s="54">
        <f>MEDIAN('Post-Period'!$P$3:$P$45,'Post-Period'!$P$48:$P$90,'Post-Period'!$P$93:$P$135,'Post-Period'!$P$138:$P$180,'Post-Period'!$P$183:$P$225,'Post-Period'!$P$228:$P$270,'Post-Period'!$P$273:$P$315,'Post-Period'!$P$318:$P$360,'Post-Period'!$P$363:$P$405,'Post-Period'!$P$408:$P$450,'Post-Period'!$P$453:$P$495,'Post-Period'!$P$498:$P$540,'Post-Period'!$P$543:$P$585,'Post-Period'!$P$588:$P$630,'Post-Period'!$P$633:$P$675)</f>
        <v>78488.22</v>
      </c>
      <c r="G10" s="54">
        <f>MIN('Post-Period'!$P$3:$P$45,'Post-Period'!$P$48:$P$90,'Post-Period'!$P$93:$P$135,'Post-Period'!$P$138:$P$180,'Post-Period'!$P$183:$P$225,'Post-Period'!$P$228:$P$270,'Post-Period'!$P$273:$P$315,'Post-Period'!$P$318:$P$360,'Post-Period'!$P$363:$P$405,'Post-Period'!$P$408:$P$450,'Post-Period'!$P$453:$P$495,'Post-Period'!$P$498:$P$540,'Post-Period'!$P$543:$P$585,'Post-Period'!$P$588:$P$630,'Post-Period'!$P$633:$P$675)</f>
        <v>77084.490000000005</v>
      </c>
      <c r="H10" s="54">
        <f>MAX('Post-Period'!$P$3:$P$45,'Post-Period'!$P$48:$P$90,'Post-Period'!$P$93:$P$135,'Post-Period'!$P$138:$P$180,'Post-Period'!$P$183:$P$225,'Post-Period'!$P$228:$P$270,'Post-Period'!$P$273:$P$315,'Post-Period'!$P$318:$P$360,'Post-Period'!$P$363:$P$405,'Post-Period'!$P$408:$P$450,'Post-Period'!$P$453:$P$495,'Post-Period'!$P$498:$P$540,'Post-Period'!$P$543:$P$585,'Post-Period'!$P$588:$P$630,'Post-Period'!$P$633:$P$675)</f>
        <v>82074.45</v>
      </c>
      <c r="I10" s="55">
        <f>_xlfn.STDEV.S('Post-Period'!$P$3:$P$45,'Post-Period'!$P$48:$P$90,'Post-Period'!$P$93:$P$135,'Post-Period'!$P$138:$P$180,'Post-Period'!$P$183:$P$225,'Post-Period'!$P$228:$P$270,'Post-Period'!$P$273:$P$315,'Post-Period'!$P$318:$P$360,'Post-Period'!$P$363:$P$405,'Post-Period'!$P$408:$P$450,'Post-Period'!$P$453:$P$495,'Post-Period'!$P$498:$P$540,'Post-Period'!$P$543:$P$585,'Post-Period'!$P$588:$P$630,'Post-Period'!$P$633:$P$675)</f>
        <v>957.14208709793536</v>
      </c>
    </row>
    <row r="11" spans="3:13" ht="15.5">
      <c r="C11" s="47" t="s">
        <v>81</v>
      </c>
      <c r="D11" s="44" t="s">
        <v>71</v>
      </c>
      <c r="E11" s="56">
        <f>AVERAGE('Post-Period'!$Q$3:$Q$45,'Post-Period'!$Q$48:$Q$90,'Post-Period'!$Q$93:$Q$135,'Post-Period'!$Q$138:$Q$180,'Post-Period'!$Q$183:$Q$225,'Post-Period'!$Q$228:$Q$270,'Post-Period'!$Q$273:$Q$315,'Post-Period'!$Q$318:$Q$360,'Post-Period'!$Q$363:$Q$405,'Post-Period'!$Q$408:$Q$450,'Post-Period'!$Q$453:$Q$495,'Post-Period'!$Q$498:$Q$540,'Post-Period'!$Q$543:$Q$585,'Post-Period'!$Q$588:$Q$630,'Post-Period'!$Q$633:$Q$675)</f>
        <v>0.18316279069767399</v>
      </c>
      <c r="F11" s="56">
        <f>MEDIAN('Post-Period'!$Q$3:$Q$45,'Post-Period'!$Q$48:$Q$90,'Post-Period'!$Q$93:$Q$135,'Post-Period'!$Q$138:$Q$180,'Post-Period'!$Q$183:$Q$225,'Post-Period'!$Q$228:$Q$270,'Post-Period'!$Q$273:$Q$315,'Post-Period'!$Q$318:$Q$360,'Post-Period'!$Q$363:$Q$405,'Post-Period'!$Q$408:$Q$450,'Post-Period'!$Q$453:$Q$495,'Post-Period'!$Q$498:$Q$540,'Post-Period'!$Q$543:$Q$585,'Post-Period'!$Q$588:$Q$630,'Post-Period'!$Q$633:$Q$675)</f>
        <v>0.17469999999999999</v>
      </c>
      <c r="G11" s="56">
        <f>MIN('Post-Period'!$Q$3:$Q$45,'Post-Period'!$Q$48:$Q$90,'Post-Period'!$Q$93:$Q$135,'Post-Period'!$Q$138:$Q$180,'Post-Period'!$Q$183:$Q$225,'Post-Period'!$Q$228:$Q$270,'Post-Period'!$Q$273:$Q$315,'Post-Period'!$Q$318:$Q$360,'Post-Period'!$Q$363:$Q$405,'Post-Period'!$Q$408:$Q$450,'Post-Period'!$Q$453:$Q$495,'Post-Period'!$Q$498:$Q$540,'Post-Period'!$Q$543:$Q$585,'Post-Period'!$Q$588:$Q$630,'Post-Period'!$Q$633:$Q$675)</f>
        <v>0.1741</v>
      </c>
      <c r="H11" s="56">
        <f>MAX('Post-Period'!$Q$3:$Q$45,'Post-Period'!$Q$48:$Q$90,'Post-Period'!$Q$93:$Q$135,'Post-Period'!$Q$138:$Q$180,'Post-Period'!$Q$183:$Q$225,'Post-Period'!$Q$228:$Q$270,'Post-Period'!$Q$273:$Q$315,'Post-Period'!$Q$318:$Q$360,'Post-Period'!$Q$363:$Q$405,'Post-Period'!$Q$408:$Q$450,'Post-Period'!$Q$453:$Q$495,'Post-Period'!$Q$498:$Q$540,'Post-Period'!$Q$543:$Q$585,'Post-Period'!$Q$588:$Q$630,'Post-Period'!$Q$633:$Q$675)</f>
        <v>0.19489999999999999</v>
      </c>
      <c r="I11" s="57">
        <f>_xlfn.STDEV.S('Post-Period'!$Q$3:$Q$45,'Post-Period'!$Q$48:$Q$90,'Post-Period'!$Q$93:$Q$135,'Post-Period'!$Q$138:$Q$180,'Post-Period'!$Q$183:$Q$225,'Post-Period'!$Q$228:$Q$270,'Post-Period'!$Q$273:$Q$315,'Post-Period'!$Q$318:$Q$360,'Post-Period'!$Q$363:$Q$405,'Post-Period'!$Q$408:$Q$450,'Post-Period'!$Q$453:$Q$495,'Post-Period'!$Q$498:$Q$540,'Post-Period'!$Q$543:$Q$585,'Post-Period'!$Q$588:$Q$630,'Post-Period'!$Q$633:$Q$675)</f>
        <v>9.2350270773381305E-3</v>
      </c>
    </row>
    <row r="12" spans="3:13" ht="15.5">
      <c r="C12" s="47" t="s">
        <v>82</v>
      </c>
      <c r="D12" s="44" t="s">
        <v>72</v>
      </c>
      <c r="E12" s="51">
        <f>AVERAGE('Post-Period'!$X$3:$X$45,'Post-Period'!$X$48:$X$90,'Post-Period'!$X$93:$X$135,'Post-Period'!$X$138:$X$180,'Post-Period'!$X$183:$X$225,'Post-Period'!$X$228:$X$270,'Post-Period'!$X$273:$X$315,'Post-Period'!$X$318:$X$360,'Post-Period'!$X$363:$X$405,'Post-Period'!$X$408:$X$450,'Post-Period'!$X$453:$X$495,'Post-Period'!$X$498:$X$540,'Post-Period'!$X$543:$X$585,'Post-Period'!$X$588:$X$630,'Post-Period'!$X$633:$X$675)</f>
        <v>0.19280172484704053</v>
      </c>
      <c r="F12" s="51">
        <f>MEDIAN('Post-Period'!$X$3:$X$45,'Post-Period'!$X$48:$X$90,'Post-Period'!$X$93:$X$135,'Post-Period'!$X$138:$X$180,'Post-Period'!$X$183:$X$225,'Post-Period'!$X$228:$X$270,'Post-Period'!$X$273:$X$315,'Post-Period'!$X$318:$X$360,'Post-Period'!$X$363:$X$405,'Post-Period'!$X$408:$X$450,'Post-Period'!$X$453:$X$495,'Post-Period'!$X$498:$X$540,'Post-Period'!$X$543:$X$585,'Post-Period'!$X$588:$X$630,'Post-Period'!$X$633:$X$675)</f>
        <v>0.14550031466331026</v>
      </c>
      <c r="G12" s="51">
        <f>MIN('Post-Period'!$X$3:$X$45,'Post-Period'!$X$48:$X$90,'Post-Period'!$X$93:$X$135,'Post-Period'!$X$138:$X$180,'Post-Period'!$X$183:$X$225,'Post-Period'!$X$228:$X$270,'Post-Period'!$X$273:$X$315,'Post-Period'!$X$318:$X$360,'Post-Period'!$X$363:$X$405,'Post-Period'!$X$408:$X$450,'Post-Period'!$X$453:$X$495,'Post-Period'!$X$498:$X$540,'Post-Period'!$X$543:$X$585,'Post-Period'!$X$588:$X$630,'Post-Period'!$X$633:$X$675)</f>
        <v>0</v>
      </c>
      <c r="H12" s="51">
        <f>MAX('Post-Period'!$X$3:$X$45,'Post-Period'!$X$48:$X$90,'Post-Period'!$X$93:$X$135,'Post-Period'!$X$138:$X$180,'Post-Period'!$X$183:$X$225,'Post-Period'!$X$228:$X$270,'Post-Period'!$X$273:$X$315,'Post-Period'!$X$318:$X$360,'Post-Period'!$X$363:$X$405,'Post-Period'!$X$408:$X$450,'Post-Period'!$X$453:$X$495,'Post-Period'!$X$498:$X$540,'Post-Period'!$X$543:$X$585,'Post-Period'!$X$588:$X$630,'Post-Period'!$X$633:$X$675)</f>
        <v>0.50394656948876382</v>
      </c>
      <c r="I12" s="53">
        <f>_xlfn.STDEV.S('Post-Period'!$X$3:$X$45,'Post-Period'!$X$48:$X$90,'Post-Period'!$X$93:$X$135,'Post-Period'!$X$138:$X$180,'Post-Period'!$X$183:$X$225,'Post-Period'!$X$228:$X$270,'Post-Period'!$X$273:$X$315,'Post-Period'!$X$318:$X$360,'Post-Period'!$X$363:$X$405,'Post-Period'!$X$408:$X$450,'Post-Period'!$X$453:$X$495,'Post-Period'!$X$498:$X$540,'Post-Period'!$X$543:$X$585,'Post-Period'!$X$588:$X$630,'Post-Period'!$X$633:$X$675)</f>
        <v>0.14884137910453704</v>
      </c>
    </row>
    <row r="13" spans="3:13" ht="16" thickBot="1">
      <c r="C13" s="47" t="s">
        <v>83</v>
      </c>
      <c r="D13" s="45" t="s">
        <v>73</v>
      </c>
      <c r="E13" s="58">
        <f>AVERAGE('Post-Period'!$W$3:$W$45,'Post-Period'!$W$48:$W$90,'Post-Period'!$W$93:$W$135,'Post-Period'!$W$138:$W$180,'Post-Period'!$W$183:$W$225,'Post-Period'!$W$228:$W$270,'Post-Period'!$W$273:$W$315,'Post-Period'!$W$318:$W$360,'Post-Period'!$W$363:$W$405,'Post-Period'!$W$408:$W$450,'Post-Period'!$W$453:$W$495,'Post-Period'!$W$498:$W$540,'Post-Period'!$W$543:$W$585,'Post-Period'!$W$588:$W$630,'Post-Period'!$W$633:$W$675)</f>
        <v>5.5138114010547357E-8</v>
      </c>
      <c r="F13" s="58">
        <f>MEDIAN('Post-Period'!$W$3:$W$45,'Post-Period'!$W$48:$W$90,'Post-Period'!$W$93:$W$135,'Post-Period'!$W$138:$W$180,'Post-Period'!$W$183:$W$225,'Post-Period'!$W$228:$W$270,'Post-Period'!$W$273:$W$315,'Post-Period'!$W$318:$W$360,'Post-Period'!$W$363:$W$405,'Post-Period'!$W$408:$W$450,'Post-Period'!$W$453:$W$495,'Post-Period'!$W$498:$W$540,'Post-Period'!$W$543:$W$585,'Post-Period'!$W$588:$W$630,'Post-Period'!$W$633:$W$675)</f>
        <v>8.4510033572151796E-10</v>
      </c>
      <c r="G13" s="58">
        <f>MIN('Post-Period'!$W$3:$W$45,'Post-Period'!$W$48:$W$90,'Post-Period'!$W$93:$W$135,'Post-Period'!$W$138:$W$180,'Post-Period'!$W$183:$W$225,'Post-Period'!$W$228:$W$270,'Post-Period'!$W$273:$W$315,'Post-Period'!$W$318:$W$360,'Post-Period'!$W$363:$W$405,'Post-Period'!$W$408:$W$450,'Post-Period'!$W$453:$W$495,'Post-Period'!$W$498:$W$540,'Post-Period'!$W$543:$W$585,'Post-Period'!$W$588:$W$630,'Post-Period'!$W$633:$W$675)</f>
        <v>0</v>
      </c>
      <c r="H13" s="58">
        <f>MAX('Post-Period'!$W$3:$W$45,'Post-Period'!$W$48:$W$90,'Post-Period'!$W$93:$W$135,'Post-Period'!$W$138:$W$180,'Post-Period'!$W$183:$W$225,'Post-Period'!$W$228:$W$270,'Post-Period'!$W$273:$W$315,'Post-Period'!$W$318:$W$360,'Post-Period'!$W$363:$W$405,'Post-Period'!$W$408:$W$450,'Post-Period'!$W$453:$W$495,'Post-Period'!$W$498:$W$540,'Post-Period'!$W$543:$W$585,'Post-Period'!$W$588:$W$630,'Post-Period'!$W$633:$W$675)</f>
        <v>4.4533755719599043E-6</v>
      </c>
      <c r="I13" s="59">
        <f>_xlfn.STDEV.S('Post-Period'!$W$3:$W$45,'Post-Period'!$W$48:$W$90,'Post-Period'!$W$93:$W$135,'Post-Period'!$W$138:$W$180,'Post-Period'!$W$183:$W$225,'Post-Period'!$W$228:$W$270,'Post-Period'!$W$273:$W$315,'Post-Period'!$W$318:$W$360,'Post-Period'!$W$363:$W$405,'Post-Period'!$W$408:$W$450,'Post-Period'!$W$453:$W$495,'Post-Period'!$W$498:$W$540,'Post-Period'!$W$543:$W$585,'Post-Period'!$W$588:$W$630,'Post-Period'!$W$633:$W$675)</f>
        <v>2.5584994959499737E-7</v>
      </c>
    </row>
    <row r="15" spans="3:13">
      <c r="D15" s="41"/>
      <c r="E15" s="145"/>
    </row>
    <row r="16" spans="3:13">
      <c r="D16" s="41"/>
      <c r="E16" s="145"/>
    </row>
    <row r="17" spans="4:5">
      <c r="D17" s="41"/>
      <c r="E17" s="145"/>
    </row>
    <row r="18" spans="4:5">
      <c r="D18" s="41"/>
      <c r="E18" s="145"/>
    </row>
    <row r="19" spans="4:5">
      <c r="D19" s="41"/>
      <c r="E19" s="145"/>
    </row>
  </sheetData>
  <mergeCells count="1">
    <mergeCell ref="D2:I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237"/>
  <sheetViews>
    <sheetView topLeftCell="R20" workbookViewId="0">
      <selection activeCell="J30" sqref="J30"/>
    </sheetView>
  </sheetViews>
  <sheetFormatPr defaultColWidth="8.81640625" defaultRowHeight="14.5"/>
  <cols>
    <col min="1" max="16384" width="8.81640625" style="84"/>
  </cols>
  <sheetData>
    <row r="1" spans="1:21">
      <c r="A1" s="82" t="s">
        <v>138</v>
      </c>
      <c r="B1" s="83"/>
      <c r="C1" s="83"/>
      <c r="D1" s="83"/>
      <c r="E1" s="83"/>
      <c r="F1" s="83"/>
      <c r="G1" s="83"/>
      <c r="H1" s="83"/>
      <c r="I1" s="83"/>
      <c r="J1" s="83"/>
      <c r="K1" s="218"/>
      <c r="L1" s="218"/>
      <c r="M1" s="83"/>
      <c r="N1" s="83"/>
      <c r="O1" s="83"/>
      <c r="P1" s="83"/>
      <c r="Q1" s="83"/>
      <c r="R1" s="83"/>
      <c r="S1" s="83"/>
      <c r="T1" s="83"/>
      <c r="U1" s="83"/>
    </row>
    <row r="2" spans="1:21">
      <c r="A2" s="83"/>
      <c r="B2" s="83"/>
      <c r="C2" s="83"/>
      <c r="D2" s="83"/>
      <c r="E2" s="83"/>
      <c r="F2" s="83"/>
      <c r="G2" s="83"/>
      <c r="H2" s="83"/>
      <c r="I2" s="83"/>
      <c r="J2" s="83"/>
      <c r="K2" s="218"/>
      <c r="L2" s="218"/>
      <c r="M2" s="83"/>
      <c r="N2" s="83"/>
      <c r="O2" s="83"/>
      <c r="P2" s="83"/>
      <c r="Q2" s="83"/>
      <c r="R2" s="83"/>
      <c r="S2" s="83"/>
      <c r="T2" s="83"/>
      <c r="U2" s="83"/>
    </row>
    <row r="3" spans="1:21">
      <c r="A3" s="83"/>
      <c r="B3" s="83"/>
      <c r="C3" s="83"/>
      <c r="D3" s="83"/>
      <c r="E3" s="83"/>
      <c r="F3" s="83"/>
      <c r="G3" s="83"/>
      <c r="H3" s="83"/>
      <c r="I3" s="83"/>
      <c r="J3" s="83"/>
      <c r="K3" s="218"/>
      <c r="L3" s="218"/>
      <c r="M3" s="83"/>
      <c r="N3" s="83"/>
      <c r="O3" s="83"/>
      <c r="P3" s="83"/>
      <c r="Q3" s="83"/>
      <c r="R3" s="83"/>
      <c r="S3" s="83"/>
      <c r="T3" s="83"/>
      <c r="U3" s="83"/>
    </row>
    <row r="4" spans="1:21">
      <c r="A4" s="85" t="s">
        <v>139</v>
      </c>
      <c r="B4" s="83"/>
      <c r="C4" s="83"/>
      <c r="D4" s="83"/>
      <c r="E4" s="83"/>
      <c r="F4" s="83"/>
      <c r="G4" s="83"/>
      <c r="H4" s="83"/>
      <c r="I4" s="83"/>
      <c r="J4" s="83"/>
      <c r="K4" s="218"/>
      <c r="L4" s="218"/>
      <c r="M4" s="83"/>
      <c r="N4" s="83"/>
      <c r="O4" s="83"/>
      <c r="P4" s="83"/>
      <c r="Q4" s="83"/>
      <c r="R4" s="83"/>
      <c r="S4" s="83"/>
      <c r="T4" s="83"/>
      <c r="U4" s="83"/>
    </row>
    <row r="5" spans="1:21">
      <c r="A5" s="85" t="s">
        <v>140</v>
      </c>
      <c r="B5" s="83"/>
      <c r="C5" s="83"/>
      <c r="D5" s="83"/>
      <c r="E5" s="83"/>
      <c r="F5" s="83"/>
      <c r="G5" s="83"/>
      <c r="H5" s="83"/>
      <c r="I5" s="83"/>
      <c r="J5" s="83"/>
      <c r="K5" s="218"/>
      <c r="L5" s="218"/>
      <c r="M5" s="83"/>
      <c r="N5" s="83"/>
      <c r="O5" s="83"/>
      <c r="P5" s="83"/>
      <c r="Q5" s="83"/>
      <c r="R5" s="83"/>
      <c r="S5" s="83"/>
      <c r="T5" s="83"/>
      <c r="U5" s="83"/>
    </row>
    <row r="6" spans="1:21">
      <c r="A6" s="85" t="s">
        <v>141</v>
      </c>
      <c r="B6" s="83"/>
      <c r="C6" s="83"/>
      <c r="D6" s="83"/>
      <c r="E6" s="83"/>
      <c r="F6" s="83"/>
      <c r="G6" s="83"/>
      <c r="H6" s="83"/>
      <c r="I6" s="83"/>
      <c r="J6" s="83"/>
      <c r="K6" s="218"/>
      <c r="L6" s="218"/>
      <c r="M6" s="83"/>
      <c r="N6" s="83"/>
      <c r="O6" s="83"/>
      <c r="P6" s="83"/>
      <c r="Q6" s="83"/>
      <c r="R6" s="83"/>
      <c r="S6" s="83"/>
      <c r="T6" s="83"/>
      <c r="U6" s="83"/>
    </row>
    <row r="7" spans="1:21">
      <c r="A7" s="83"/>
      <c r="B7" s="83"/>
      <c r="C7" s="83"/>
      <c r="D7" s="83"/>
      <c r="E7" s="83"/>
      <c r="F7" s="83"/>
      <c r="G7" s="83"/>
      <c r="H7" s="83"/>
      <c r="I7" s="83"/>
      <c r="J7" s="83"/>
      <c r="K7" s="218"/>
      <c r="L7" s="218"/>
      <c r="M7" s="83"/>
      <c r="N7" s="83"/>
      <c r="O7" s="83"/>
      <c r="P7" s="83"/>
      <c r="Q7" s="83"/>
      <c r="R7" s="83"/>
      <c r="S7" s="83"/>
      <c r="T7" s="83"/>
      <c r="U7" s="83"/>
    </row>
    <row r="8" spans="1:21">
      <c r="A8" s="83"/>
      <c r="B8" s="83"/>
      <c r="C8" s="83"/>
      <c r="D8" s="83"/>
      <c r="E8" s="83"/>
      <c r="F8" s="83"/>
      <c r="G8" s="83"/>
      <c r="H8" s="83"/>
      <c r="I8" s="83" t="s">
        <v>142</v>
      </c>
      <c r="J8" s="83"/>
      <c r="K8" s="218"/>
      <c r="L8" s="218"/>
      <c r="M8" s="83"/>
      <c r="N8" s="83"/>
      <c r="O8" s="83"/>
      <c r="P8" s="83"/>
      <c r="Q8" s="83"/>
      <c r="R8" s="83"/>
      <c r="S8" s="83"/>
      <c r="T8" s="83"/>
      <c r="U8" s="83"/>
    </row>
    <row r="9" spans="1:21">
      <c r="A9" s="82" t="s">
        <v>143</v>
      </c>
      <c r="B9" s="86">
        <v>57784004441</v>
      </c>
      <c r="C9" s="83"/>
      <c r="D9" s="83"/>
      <c r="E9" s="83"/>
      <c r="F9" s="83"/>
      <c r="G9" s="83"/>
      <c r="H9" s="83"/>
      <c r="I9" s="83"/>
      <c r="J9" s="83"/>
      <c r="K9" s="218"/>
      <c r="L9" s="218"/>
      <c r="M9" s="83"/>
      <c r="N9" s="83"/>
      <c r="O9" s="83"/>
      <c r="P9" s="83"/>
      <c r="Q9" s="83"/>
      <c r="R9" s="83"/>
      <c r="S9" s="83"/>
      <c r="T9" s="83"/>
      <c r="U9" s="83"/>
    </row>
    <row r="10" spans="1:21">
      <c r="A10" s="87" t="s">
        <v>144</v>
      </c>
      <c r="B10" s="88" t="s">
        <v>145</v>
      </c>
      <c r="C10" s="88" t="s">
        <v>146</v>
      </c>
      <c r="D10" s="88" t="s">
        <v>147</v>
      </c>
      <c r="E10" s="88" t="s">
        <v>148</v>
      </c>
      <c r="F10" s="83"/>
      <c r="G10" s="83"/>
      <c r="H10" s="83"/>
      <c r="I10" s="83"/>
      <c r="J10" s="83"/>
      <c r="K10" s="218"/>
      <c r="L10" s="218"/>
      <c r="M10" s="83"/>
      <c r="N10" s="83"/>
      <c r="O10" s="83"/>
      <c r="P10" s="83"/>
      <c r="Q10" s="83"/>
      <c r="R10" s="83"/>
      <c r="S10" s="83"/>
      <c r="T10" s="83"/>
      <c r="U10" s="83"/>
    </row>
    <row r="11" spans="1:21">
      <c r="A11" s="89" t="s">
        <v>149</v>
      </c>
      <c r="B11" s="90">
        <v>2782951190</v>
      </c>
      <c r="C11" s="91">
        <v>4.82E-2</v>
      </c>
      <c r="D11" s="89">
        <v>14</v>
      </c>
      <c r="E11" s="91">
        <v>5.7099999999999998E-2</v>
      </c>
      <c r="F11" s="83"/>
      <c r="G11" s="83"/>
      <c r="H11" s="83"/>
      <c r="I11" s="83"/>
      <c r="J11" s="83"/>
      <c r="K11" s="218"/>
      <c r="L11" s="218"/>
      <c r="M11" s="83"/>
      <c r="N11" s="83"/>
      <c r="O11" s="83"/>
      <c r="P11" s="83"/>
      <c r="Q11" s="83"/>
      <c r="R11" s="83"/>
      <c r="S11" s="83"/>
      <c r="T11" s="83"/>
      <c r="U11" s="83"/>
    </row>
    <row r="12" spans="1:21">
      <c r="A12" s="89" t="s">
        <v>150</v>
      </c>
      <c r="B12" s="90">
        <v>10474934763</v>
      </c>
      <c r="C12" s="91">
        <v>0.18129999999999999</v>
      </c>
      <c r="D12" s="89">
        <v>62</v>
      </c>
      <c r="E12" s="91">
        <v>0.25309999999999999</v>
      </c>
      <c r="F12" s="83"/>
      <c r="G12" s="83"/>
      <c r="H12" s="83"/>
      <c r="I12" s="83"/>
      <c r="J12" s="83"/>
      <c r="K12" s="218"/>
      <c r="L12" s="218"/>
      <c r="M12" s="83"/>
      <c r="N12" s="83"/>
      <c r="O12" s="83"/>
      <c r="P12" s="83"/>
      <c r="Q12" s="83"/>
      <c r="R12" s="83"/>
      <c r="S12" s="83"/>
      <c r="T12" s="83"/>
      <c r="U12" s="83"/>
    </row>
    <row r="13" spans="1:21">
      <c r="A13" s="89" t="s">
        <v>151</v>
      </c>
      <c r="B13" s="90">
        <v>8045050788</v>
      </c>
      <c r="C13" s="91">
        <v>0.13919999999999999</v>
      </c>
      <c r="D13" s="89">
        <v>34</v>
      </c>
      <c r="E13" s="91">
        <v>0.13880000000000001</v>
      </c>
      <c r="F13" s="83"/>
      <c r="G13" s="83"/>
      <c r="H13" s="83"/>
      <c r="I13" s="83"/>
      <c r="J13" s="83"/>
      <c r="K13" s="218"/>
      <c r="L13" s="218"/>
      <c r="M13" s="83"/>
      <c r="N13" s="83"/>
      <c r="O13" s="83"/>
      <c r="P13" s="83"/>
      <c r="Q13" s="83"/>
      <c r="R13" s="83"/>
      <c r="S13" s="83"/>
      <c r="T13" s="83"/>
      <c r="U13" s="83"/>
    </row>
    <row r="14" spans="1:21">
      <c r="A14" s="89" t="s">
        <v>152</v>
      </c>
      <c r="B14" s="90">
        <v>8636857218</v>
      </c>
      <c r="C14" s="91">
        <v>0.14949999999999999</v>
      </c>
      <c r="D14" s="89">
        <v>29</v>
      </c>
      <c r="E14" s="91">
        <v>0.11840000000000001</v>
      </c>
      <c r="F14" s="83"/>
      <c r="G14" s="83"/>
      <c r="H14" s="83"/>
      <c r="I14" s="83"/>
      <c r="J14" s="83"/>
      <c r="K14" s="218"/>
      <c r="L14" s="218"/>
      <c r="M14" s="83"/>
      <c r="N14" s="83"/>
      <c r="O14" s="83"/>
      <c r="P14" s="83"/>
      <c r="Q14" s="83"/>
      <c r="R14" s="83"/>
      <c r="S14" s="83"/>
      <c r="T14" s="83"/>
      <c r="U14" s="83"/>
    </row>
    <row r="15" spans="1:21">
      <c r="A15" s="89" t="s">
        <v>153</v>
      </c>
      <c r="B15" s="90">
        <v>17560356570</v>
      </c>
      <c r="C15" s="91">
        <v>0.3039</v>
      </c>
      <c r="D15" s="89">
        <v>60</v>
      </c>
      <c r="E15" s="91">
        <v>0.24490000000000001</v>
      </c>
      <c r="F15" s="83"/>
      <c r="G15" s="83"/>
      <c r="H15" s="83"/>
      <c r="I15" s="83"/>
      <c r="J15" s="83"/>
      <c r="K15" s="218"/>
      <c r="L15" s="218"/>
      <c r="M15" s="83"/>
      <c r="N15" s="83"/>
      <c r="O15" s="83"/>
      <c r="P15" s="83"/>
      <c r="Q15" s="83"/>
      <c r="R15" s="83"/>
      <c r="S15" s="83"/>
      <c r="T15" s="83"/>
      <c r="U15" s="83"/>
    </row>
    <row r="16" spans="1:21">
      <c r="A16" s="89" t="s">
        <v>154</v>
      </c>
      <c r="B16" s="90">
        <v>4317683375</v>
      </c>
      <c r="C16" s="91">
        <v>7.4700000000000003E-2</v>
      </c>
      <c r="D16" s="89">
        <v>14</v>
      </c>
      <c r="E16" s="91">
        <v>5.7099999999999998E-2</v>
      </c>
      <c r="F16" s="83"/>
      <c r="G16" s="83"/>
      <c r="H16" s="83"/>
      <c r="I16" s="83"/>
      <c r="J16" s="83"/>
      <c r="K16" s="218"/>
      <c r="L16" s="218"/>
      <c r="M16" s="83"/>
      <c r="N16" s="83"/>
      <c r="O16" s="83"/>
      <c r="P16" s="83"/>
      <c r="Q16" s="83"/>
      <c r="R16" s="83"/>
      <c r="S16" s="83"/>
      <c r="T16" s="83"/>
      <c r="U16" s="83"/>
    </row>
    <row r="17" spans="1:22">
      <c r="A17" s="89" t="s">
        <v>155</v>
      </c>
      <c r="B17" s="90">
        <v>3184162526</v>
      </c>
      <c r="C17" s="91">
        <v>5.5100000000000003E-2</v>
      </c>
      <c r="D17" s="89">
        <v>15</v>
      </c>
      <c r="E17" s="91">
        <v>6.1199999999999997E-2</v>
      </c>
      <c r="F17" s="83"/>
      <c r="G17" s="83"/>
      <c r="H17" s="83"/>
      <c r="I17" s="83"/>
      <c r="J17" s="83"/>
      <c r="K17" s="218"/>
      <c r="L17" s="218"/>
      <c r="M17" s="83"/>
      <c r="N17" s="83"/>
      <c r="O17" s="83"/>
      <c r="P17" s="83"/>
      <c r="Q17" s="83"/>
      <c r="R17" s="83"/>
      <c r="S17" s="83"/>
      <c r="T17" s="83"/>
      <c r="U17" s="83"/>
    </row>
    <row r="18" spans="1:22">
      <c r="A18" s="89" t="s">
        <v>156</v>
      </c>
      <c r="B18" s="90">
        <v>2782008011</v>
      </c>
      <c r="C18" s="91">
        <v>4.8099999999999997E-2</v>
      </c>
      <c r="D18" s="89">
        <v>17</v>
      </c>
      <c r="E18" s="91">
        <v>6.9400000000000003E-2</v>
      </c>
      <c r="F18" s="83"/>
      <c r="G18" s="83"/>
      <c r="H18" s="83"/>
      <c r="I18" s="83"/>
      <c r="J18" s="83"/>
      <c r="K18" s="218"/>
      <c r="L18" s="218"/>
      <c r="M18" s="83"/>
      <c r="N18" s="83"/>
      <c r="O18" s="83"/>
      <c r="P18" s="83"/>
      <c r="Q18" s="83"/>
      <c r="R18" s="83"/>
      <c r="S18" s="83"/>
      <c r="T18" s="83"/>
      <c r="U18" s="83"/>
    </row>
    <row r="19" spans="1:22">
      <c r="A19" s="83"/>
      <c r="B19" s="83"/>
      <c r="C19" s="83"/>
      <c r="D19" s="83"/>
      <c r="E19" s="83"/>
      <c r="F19" s="83"/>
      <c r="G19" s="83"/>
      <c r="H19" s="83"/>
      <c r="I19" s="83"/>
      <c r="J19" s="83"/>
      <c r="K19" s="218"/>
      <c r="L19" s="218"/>
      <c r="M19" s="83"/>
      <c r="N19" s="83"/>
      <c r="O19" s="83"/>
      <c r="P19" s="83"/>
      <c r="Q19" s="83"/>
      <c r="R19" s="83"/>
      <c r="S19" s="83"/>
      <c r="T19" s="83"/>
      <c r="U19" s="83"/>
    </row>
    <row r="20" spans="1:22">
      <c r="A20" s="83"/>
      <c r="B20" s="83"/>
      <c r="C20" s="83"/>
      <c r="D20" s="83"/>
      <c r="E20" s="83"/>
      <c r="F20" s="83"/>
      <c r="G20" s="83"/>
      <c r="H20" s="83"/>
      <c r="I20" s="83"/>
      <c r="J20" s="83"/>
      <c r="K20" s="218"/>
      <c r="L20" s="218"/>
      <c r="M20" s="83"/>
      <c r="N20" s="83"/>
      <c r="O20" s="83"/>
      <c r="P20" s="83"/>
      <c r="Q20" s="83"/>
      <c r="R20" s="83"/>
      <c r="S20" s="83"/>
      <c r="T20" s="83"/>
      <c r="U20" s="83"/>
    </row>
    <row r="21" spans="1:22">
      <c r="A21" s="82" t="s">
        <v>157</v>
      </c>
      <c r="B21" s="83"/>
      <c r="C21" s="83"/>
      <c r="D21" s="83"/>
      <c r="E21" s="83"/>
      <c r="F21" s="83"/>
      <c r="G21" s="83"/>
      <c r="H21" s="83"/>
      <c r="I21" s="83"/>
      <c r="J21" s="83"/>
      <c r="K21" s="223"/>
      <c r="L21" s="223"/>
      <c r="M21" s="83"/>
      <c r="N21" s="83"/>
      <c r="O21" s="83"/>
      <c r="P21" s="83"/>
      <c r="Q21" s="83"/>
      <c r="R21" s="83"/>
      <c r="S21" s="83"/>
      <c r="T21" s="83"/>
      <c r="U21" s="83"/>
    </row>
    <row r="22" spans="1:22">
      <c r="A22" s="224" t="s">
        <v>144</v>
      </c>
      <c r="B22" s="225"/>
      <c r="C22" s="226"/>
      <c r="D22" s="224" t="s">
        <v>145</v>
      </c>
      <c r="E22" s="225"/>
      <c r="F22" s="225"/>
      <c r="G22" s="225"/>
      <c r="H22" s="226"/>
      <c r="I22" s="224" t="s">
        <v>158</v>
      </c>
      <c r="J22" s="225"/>
      <c r="K22" s="226"/>
      <c r="L22" s="224" t="s">
        <v>159</v>
      </c>
      <c r="M22" s="225"/>
      <c r="N22" s="227"/>
      <c r="O22" s="83"/>
      <c r="P22" s="83"/>
      <c r="Q22" s="83"/>
      <c r="R22" s="83"/>
      <c r="S22" s="83"/>
      <c r="T22" s="83"/>
      <c r="U22" s="83"/>
    </row>
    <row r="23" spans="1:22">
      <c r="A23" s="92" t="s">
        <v>160</v>
      </c>
      <c r="B23" s="93">
        <v>82463.05</v>
      </c>
      <c r="C23" s="94">
        <v>45558</v>
      </c>
      <c r="D23" s="92" t="s">
        <v>63</v>
      </c>
      <c r="E23" s="95">
        <v>984029483</v>
      </c>
      <c r="F23" s="96">
        <v>45275</v>
      </c>
      <c r="G23" s="97" t="s">
        <v>161</v>
      </c>
      <c r="H23" s="98">
        <v>35516436950</v>
      </c>
      <c r="I23" s="92" t="s">
        <v>162</v>
      </c>
      <c r="J23" s="99"/>
      <c r="K23" s="100">
        <v>149</v>
      </c>
      <c r="L23" s="92" t="s">
        <v>162</v>
      </c>
      <c r="M23" s="101">
        <v>4.6851999999999998E-2</v>
      </c>
      <c r="N23" s="94">
        <v>45456</v>
      </c>
      <c r="O23" s="83"/>
      <c r="P23" s="83"/>
      <c r="Q23" s="83"/>
      <c r="R23" s="83"/>
      <c r="S23" s="83"/>
      <c r="T23" s="83"/>
      <c r="U23" s="83"/>
    </row>
    <row r="24" spans="1:22">
      <c r="A24" s="102" t="s">
        <v>163</v>
      </c>
      <c r="B24" s="103">
        <v>46177.5</v>
      </c>
      <c r="C24" s="104">
        <v>45197</v>
      </c>
      <c r="D24" s="102" t="s">
        <v>62</v>
      </c>
      <c r="E24" s="105">
        <v>21230575</v>
      </c>
      <c r="F24" s="106">
        <v>45560</v>
      </c>
      <c r="G24" s="107" t="s">
        <v>164</v>
      </c>
      <c r="H24" s="108">
        <v>22177975735</v>
      </c>
      <c r="I24" s="102" t="s">
        <v>165</v>
      </c>
      <c r="J24" s="109"/>
      <c r="K24" s="110">
        <v>95</v>
      </c>
      <c r="L24" s="102" t="s">
        <v>165</v>
      </c>
      <c r="M24" s="111">
        <v>-4.1068E-2</v>
      </c>
      <c r="N24" s="104">
        <v>45286</v>
      </c>
      <c r="O24" s="83"/>
      <c r="P24" s="83"/>
      <c r="Q24" s="83"/>
      <c r="R24" s="83"/>
      <c r="S24" s="83"/>
      <c r="T24" s="83"/>
      <c r="U24" s="83"/>
    </row>
    <row r="25" spans="1:22">
      <c r="A25" s="112" t="s">
        <v>166</v>
      </c>
      <c r="B25" s="113">
        <v>67544.301800000001</v>
      </c>
      <c r="C25" s="114"/>
      <c r="D25" s="112" t="s">
        <v>166</v>
      </c>
      <c r="E25" s="115">
        <v>235853079</v>
      </c>
      <c r="F25" s="116"/>
      <c r="G25" s="116" t="s">
        <v>167</v>
      </c>
      <c r="H25" s="117">
        <v>57784004441</v>
      </c>
      <c r="I25" s="112" t="s">
        <v>168</v>
      </c>
      <c r="J25" s="118"/>
      <c r="K25" s="114">
        <v>0</v>
      </c>
      <c r="L25" s="112" t="s">
        <v>169</v>
      </c>
      <c r="M25" s="119">
        <v>0.76077499999999998</v>
      </c>
      <c r="N25" s="114" t="s">
        <v>170</v>
      </c>
      <c r="O25" s="83"/>
      <c r="P25" s="83"/>
      <c r="Q25" s="83"/>
      <c r="R25" s="83"/>
      <c r="S25" s="83"/>
      <c r="T25" s="83"/>
      <c r="U25" s="83"/>
    </row>
    <row r="26" spans="1:22">
      <c r="A26" s="83"/>
      <c r="B26" s="83"/>
      <c r="C26" s="83"/>
      <c r="D26" s="83"/>
      <c r="E26" s="83"/>
      <c r="F26" s="83"/>
      <c r="G26" s="83"/>
      <c r="H26" s="83"/>
      <c r="I26" s="83"/>
      <c r="J26" s="83"/>
      <c r="K26" s="221"/>
      <c r="L26" s="221"/>
      <c r="M26" s="83"/>
      <c r="N26" s="83"/>
      <c r="O26" s="83"/>
      <c r="P26" s="83"/>
      <c r="Q26" s="83"/>
      <c r="R26" s="83"/>
      <c r="S26" s="83"/>
      <c r="T26" s="83"/>
      <c r="U26" s="83"/>
    </row>
    <row r="27" spans="1:22">
      <c r="A27" s="222" t="s">
        <v>171</v>
      </c>
      <c r="B27" s="222"/>
      <c r="C27" s="222"/>
      <c r="D27" s="222"/>
      <c r="E27" s="222"/>
      <c r="F27" s="222"/>
      <c r="G27" s="222"/>
      <c r="H27" s="222"/>
      <c r="I27" s="222"/>
      <c r="J27" s="120"/>
      <c r="K27" s="218"/>
      <c r="L27" s="218"/>
      <c r="M27" s="222" t="s">
        <v>172</v>
      </c>
      <c r="N27" s="222"/>
      <c r="O27" s="222"/>
      <c r="P27" s="222"/>
      <c r="Q27" s="222"/>
      <c r="R27" s="222"/>
      <c r="S27" s="222"/>
      <c r="T27" s="222"/>
      <c r="U27" s="222"/>
    </row>
    <row r="28" spans="1:22">
      <c r="A28" s="82" t="s">
        <v>173</v>
      </c>
      <c r="B28" s="83"/>
      <c r="C28" s="83"/>
      <c r="D28" s="83"/>
      <c r="E28" s="83"/>
      <c r="F28" s="83"/>
      <c r="G28" s="83"/>
      <c r="H28" s="83"/>
      <c r="I28" s="83"/>
      <c r="J28" s="83"/>
      <c r="K28" s="218"/>
      <c r="L28" s="218"/>
      <c r="M28" s="82" t="s">
        <v>173</v>
      </c>
      <c r="N28" s="83"/>
      <c r="O28" s="83"/>
      <c r="P28" s="83"/>
      <c r="Q28" s="83"/>
      <c r="R28" s="83"/>
      <c r="S28" s="83"/>
      <c r="T28" s="83"/>
      <c r="U28" s="83"/>
    </row>
    <row r="29" spans="1:22">
      <c r="A29" s="121" t="s">
        <v>14</v>
      </c>
      <c r="B29" s="121" t="s">
        <v>174</v>
      </c>
      <c r="C29" s="121" t="s">
        <v>175</v>
      </c>
      <c r="D29" s="121" t="s">
        <v>176</v>
      </c>
      <c r="E29" s="121" t="s">
        <v>177</v>
      </c>
      <c r="F29" s="121" t="s">
        <v>163</v>
      </c>
      <c r="G29" s="121" t="s">
        <v>160</v>
      </c>
      <c r="H29" s="121" t="s">
        <v>145</v>
      </c>
      <c r="I29" s="88" t="s">
        <v>178</v>
      </c>
      <c r="J29" s="122" t="s">
        <v>179</v>
      </c>
      <c r="K29" s="219"/>
      <c r="L29" s="220"/>
      <c r="M29" s="121" t="s">
        <v>14</v>
      </c>
      <c r="N29" s="121" t="s">
        <v>174</v>
      </c>
      <c r="O29" s="121" t="s">
        <v>175</v>
      </c>
      <c r="P29" s="121" t="s">
        <v>176</v>
      </c>
      <c r="Q29" s="121" t="s">
        <v>177</v>
      </c>
      <c r="R29" s="121" t="s">
        <v>163</v>
      </c>
      <c r="S29" s="121" t="s">
        <v>160</v>
      </c>
      <c r="T29" s="121" t="s">
        <v>145</v>
      </c>
      <c r="U29" s="88" t="s">
        <v>178</v>
      </c>
      <c r="V29" s="122" t="s">
        <v>179</v>
      </c>
    </row>
    <row r="30" spans="1:22">
      <c r="A30" s="123">
        <v>45555</v>
      </c>
      <c r="B30" s="124">
        <v>82074.45</v>
      </c>
      <c r="C30" s="89">
        <v>615.16</v>
      </c>
      <c r="D30" s="91">
        <v>7.5519999999999997E-3</v>
      </c>
      <c r="E30" s="124">
        <v>81694.98</v>
      </c>
      <c r="F30" s="124">
        <v>81387.570000000007</v>
      </c>
      <c r="G30" s="124">
        <v>82372.2</v>
      </c>
      <c r="H30" s="90">
        <v>243550905</v>
      </c>
      <c r="I30" s="91">
        <v>0.31726799999999999</v>
      </c>
      <c r="J30" s="125">
        <f>IFERROR(C30/B31,0)</f>
        <v>7.5517476275572745E-3</v>
      </c>
      <c r="K30" s="219"/>
      <c r="L30" s="220"/>
      <c r="M30" s="123">
        <v>45436</v>
      </c>
      <c r="N30" s="124">
        <v>75983.039999999994</v>
      </c>
      <c r="O30" s="89">
        <v>868.57</v>
      </c>
      <c r="P30" s="91">
        <v>1.1563E-2</v>
      </c>
      <c r="Q30" s="124">
        <v>75266.61</v>
      </c>
      <c r="R30" s="124">
        <v>75263.06</v>
      </c>
      <c r="S30" s="124">
        <v>76248.759999999995</v>
      </c>
      <c r="T30" s="90">
        <v>310418114</v>
      </c>
      <c r="U30" s="91">
        <v>-7.8561000000000006E-2</v>
      </c>
      <c r="V30" s="125">
        <f>IFERROR(O30/N31,0)</f>
        <v>1.1563284677373081E-2</v>
      </c>
    </row>
    <row r="31" spans="1:22">
      <c r="A31" s="123">
        <v>45554</v>
      </c>
      <c r="B31" s="124">
        <v>81459.289999999994</v>
      </c>
      <c r="C31" s="89">
        <v>997.95</v>
      </c>
      <c r="D31" s="91">
        <v>1.2403000000000001E-2</v>
      </c>
      <c r="E31" s="124">
        <v>80802.77</v>
      </c>
      <c r="F31" s="124">
        <v>80680.240000000005</v>
      </c>
      <c r="G31" s="124">
        <v>82003.58</v>
      </c>
      <c r="H31" s="90">
        <v>184890999</v>
      </c>
      <c r="I31" s="91">
        <v>0.24437800000000001</v>
      </c>
      <c r="J31" s="125">
        <f t="shared" ref="J31:J72" si="0">IFERROR(C31/B32,0)</f>
        <v>1.2402850859804224E-2</v>
      </c>
      <c r="K31" s="219"/>
      <c r="L31" s="220"/>
      <c r="M31" s="123">
        <v>45435</v>
      </c>
      <c r="N31" s="124">
        <v>75114.47</v>
      </c>
      <c r="O31" s="89">
        <v>157.80000000000001</v>
      </c>
      <c r="P31" s="91">
        <v>2.1050000000000001E-3</v>
      </c>
      <c r="Q31" s="124">
        <v>74982.16</v>
      </c>
      <c r="R31" s="124">
        <v>74726.070000000007</v>
      </c>
      <c r="S31" s="124">
        <v>75284.740000000005</v>
      </c>
      <c r="T31" s="90">
        <v>336883972</v>
      </c>
      <c r="U31" s="91">
        <v>0.83721100000000004</v>
      </c>
      <c r="V31" s="125">
        <f t="shared" ref="V31:V69" si="1">IFERROR(O31/N32,0)</f>
        <v>2.1052162536035822E-3</v>
      </c>
    </row>
    <row r="32" spans="1:22">
      <c r="A32" s="123">
        <v>45553</v>
      </c>
      <c r="B32" s="124">
        <v>80461.34</v>
      </c>
      <c r="C32" s="89">
        <v>970.2</v>
      </c>
      <c r="D32" s="91">
        <v>1.2205000000000001E-2</v>
      </c>
      <c r="E32" s="124">
        <v>79884.41</v>
      </c>
      <c r="F32" s="124">
        <v>79798.75</v>
      </c>
      <c r="G32" s="124">
        <v>80587.44</v>
      </c>
      <c r="H32" s="90">
        <v>148581053</v>
      </c>
      <c r="I32" s="91">
        <v>-2.4323999999999998E-2</v>
      </c>
      <c r="J32" s="125">
        <f t="shared" si="0"/>
        <v>1.2205133804849196E-2</v>
      </c>
      <c r="K32" s="219"/>
      <c r="L32" s="220"/>
      <c r="M32" s="123">
        <v>45434</v>
      </c>
      <c r="N32" s="124">
        <v>74956.67</v>
      </c>
      <c r="O32" s="89">
        <v>-250.1</v>
      </c>
      <c r="P32" s="91">
        <v>-3.3249999999999998E-3</v>
      </c>
      <c r="Q32" s="124">
        <v>75246.33</v>
      </c>
      <c r="R32" s="124">
        <v>74835.490000000005</v>
      </c>
      <c r="S32" s="124">
        <v>75513.899999999994</v>
      </c>
      <c r="T32" s="90">
        <v>183367088</v>
      </c>
      <c r="U32" s="91">
        <v>0.14956700000000001</v>
      </c>
      <c r="V32" s="125">
        <f t="shared" si="1"/>
        <v>-3.3254984890323035E-3</v>
      </c>
    </row>
    <row r="33" spans="1:22">
      <c r="A33" s="123">
        <v>45551</v>
      </c>
      <c r="B33" s="124">
        <v>79491.14</v>
      </c>
      <c r="C33" s="89">
        <v>158.08000000000001</v>
      </c>
      <c r="D33" s="91">
        <v>1.993E-3</v>
      </c>
      <c r="E33" s="124">
        <v>79682.100000000006</v>
      </c>
      <c r="F33" s="124">
        <v>79368.179999999993</v>
      </c>
      <c r="G33" s="124">
        <v>79993.179999999993</v>
      </c>
      <c r="H33" s="90">
        <v>152285179</v>
      </c>
      <c r="I33" s="91">
        <v>-0.20624400000000001</v>
      </c>
      <c r="J33" s="125">
        <f t="shared" si="0"/>
        <v>1.9926119073183364E-3</v>
      </c>
      <c r="K33" s="219"/>
      <c r="L33" s="220"/>
      <c r="M33" s="123">
        <v>45433</v>
      </c>
      <c r="N33" s="124">
        <v>75206.77</v>
      </c>
      <c r="O33" s="89">
        <v>122.77</v>
      </c>
      <c r="P33" s="91">
        <v>1.635E-3</v>
      </c>
      <c r="Q33" s="124">
        <v>75158.679999999993</v>
      </c>
      <c r="R33" s="124">
        <v>74958.100000000006</v>
      </c>
      <c r="S33" s="124">
        <v>75482.460000000006</v>
      </c>
      <c r="T33" s="90">
        <v>159509646</v>
      </c>
      <c r="U33" s="91">
        <v>0.12840299999999999</v>
      </c>
      <c r="V33" s="125">
        <f t="shared" si="1"/>
        <v>1.6351020190719728E-3</v>
      </c>
    </row>
    <row r="34" spans="1:22">
      <c r="A34" s="123">
        <v>45548</v>
      </c>
      <c r="B34" s="124">
        <v>79333.06</v>
      </c>
      <c r="C34" s="89">
        <v>315.44</v>
      </c>
      <c r="D34" s="91">
        <v>3.9919999999999999E-3</v>
      </c>
      <c r="E34" s="124">
        <v>79912.34</v>
      </c>
      <c r="F34" s="124">
        <v>79262.720000000001</v>
      </c>
      <c r="G34" s="124">
        <v>80016.740000000005</v>
      </c>
      <c r="H34" s="90">
        <v>191853803</v>
      </c>
      <c r="I34" s="91">
        <v>0.44522600000000001</v>
      </c>
      <c r="J34" s="125">
        <f t="shared" si="0"/>
        <v>3.9920210201218418E-3</v>
      </c>
      <c r="K34" s="219"/>
      <c r="L34" s="220"/>
      <c r="M34" s="123">
        <v>45432</v>
      </c>
      <c r="N34" s="124">
        <v>75084</v>
      </c>
      <c r="O34" s="89">
        <v>-258.35000000000002</v>
      </c>
      <c r="P34" s="91">
        <v>-3.4290000000000002E-3</v>
      </c>
      <c r="Q34" s="124">
        <v>75454.97</v>
      </c>
      <c r="R34" s="124">
        <v>74734.25</v>
      </c>
      <c r="S34" s="124">
        <v>75618.490000000005</v>
      </c>
      <c r="T34" s="90">
        <v>141358802</v>
      </c>
      <c r="U34" s="91">
        <v>-0.25097900000000001</v>
      </c>
      <c r="V34" s="125">
        <f t="shared" si="1"/>
        <v>-3.4290143591220608E-3</v>
      </c>
    </row>
    <row r="35" spans="1:22">
      <c r="A35" s="123">
        <v>45547</v>
      </c>
      <c r="B35" s="124">
        <v>79017.62</v>
      </c>
      <c r="C35" s="89">
        <v>365.82</v>
      </c>
      <c r="D35" s="91">
        <v>4.6509999999999998E-3</v>
      </c>
      <c r="E35" s="124">
        <v>78843.06</v>
      </c>
      <c r="F35" s="124">
        <v>78577.649999999994</v>
      </c>
      <c r="G35" s="124">
        <v>79217.62</v>
      </c>
      <c r="H35" s="90">
        <v>132750010</v>
      </c>
      <c r="I35" s="91">
        <v>-9.3960000000000002E-2</v>
      </c>
      <c r="J35" s="125">
        <f t="shared" si="0"/>
        <v>4.6511332226344465E-3</v>
      </c>
      <c r="K35" s="219"/>
      <c r="L35" s="220"/>
      <c r="M35" s="123">
        <v>45429</v>
      </c>
      <c r="N35" s="124">
        <v>75342.350000000006</v>
      </c>
      <c r="O35" s="89">
        <v>411.65</v>
      </c>
      <c r="P35" s="91">
        <v>5.4939999999999998E-3</v>
      </c>
      <c r="Q35" s="124">
        <v>74981.289999999994</v>
      </c>
      <c r="R35" s="124">
        <v>74947.710000000006</v>
      </c>
      <c r="S35" s="124">
        <v>75401.119999999995</v>
      </c>
      <c r="T35" s="90">
        <v>188724737</v>
      </c>
      <c r="U35" s="91">
        <v>0.107104</v>
      </c>
      <c r="V35" s="125">
        <f t="shared" si="1"/>
        <v>5.4937428850924917E-3</v>
      </c>
    </row>
    <row r="36" spans="1:22">
      <c r="A36" s="123">
        <v>45546</v>
      </c>
      <c r="B36" s="124">
        <v>78651.8</v>
      </c>
      <c r="C36" s="89">
        <v>-634.94000000000005</v>
      </c>
      <c r="D36" s="91">
        <v>-8.0079999999999995E-3</v>
      </c>
      <c r="E36" s="124">
        <v>79428.490000000005</v>
      </c>
      <c r="F36" s="124">
        <v>78612.17</v>
      </c>
      <c r="G36" s="124">
        <v>79507.179999999993</v>
      </c>
      <c r="H36" s="90">
        <v>146516672</v>
      </c>
      <c r="I36" s="91">
        <v>0.207538</v>
      </c>
      <c r="J36" s="125">
        <f t="shared" si="0"/>
        <v>-8.0081486513381688E-3</v>
      </c>
      <c r="K36" s="219"/>
      <c r="L36" s="220"/>
      <c r="M36" s="123">
        <v>45428</v>
      </c>
      <c r="N36" s="124">
        <v>74930.7</v>
      </c>
      <c r="O36" s="89">
        <v>266.72000000000003</v>
      </c>
      <c r="P36" s="91">
        <v>3.5720000000000001E-3</v>
      </c>
      <c r="Q36" s="124">
        <v>74744.649999999994</v>
      </c>
      <c r="R36" s="124">
        <v>74450.259999999995</v>
      </c>
      <c r="S36" s="124">
        <v>75029.03</v>
      </c>
      <c r="T36" s="90">
        <v>170467012</v>
      </c>
      <c r="U36" s="91">
        <v>-0.32208100000000001</v>
      </c>
      <c r="V36" s="125">
        <f t="shared" si="1"/>
        <v>3.5722713951225216E-3</v>
      </c>
    </row>
    <row r="37" spans="1:22">
      <c r="A37" s="123">
        <v>45545</v>
      </c>
      <c r="B37" s="124">
        <v>79286.740000000005</v>
      </c>
      <c r="C37" s="89">
        <v>671.74</v>
      </c>
      <c r="D37" s="91">
        <v>8.5450000000000005E-3</v>
      </c>
      <c r="E37" s="124">
        <v>78776.77</v>
      </c>
      <c r="F37" s="124">
        <v>78642.87</v>
      </c>
      <c r="G37" s="124">
        <v>79335.59</v>
      </c>
      <c r="H37" s="90">
        <v>121335086</v>
      </c>
      <c r="I37" s="91">
        <v>0.34409800000000001</v>
      </c>
      <c r="J37" s="125">
        <f t="shared" si="0"/>
        <v>8.5446797684920178E-3</v>
      </c>
      <c r="K37" s="219"/>
      <c r="L37" s="220"/>
      <c r="M37" s="123">
        <v>45427</v>
      </c>
      <c r="N37" s="124">
        <v>74663.98</v>
      </c>
      <c r="O37" s="89">
        <v>132.79</v>
      </c>
      <c r="P37" s="91">
        <v>1.7819999999999999E-3</v>
      </c>
      <c r="Q37" s="124">
        <v>74771.179999999993</v>
      </c>
      <c r="R37" s="124">
        <v>74440.88</v>
      </c>
      <c r="S37" s="124">
        <v>75115.33</v>
      </c>
      <c r="T37" s="90">
        <v>251456212</v>
      </c>
      <c r="U37" s="91">
        <v>-2.2967000000000001E-2</v>
      </c>
      <c r="V37" s="125">
        <f t="shared" si="1"/>
        <v>1.7816701974032614E-3</v>
      </c>
    </row>
    <row r="38" spans="1:22">
      <c r="A38" s="123">
        <v>45544</v>
      </c>
      <c r="B38" s="124">
        <v>78615</v>
      </c>
      <c r="C38" s="89">
        <v>-282.73</v>
      </c>
      <c r="D38" s="91">
        <v>-3.5829999999999998E-3</v>
      </c>
      <c r="E38" s="124">
        <v>79117.78</v>
      </c>
      <c r="F38" s="124">
        <v>78545.69</v>
      </c>
      <c r="G38" s="124">
        <v>79214.28</v>
      </c>
      <c r="H38" s="90">
        <v>90272467</v>
      </c>
      <c r="I38" s="91">
        <v>-0.36367899999999997</v>
      </c>
      <c r="J38" s="125">
        <f t="shared" si="0"/>
        <v>-3.5834998041135028E-3</v>
      </c>
      <c r="K38" s="219"/>
      <c r="L38" s="220"/>
      <c r="M38" s="123">
        <v>45426</v>
      </c>
      <c r="N38" s="124">
        <v>74531.19</v>
      </c>
      <c r="O38" s="89">
        <v>732.08</v>
      </c>
      <c r="P38" s="91">
        <v>9.92E-3</v>
      </c>
      <c r="Q38" s="124">
        <v>74022.179999999993</v>
      </c>
      <c r="R38" s="124">
        <v>73977.009999999995</v>
      </c>
      <c r="S38" s="124">
        <v>74575.31</v>
      </c>
      <c r="T38" s="90">
        <v>257367216</v>
      </c>
      <c r="U38" s="91">
        <v>-0.166992</v>
      </c>
      <c r="V38" s="125">
        <f t="shared" si="1"/>
        <v>9.9199028280964364E-3</v>
      </c>
    </row>
    <row r="39" spans="1:22">
      <c r="A39" s="123">
        <v>45541</v>
      </c>
      <c r="B39" s="124">
        <v>78897.73</v>
      </c>
      <c r="C39" s="89">
        <v>34.39</v>
      </c>
      <c r="D39" s="91">
        <v>4.3600000000000003E-4</v>
      </c>
      <c r="E39" s="124">
        <v>79009.84</v>
      </c>
      <c r="F39" s="124">
        <v>78917.289999999994</v>
      </c>
      <c r="G39" s="124">
        <v>79254.25</v>
      </c>
      <c r="H39" s="90">
        <v>141866198</v>
      </c>
      <c r="I39" s="91">
        <v>7.3131000000000002E-2</v>
      </c>
      <c r="J39" s="125">
        <f t="shared" si="0"/>
        <v>4.3607080298653343E-4</v>
      </c>
      <c r="K39" s="219"/>
      <c r="L39" s="220"/>
      <c r="M39" s="123">
        <v>45425</v>
      </c>
      <c r="N39" s="124">
        <v>73799.11</v>
      </c>
      <c r="O39" s="89">
        <v>713.61</v>
      </c>
      <c r="P39" s="91">
        <v>9.7640000000000001E-3</v>
      </c>
      <c r="Q39" s="124">
        <v>73315.02</v>
      </c>
      <c r="R39" s="124">
        <v>73109.759999999995</v>
      </c>
      <c r="S39" s="124">
        <v>74114.23</v>
      </c>
      <c r="T39" s="90">
        <v>308961397</v>
      </c>
      <c r="U39" s="91">
        <v>-3.8419000000000002E-2</v>
      </c>
      <c r="V39" s="125">
        <f t="shared" si="1"/>
        <v>9.764043483317485E-3</v>
      </c>
    </row>
    <row r="40" spans="1:22">
      <c r="A40" s="123">
        <v>45540</v>
      </c>
      <c r="B40" s="124">
        <v>78863.34</v>
      </c>
      <c r="C40" s="89">
        <v>15.33</v>
      </c>
      <c r="D40" s="91">
        <v>1.94E-4</v>
      </c>
      <c r="E40" s="124">
        <v>79027.520000000004</v>
      </c>
      <c r="F40" s="124">
        <v>78578.02</v>
      </c>
      <c r="G40" s="124">
        <v>79154.3</v>
      </c>
      <c r="H40" s="90">
        <v>132198352</v>
      </c>
      <c r="I40" s="91">
        <v>-9.6379000000000006E-2</v>
      </c>
      <c r="J40" s="125">
        <f t="shared" si="0"/>
        <v>1.9442469125092695E-4</v>
      </c>
      <c r="K40" s="219"/>
      <c r="L40" s="220"/>
      <c r="M40" s="123">
        <v>45422</v>
      </c>
      <c r="N40" s="124">
        <v>73085.5</v>
      </c>
      <c r="O40" s="89">
        <v>427.45</v>
      </c>
      <c r="P40" s="91">
        <v>5.8830000000000002E-3</v>
      </c>
      <c r="Q40" s="124">
        <v>72888.929999999993</v>
      </c>
      <c r="R40" s="124">
        <v>72876.84</v>
      </c>
      <c r="S40" s="124">
        <v>73449.38</v>
      </c>
      <c r="T40" s="90">
        <v>321305768</v>
      </c>
      <c r="U40" s="91">
        <v>0.36609900000000001</v>
      </c>
      <c r="V40" s="125">
        <f t="shared" si="1"/>
        <v>5.88303704820044E-3</v>
      </c>
    </row>
    <row r="41" spans="1:22">
      <c r="A41" s="123">
        <v>45539</v>
      </c>
      <c r="B41" s="124">
        <v>78848.009999999995</v>
      </c>
      <c r="C41" s="89">
        <v>491.69</v>
      </c>
      <c r="D41" s="91">
        <v>6.2750000000000002E-3</v>
      </c>
      <c r="E41" s="124">
        <v>78488.88</v>
      </c>
      <c r="F41" s="124">
        <v>78488.88</v>
      </c>
      <c r="G41" s="124">
        <v>78890.789999999994</v>
      </c>
      <c r="H41" s="90">
        <v>146298521</v>
      </c>
      <c r="I41" s="91">
        <v>0.470669</v>
      </c>
      <c r="J41" s="125">
        <f t="shared" si="0"/>
        <v>6.2750522229732073E-3</v>
      </c>
      <c r="K41" s="219"/>
      <c r="L41" s="220"/>
      <c r="M41" s="123">
        <v>45421</v>
      </c>
      <c r="N41" s="124">
        <v>72658.05</v>
      </c>
      <c r="O41" s="89">
        <v>56.23</v>
      </c>
      <c r="P41" s="91">
        <v>7.7399999999999995E-4</v>
      </c>
      <c r="Q41" s="124">
        <v>72819.48</v>
      </c>
      <c r="R41" s="124">
        <v>72325.350000000006</v>
      </c>
      <c r="S41" s="124">
        <v>72889.78</v>
      </c>
      <c r="T41" s="90">
        <v>235199535</v>
      </c>
      <c r="U41" s="91">
        <v>-7.7190999999999996E-2</v>
      </c>
      <c r="V41" s="125">
        <f t="shared" si="1"/>
        <v>7.7449849053370825E-4</v>
      </c>
    </row>
    <row r="42" spans="1:22">
      <c r="A42" s="123">
        <v>45538</v>
      </c>
      <c r="B42" s="124">
        <v>78356.320000000007</v>
      </c>
      <c r="C42" s="89">
        <v>73.02</v>
      </c>
      <c r="D42" s="91">
        <v>9.3300000000000002E-4</v>
      </c>
      <c r="E42" s="124">
        <v>78566.039999999994</v>
      </c>
      <c r="F42" s="124">
        <v>78250.899999999994</v>
      </c>
      <c r="G42" s="124">
        <v>78644.960000000006</v>
      </c>
      <c r="H42" s="90">
        <v>99477520</v>
      </c>
      <c r="I42" s="91">
        <v>-0.180065</v>
      </c>
      <c r="J42" s="125">
        <f t="shared" si="0"/>
        <v>9.3276599223589187E-4</v>
      </c>
      <c r="K42" s="219"/>
      <c r="L42" s="220"/>
      <c r="M42" s="123">
        <v>45420</v>
      </c>
      <c r="N42" s="124">
        <v>72601.820000000007</v>
      </c>
      <c r="O42" s="89">
        <v>-159.38</v>
      </c>
      <c r="P42" s="91">
        <v>-2.1900000000000001E-3</v>
      </c>
      <c r="Q42" s="124">
        <v>73079.179999999993</v>
      </c>
      <c r="R42" s="124">
        <v>72358.19</v>
      </c>
      <c r="S42" s="124">
        <v>73079.179999999993</v>
      </c>
      <c r="T42" s="90">
        <v>254873342</v>
      </c>
      <c r="U42" s="91">
        <v>-5.5765000000000002E-2</v>
      </c>
      <c r="V42" s="125">
        <f t="shared" si="1"/>
        <v>-2.1904531536038438E-3</v>
      </c>
    </row>
    <row r="43" spans="1:22">
      <c r="A43" s="123">
        <v>45537</v>
      </c>
      <c r="B43" s="124">
        <v>78283.3</v>
      </c>
      <c r="C43" s="89">
        <v>-204.92</v>
      </c>
      <c r="D43" s="91">
        <v>-2.611E-3</v>
      </c>
      <c r="E43" s="124">
        <v>78715.16</v>
      </c>
      <c r="F43" s="124">
        <v>78240.37</v>
      </c>
      <c r="G43" s="124">
        <v>79014.69</v>
      </c>
      <c r="H43" s="90">
        <v>121323636</v>
      </c>
      <c r="I43" s="91">
        <v>-0.18326799999999999</v>
      </c>
      <c r="J43" s="125">
        <f t="shared" si="0"/>
        <v>-2.6108376518157754E-3</v>
      </c>
      <c r="K43" s="219"/>
      <c r="L43" s="220"/>
      <c r="M43" s="123">
        <v>45419</v>
      </c>
      <c r="N43" s="124">
        <v>72761.2</v>
      </c>
      <c r="O43" s="89">
        <v>-3.04</v>
      </c>
      <c r="P43" s="91">
        <v>-4.1999999999999998E-5</v>
      </c>
      <c r="Q43" s="124">
        <v>73062.52</v>
      </c>
      <c r="R43" s="124">
        <v>72707.960000000006</v>
      </c>
      <c r="S43" s="124">
        <v>73260.09</v>
      </c>
      <c r="T43" s="90">
        <v>269925733</v>
      </c>
      <c r="U43" s="91">
        <v>-0.138654</v>
      </c>
      <c r="V43" s="125">
        <f t="shared" si="1"/>
        <v>-4.1778763854332839E-5</v>
      </c>
    </row>
    <row r="44" spans="1:22">
      <c r="A44" s="123">
        <v>45534</v>
      </c>
      <c r="B44" s="124">
        <v>78488.22</v>
      </c>
      <c r="C44" s="89">
        <v>138.56</v>
      </c>
      <c r="D44" s="91">
        <v>1.768E-3</v>
      </c>
      <c r="E44" s="124">
        <v>78552.009999999995</v>
      </c>
      <c r="F44" s="124">
        <v>78439.62</v>
      </c>
      <c r="G44" s="124">
        <v>78914.28</v>
      </c>
      <c r="H44" s="90">
        <v>148547591</v>
      </c>
      <c r="I44" s="91">
        <v>-1.8745999999999999E-2</v>
      </c>
      <c r="J44" s="125">
        <f t="shared" si="0"/>
        <v>1.7684824669309349E-3</v>
      </c>
      <c r="K44" s="219"/>
      <c r="L44" s="220"/>
      <c r="M44" s="123">
        <v>45418</v>
      </c>
      <c r="N44" s="124">
        <v>72764.240000000005</v>
      </c>
      <c r="O44" s="89">
        <v>862.15</v>
      </c>
      <c r="P44" s="91">
        <v>1.1991E-2</v>
      </c>
      <c r="Q44" s="124">
        <v>72485.86</v>
      </c>
      <c r="R44" s="124">
        <v>72462.490000000005</v>
      </c>
      <c r="S44" s="124">
        <v>73060.740000000005</v>
      </c>
      <c r="T44" s="90">
        <v>313376780</v>
      </c>
      <c r="U44" s="91">
        <v>0.37119000000000002</v>
      </c>
      <c r="V44" s="125">
        <f t="shared" si="1"/>
        <v>1.1990611121317893E-2</v>
      </c>
    </row>
    <row r="45" spans="1:22">
      <c r="A45" s="123">
        <v>45533</v>
      </c>
      <c r="B45" s="124">
        <v>78349.66</v>
      </c>
      <c r="C45" s="89">
        <v>356.87</v>
      </c>
      <c r="D45" s="91">
        <v>4.5760000000000002E-3</v>
      </c>
      <c r="E45" s="124">
        <v>78019.509999999995</v>
      </c>
      <c r="F45" s="124">
        <v>78017.36</v>
      </c>
      <c r="G45" s="124">
        <v>78513.86</v>
      </c>
      <c r="H45" s="90">
        <v>151385422</v>
      </c>
      <c r="I45" s="91">
        <v>3.2309999999999999E-3</v>
      </c>
      <c r="J45" s="125">
        <f t="shared" si="0"/>
        <v>4.5756793672851043E-3</v>
      </c>
      <c r="K45" s="219"/>
      <c r="L45" s="220"/>
      <c r="M45" s="123">
        <v>45415</v>
      </c>
      <c r="N45" s="124">
        <v>71902.09</v>
      </c>
      <c r="O45" s="124">
        <v>1244.45</v>
      </c>
      <c r="P45" s="91">
        <v>1.7611999999999999E-2</v>
      </c>
      <c r="Q45" s="124">
        <v>70734.47</v>
      </c>
      <c r="R45" s="124">
        <v>70671.72</v>
      </c>
      <c r="S45" s="124">
        <v>71986.429999999993</v>
      </c>
      <c r="T45" s="90">
        <v>228543691</v>
      </c>
      <c r="U45" s="91">
        <v>1.2961E-2</v>
      </c>
      <c r="V45" s="125">
        <f t="shared" si="1"/>
        <v>1.7612391243183329E-2</v>
      </c>
    </row>
    <row r="46" spans="1:22">
      <c r="A46" s="123">
        <v>45532</v>
      </c>
      <c r="B46" s="124">
        <v>77992.789999999994</v>
      </c>
      <c r="C46" s="89">
        <v>-91.45</v>
      </c>
      <c r="D46" s="91">
        <v>-1.1709999999999999E-3</v>
      </c>
      <c r="E46" s="124">
        <v>78253.05</v>
      </c>
      <c r="F46" s="124">
        <v>77990.350000000006</v>
      </c>
      <c r="G46" s="124">
        <v>78334.61</v>
      </c>
      <c r="H46" s="90">
        <v>150897916</v>
      </c>
      <c r="I46" s="91">
        <v>-0.20829</v>
      </c>
      <c r="J46" s="125">
        <f t="shared" si="0"/>
        <v>-1.1711710327205593E-3</v>
      </c>
      <c r="K46" s="219"/>
      <c r="L46" s="220"/>
      <c r="M46" s="123">
        <v>45414</v>
      </c>
      <c r="N46" s="124">
        <v>70657.64</v>
      </c>
      <c r="O46" s="89">
        <v>-444.91</v>
      </c>
      <c r="P46" s="91">
        <v>-6.2570000000000004E-3</v>
      </c>
      <c r="Q46" s="124">
        <v>71199.95</v>
      </c>
      <c r="R46" s="124">
        <v>70562.12</v>
      </c>
      <c r="S46" s="124">
        <v>71292.83</v>
      </c>
      <c r="T46" s="90">
        <v>225619410</v>
      </c>
      <c r="U46" s="91">
        <v>-3.1313000000000001E-2</v>
      </c>
      <c r="V46" s="125">
        <f t="shared" si="1"/>
        <v>-6.2573001952813227E-3</v>
      </c>
    </row>
    <row r="47" spans="1:22">
      <c r="A47" s="123">
        <v>45531</v>
      </c>
      <c r="B47" s="124">
        <v>78084.240000000005</v>
      </c>
      <c r="C47" s="89">
        <v>-486.82</v>
      </c>
      <c r="D47" s="91">
        <v>-6.1960000000000001E-3</v>
      </c>
      <c r="E47" s="124">
        <v>78737.23</v>
      </c>
      <c r="F47" s="124">
        <v>78077.83</v>
      </c>
      <c r="G47" s="124">
        <v>78857.62</v>
      </c>
      <c r="H47" s="90">
        <v>190597406</v>
      </c>
      <c r="I47" s="91">
        <v>0.34915299999999999</v>
      </c>
      <c r="J47" s="125">
        <f t="shared" si="0"/>
        <v>-6.1959199735882398E-3</v>
      </c>
      <c r="K47" s="219"/>
      <c r="L47" s="220"/>
      <c r="M47" s="123">
        <v>45412</v>
      </c>
      <c r="N47" s="124">
        <v>71102.55</v>
      </c>
      <c r="O47" s="89">
        <v>-592.48</v>
      </c>
      <c r="P47" s="91">
        <v>-8.2640000000000005E-3</v>
      </c>
      <c r="Q47" s="124">
        <v>71780.95</v>
      </c>
      <c r="R47" s="124">
        <v>71059.63</v>
      </c>
      <c r="S47" s="124">
        <v>72119.66</v>
      </c>
      <c r="T47" s="90">
        <v>232912683</v>
      </c>
      <c r="U47" s="91">
        <v>-0.172266</v>
      </c>
      <c r="V47" s="125">
        <f t="shared" si="1"/>
        <v>-8.2638922112174308E-3</v>
      </c>
    </row>
    <row r="48" spans="1:22">
      <c r="A48" s="123">
        <v>45530</v>
      </c>
      <c r="B48" s="124">
        <v>78571.06</v>
      </c>
      <c r="C48" s="89">
        <v>-230.37</v>
      </c>
      <c r="D48" s="91">
        <v>-2.9229999999999998E-3</v>
      </c>
      <c r="E48" s="124">
        <v>78907.539999999994</v>
      </c>
      <c r="F48" s="124">
        <v>78553.87</v>
      </c>
      <c r="G48" s="124">
        <v>79160.399999999994</v>
      </c>
      <c r="H48" s="90">
        <v>141271943</v>
      </c>
      <c r="I48" s="91">
        <v>-0.28592000000000001</v>
      </c>
      <c r="J48" s="125">
        <f t="shared" si="0"/>
        <v>-2.923424105374738E-3</v>
      </c>
      <c r="K48" s="219"/>
      <c r="L48" s="220"/>
      <c r="M48" s="123">
        <v>45411</v>
      </c>
      <c r="N48" s="124">
        <v>71695.03</v>
      </c>
      <c r="O48" s="124">
        <v>-1047.72</v>
      </c>
      <c r="P48" s="91">
        <v>-1.4402999999999999E-2</v>
      </c>
      <c r="Q48" s="124">
        <v>73022.89</v>
      </c>
      <c r="R48" s="124">
        <v>71602.94</v>
      </c>
      <c r="S48" s="124">
        <v>73300.75</v>
      </c>
      <c r="T48" s="90">
        <v>281385875</v>
      </c>
      <c r="U48" s="91">
        <v>-6.9344000000000003E-2</v>
      </c>
      <c r="V48" s="125">
        <f t="shared" si="1"/>
        <v>-1.4403084843506742E-2</v>
      </c>
    </row>
    <row r="49" spans="1:22">
      <c r="A49" s="123">
        <v>45527</v>
      </c>
      <c r="B49" s="124">
        <v>78801.429999999993</v>
      </c>
      <c r="C49" s="89">
        <v>8.02</v>
      </c>
      <c r="D49" s="91">
        <v>1.02E-4</v>
      </c>
      <c r="E49" s="124">
        <v>78902.33</v>
      </c>
      <c r="F49" s="124">
        <v>78760.03</v>
      </c>
      <c r="G49" s="124">
        <v>79173.94</v>
      </c>
      <c r="H49" s="90">
        <v>197837814</v>
      </c>
      <c r="I49" s="91">
        <v>7.1943000000000007E-2</v>
      </c>
      <c r="J49" s="125">
        <f t="shared" si="0"/>
        <v>1.0178516198245512E-4</v>
      </c>
      <c r="K49" s="219"/>
      <c r="L49" s="220"/>
      <c r="M49" s="123">
        <v>45408</v>
      </c>
      <c r="N49" s="124">
        <v>72742.75</v>
      </c>
      <c r="O49" s="89">
        <v>771.35</v>
      </c>
      <c r="P49" s="91">
        <v>1.0717000000000001E-2</v>
      </c>
      <c r="Q49" s="124">
        <v>72109.789999999994</v>
      </c>
      <c r="R49" s="124">
        <v>71764.179999999993</v>
      </c>
      <c r="S49" s="124">
        <v>72862.41</v>
      </c>
      <c r="T49" s="90">
        <v>302352233</v>
      </c>
      <c r="U49" s="91">
        <v>-0.28704000000000002</v>
      </c>
      <c r="V49" s="125">
        <f t="shared" si="1"/>
        <v>1.0717451654407168E-2</v>
      </c>
    </row>
    <row r="50" spans="1:22">
      <c r="A50" s="123">
        <v>45526</v>
      </c>
      <c r="B50" s="124">
        <v>78793.41</v>
      </c>
      <c r="C50" s="89">
        <v>532.54999999999995</v>
      </c>
      <c r="D50" s="91">
        <v>6.8050000000000003E-3</v>
      </c>
      <c r="E50" s="124">
        <v>78442.25</v>
      </c>
      <c r="F50" s="124">
        <v>78442.25</v>
      </c>
      <c r="G50" s="124">
        <v>78996.22</v>
      </c>
      <c r="H50" s="90">
        <v>184560028</v>
      </c>
      <c r="I50" s="91">
        <v>-3.3000000000000002E-2</v>
      </c>
      <c r="J50" s="125">
        <f t="shared" si="0"/>
        <v>6.8048063872541134E-3</v>
      </c>
      <c r="K50" s="219"/>
      <c r="L50" s="220"/>
      <c r="M50" s="123">
        <v>45407</v>
      </c>
      <c r="N50" s="124">
        <v>71971.399999999994</v>
      </c>
      <c r="O50" s="89">
        <v>-80.489999999999995</v>
      </c>
      <c r="P50" s="91">
        <v>-1.1169999999999999E-3</v>
      </c>
      <c r="Q50" s="124">
        <v>72254.38</v>
      </c>
      <c r="R50" s="124">
        <v>71700.539999999994</v>
      </c>
      <c r="S50" s="124">
        <v>72593.25</v>
      </c>
      <c r="T50" s="90">
        <v>424080014</v>
      </c>
      <c r="U50" s="91">
        <v>0.30681900000000001</v>
      </c>
      <c r="V50" s="125">
        <f t="shared" si="1"/>
        <v>-1.1171115705639367E-3</v>
      </c>
    </row>
    <row r="51" spans="1:22">
      <c r="A51" s="123">
        <v>45525</v>
      </c>
      <c r="B51" s="124">
        <v>78260.86</v>
      </c>
      <c r="C51" s="89">
        <v>515.34</v>
      </c>
      <c r="D51" s="91">
        <v>6.6290000000000003E-3</v>
      </c>
      <c r="E51" s="124">
        <v>77993.2</v>
      </c>
      <c r="F51" s="124">
        <v>77968.740000000005</v>
      </c>
      <c r="G51" s="124">
        <v>78457.37</v>
      </c>
      <c r="H51" s="90">
        <v>190858373</v>
      </c>
      <c r="I51" s="91">
        <v>0.67079</v>
      </c>
      <c r="J51" s="125">
        <f t="shared" si="0"/>
        <v>6.6285491434104503E-3</v>
      </c>
      <c r="K51" s="219"/>
      <c r="L51" s="220"/>
      <c r="M51" s="123">
        <v>45406</v>
      </c>
      <c r="N51" s="124">
        <v>72051.89</v>
      </c>
      <c r="O51" s="89">
        <v>692.48</v>
      </c>
      <c r="P51" s="91">
        <v>9.7040000000000008E-3</v>
      </c>
      <c r="Q51" s="124">
        <v>71472.87</v>
      </c>
      <c r="R51" s="124">
        <v>71467.02</v>
      </c>
      <c r="S51" s="124">
        <v>72414.33</v>
      </c>
      <c r="T51" s="90">
        <v>324513222</v>
      </c>
      <c r="U51" s="91">
        <v>-0.15369099999999999</v>
      </c>
      <c r="V51" s="125">
        <f t="shared" si="1"/>
        <v>9.7041161074622115E-3</v>
      </c>
    </row>
    <row r="52" spans="1:22">
      <c r="A52" s="123">
        <v>45524</v>
      </c>
      <c r="B52" s="124">
        <v>77745.52</v>
      </c>
      <c r="C52" s="89">
        <v>-84.82</v>
      </c>
      <c r="D52" s="91">
        <v>-1.09E-3</v>
      </c>
      <c r="E52" s="124">
        <v>77857.789999999994</v>
      </c>
      <c r="F52" s="124">
        <v>77460.399999999994</v>
      </c>
      <c r="G52" s="124">
        <v>77930.039999999994</v>
      </c>
      <c r="H52" s="90">
        <v>114232393</v>
      </c>
      <c r="I52" s="91">
        <v>-6.7348000000000005E-2</v>
      </c>
      <c r="J52" s="125">
        <f t="shared" si="0"/>
        <v>-1.0898063660007139E-3</v>
      </c>
      <c r="K52" s="219"/>
      <c r="L52" s="220"/>
      <c r="M52" s="123">
        <v>45405</v>
      </c>
      <c r="N52" s="124">
        <v>71359.41</v>
      </c>
      <c r="O52" s="89">
        <v>-74.05</v>
      </c>
      <c r="P52" s="91">
        <v>-1.0369999999999999E-3</v>
      </c>
      <c r="Q52" s="124">
        <v>71553.58</v>
      </c>
      <c r="R52" s="124">
        <v>71338.429999999993</v>
      </c>
      <c r="S52" s="124">
        <v>71846.64</v>
      </c>
      <c r="T52" s="90">
        <v>383445458</v>
      </c>
      <c r="U52" s="91">
        <v>6.3544000000000003E-2</v>
      </c>
      <c r="V52" s="125">
        <f t="shared" si="1"/>
        <v>-1.0366290531076052E-3</v>
      </c>
    </row>
    <row r="53" spans="1:22">
      <c r="A53" s="123">
        <v>45523</v>
      </c>
      <c r="B53" s="124">
        <v>77830.34</v>
      </c>
      <c r="C53" s="89">
        <v>-214.97</v>
      </c>
      <c r="D53" s="91">
        <v>-2.7539999999999999E-3</v>
      </c>
      <c r="E53" s="124">
        <v>78272.12</v>
      </c>
      <c r="F53" s="124">
        <v>77566.62</v>
      </c>
      <c r="G53" s="124">
        <v>78382.05</v>
      </c>
      <c r="H53" s="90">
        <v>122481310</v>
      </c>
      <c r="I53" s="91">
        <v>-0.40744599999999997</v>
      </c>
      <c r="J53" s="125">
        <f t="shared" si="0"/>
        <v>-2.7544256022559205E-3</v>
      </c>
      <c r="K53" s="219"/>
      <c r="L53" s="220"/>
      <c r="M53" s="123">
        <v>45404</v>
      </c>
      <c r="N53" s="124">
        <v>71433.460000000006</v>
      </c>
      <c r="O53" s="89">
        <v>523.55999999999995</v>
      </c>
      <c r="P53" s="91">
        <v>7.3829999999999998E-3</v>
      </c>
      <c r="Q53" s="124">
        <v>71009.67</v>
      </c>
      <c r="R53" s="124">
        <v>70882.45</v>
      </c>
      <c r="S53" s="124">
        <v>71861.179999999993</v>
      </c>
      <c r="T53" s="90">
        <v>360535650</v>
      </c>
      <c r="U53" s="91">
        <v>0.67905800000000005</v>
      </c>
      <c r="V53" s="125">
        <f t="shared" si="1"/>
        <v>7.383454214432681E-3</v>
      </c>
    </row>
    <row r="54" spans="1:22">
      <c r="A54" s="123">
        <v>45520</v>
      </c>
      <c r="B54" s="124">
        <v>78045.31</v>
      </c>
      <c r="C54" s="89">
        <v>-60.67</v>
      </c>
      <c r="D54" s="91">
        <v>-7.7700000000000002E-4</v>
      </c>
      <c r="E54" s="124">
        <v>78197.149999999994</v>
      </c>
      <c r="F54" s="124">
        <v>78041.08</v>
      </c>
      <c r="G54" s="124">
        <v>78619.179999999993</v>
      </c>
      <c r="H54" s="90">
        <v>206700571</v>
      </c>
      <c r="I54" s="91">
        <v>0.22140499999999999</v>
      </c>
      <c r="J54" s="125">
        <f t="shared" si="0"/>
        <v>-7.7676510812616406E-4</v>
      </c>
      <c r="K54" s="219"/>
      <c r="L54" s="220"/>
      <c r="M54" s="123">
        <v>45401</v>
      </c>
      <c r="N54" s="124">
        <v>70909.899999999994</v>
      </c>
      <c r="O54" s="89">
        <v>619.78</v>
      </c>
      <c r="P54" s="91">
        <v>8.8170000000000002E-3</v>
      </c>
      <c r="Q54" s="124">
        <v>70423.710000000006</v>
      </c>
      <c r="R54" s="124">
        <v>70186.929999999993</v>
      </c>
      <c r="S54" s="124">
        <v>70968.98</v>
      </c>
      <c r="T54" s="90">
        <v>214724945</v>
      </c>
      <c r="U54" s="91">
        <v>-9.6636E-2</v>
      </c>
      <c r="V54" s="125">
        <f t="shared" si="1"/>
        <v>8.817455426168002E-3</v>
      </c>
    </row>
    <row r="55" spans="1:22">
      <c r="A55" s="123">
        <v>45519</v>
      </c>
      <c r="B55" s="124">
        <v>78105.98</v>
      </c>
      <c r="C55" s="89">
        <v>228.56</v>
      </c>
      <c r="D55" s="91">
        <v>2.9350000000000001E-3</v>
      </c>
      <c r="E55" s="124">
        <v>77989.36</v>
      </c>
      <c r="F55" s="124">
        <v>77987.83</v>
      </c>
      <c r="G55" s="124">
        <v>78709.14</v>
      </c>
      <c r="H55" s="90">
        <v>169231822</v>
      </c>
      <c r="I55" s="91">
        <v>-8.0055000000000001E-2</v>
      </c>
      <c r="J55" s="125">
        <f t="shared" si="0"/>
        <v>2.9348686692497006E-3</v>
      </c>
      <c r="K55" s="219"/>
      <c r="L55" s="220"/>
      <c r="M55" s="123">
        <v>45400</v>
      </c>
      <c r="N55" s="124">
        <v>70290.12</v>
      </c>
      <c r="O55" s="89">
        <v>-43.2</v>
      </c>
      <c r="P55" s="91">
        <v>-6.1399999999999996E-4</v>
      </c>
      <c r="Q55" s="124">
        <v>70506.2</v>
      </c>
      <c r="R55" s="124">
        <v>69783.320000000007</v>
      </c>
      <c r="S55" s="124">
        <v>70645.3</v>
      </c>
      <c r="T55" s="90">
        <v>237694811</v>
      </c>
      <c r="U55" s="91">
        <v>7.1564000000000003E-2</v>
      </c>
      <c r="V55" s="125">
        <f t="shared" si="1"/>
        <v>-6.1421812591812806E-4</v>
      </c>
    </row>
    <row r="56" spans="1:22">
      <c r="A56" s="123">
        <v>45517</v>
      </c>
      <c r="B56" s="124">
        <v>77877.42</v>
      </c>
      <c r="C56" s="89">
        <v>-102.87</v>
      </c>
      <c r="D56" s="91">
        <v>-1.3190000000000001E-3</v>
      </c>
      <c r="E56" s="124">
        <v>77966.720000000001</v>
      </c>
      <c r="F56" s="124">
        <v>77817.33</v>
      </c>
      <c r="G56" s="124">
        <v>78275.97</v>
      </c>
      <c r="H56" s="90">
        <v>183958550</v>
      </c>
      <c r="I56" s="91">
        <v>0.297572</v>
      </c>
      <c r="J56" s="125">
        <f t="shared" si="0"/>
        <v>-1.31917950035836E-3</v>
      </c>
      <c r="K56" s="219"/>
      <c r="L56" s="220"/>
      <c r="M56" s="123">
        <v>45399</v>
      </c>
      <c r="N56" s="124">
        <v>70333.320000000007</v>
      </c>
      <c r="O56" s="89">
        <v>-150.34</v>
      </c>
      <c r="P56" s="91">
        <v>-2.1329999999999999E-3</v>
      </c>
      <c r="Q56" s="124">
        <v>70396.649999999994</v>
      </c>
      <c r="R56" s="124">
        <v>70037.279999999999</v>
      </c>
      <c r="S56" s="124">
        <v>70725.5</v>
      </c>
      <c r="T56" s="90">
        <v>221820349</v>
      </c>
      <c r="U56" s="91">
        <v>8.9189999999999998E-3</v>
      </c>
      <c r="V56" s="125">
        <f t="shared" si="1"/>
        <v>-2.1329766360032947E-3</v>
      </c>
    </row>
    <row r="57" spans="1:22">
      <c r="A57" s="123">
        <v>45516</v>
      </c>
      <c r="B57" s="124">
        <v>77980.289999999994</v>
      </c>
      <c r="C57" s="89">
        <v>-589.29999999999995</v>
      </c>
      <c r="D57" s="91">
        <v>-7.4999999999999997E-3</v>
      </c>
      <c r="E57" s="124">
        <v>78867.3</v>
      </c>
      <c r="F57" s="124">
        <v>77940.53</v>
      </c>
      <c r="G57" s="124">
        <v>78886.460000000006</v>
      </c>
      <c r="H57" s="90">
        <v>141771364</v>
      </c>
      <c r="I57" s="91">
        <v>1.8872E-2</v>
      </c>
      <c r="J57" s="125">
        <f t="shared" si="0"/>
        <v>-7.5003573265432595E-3</v>
      </c>
      <c r="K57" s="219"/>
      <c r="L57" s="220"/>
      <c r="M57" s="123">
        <v>45398</v>
      </c>
      <c r="N57" s="124">
        <v>70483.66</v>
      </c>
      <c r="O57" s="89">
        <v>-60.92</v>
      </c>
      <c r="P57" s="91">
        <v>-8.6399999999999997E-4</v>
      </c>
      <c r="Q57" s="124">
        <v>70661.42</v>
      </c>
      <c r="R57" s="124">
        <v>70405.240000000005</v>
      </c>
      <c r="S57" s="124">
        <v>71092.61</v>
      </c>
      <c r="T57" s="90">
        <v>219859414</v>
      </c>
      <c r="U57" s="91">
        <v>-0.14038500000000001</v>
      </c>
      <c r="V57" s="125">
        <f t="shared" si="1"/>
        <v>-8.6356740659594255E-4</v>
      </c>
    </row>
    <row r="58" spans="1:22">
      <c r="A58" s="123">
        <v>45513</v>
      </c>
      <c r="B58" s="124">
        <v>78569.59</v>
      </c>
      <c r="C58" s="89">
        <v>695.37</v>
      </c>
      <c r="D58" s="91">
        <v>8.9289999999999994E-3</v>
      </c>
      <c r="E58" s="124">
        <v>78322.33</v>
      </c>
      <c r="F58" s="124">
        <v>78051.08</v>
      </c>
      <c r="G58" s="124">
        <v>78823.14</v>
      </c>
      <c r="H58" s="90">
        <v>139145385</v>
      </c>
      <c r="I58" s="91">
        <v>-0.278472</v>
      </c>
      <c r="J58" s="125">
        <f t="shared" si="0"/>
        <v>8.9293992286535902E-3</v>
      </c>
      <c r="K58" s="219"/>
      <c r="L58" s="220"/>
      <c r="M58" s="123">
        <v>45397</v>
      </c>
      <c r="N58" s="124">
        <v>70544.58</v>
      </c>
      <c r="O58" s="89">
        <v>229.86</v>
      </c>
      <c r="P58" s="91">
        <v>3.2690000000000002E-3</v>
      </c>
      <c r="Q58" s="124">
        <v>70218.509999999995</v>
      </c>
      <c r="R58" s="124">
        <v>69914.11</v>
      </c>
      <c r="S58" s="124">
        <v>70608.88</v>
      </c>
      <c r="T58" s="90">
        <v>255765007</v>
      </c>
      <c r="U58" s="91">
        <v>0.166329</v>
      </c>
      <c r="V58" s="125">
        <f t="shared" si="1"/>
        <v>3.2690167862433357E-3</v>
      </c>
    </row>
    <row r="59" spans="1:22">
      <c r="A59" s="123">
        <v>45512</v>
      </c>
      <c r="B59" s="124">
        <v>77874.22</v>
      </c>
      <c r="C59" s="89">
        <v>759.73</v>
      </c>
      <c r="D59" s="91">
        <v>9.8519999999999996E-3</v>
      </c>
      <c r="E59" s="124">
        <v>77218.12</v>
      </c>
      <c r="F59" s="124">
        <v>77085.48</v>
      </c>
      <c r="G59" s="124">
        <v>77969.27</v>
      </c>
      <c r="H59" s="90">
        <v>192848233</v>
      </c>
      <c r="I59" s="91">
        <v>0.49722699999999997</v>
      </c>
      <c r="J59" s="125">
        <f t="shared" si="0"/>
        <v>9.851974641860434E-3</v>
      </c>
      <c r="K59" s="219"/>
      <c r="L59" s="220"/>
      <c r="M59" s="123">
        <v>45391</v>
      </c>
      <c r="N59" s="124">
        <v>70314.720000000001</v>
      </c>
      <c r="O59" s="89">
        <v>694.73</v>
      </c>
      <c r="P59" s="91">
        <v>9.979E-3</v>
      </c>
      <c r="Q59" s="124">
        <v>69857.149999999994</v>
      </c>
      <c r="R59" s="124">
        <v>69857.149999999994</v>
      </c>
      <c r="S59" s="124">
        <v>70677.3</v>
      </c>
      <c r="T59" s="90">
        <v>219290682</v>
      </c>
      <c r="U59" s="91">
        <v>0.16108900000000001</v>
      </c>
      <c r="V59" s="125">
        <f t="shared" si="1"/>
        <v>9.9788868111012358E-3</v>
      </c>
    </row>
    <row r="60" spans="1:22">
      <c r="A60" s="123">
        <v>45511</v>
      </c>
      <c r="B60" s="124">
        <v>77114.490000000005</v>
      </c>
      <c r="C60" s="89">
        <v>-76.849999999999994</v>
      </c>
      <c r="D60" s="91">
        <v>-9.9599999999999992E-4</v>
      </c>
      <c r="E60" s="124">
        <v>77344.86</v>
      </c>
      <c r="F60" s="124">
        <v>77086.820000000007</v>
      </c>
      <c r="G60" s="124">
        <v>77800.039999999994</v>
      </c>
      <c r="H60" s="90">
        <v>128803602</v>
      </c>
      <c r="I60" s="91">
        <v>-0.140017</v>
      </c>
      <c r="J60" s="125">
        <f t="shared" si="0"/>
        <v>-9.9557800136647443E-4</v>
      </c>
      <c r="K60" s="219"/>
      <c r="L60" s="220"/>
      <c r="M60" s="123">
        <v>45390</v>
      </c>
      <c r="N60" s="124">
        <v>69619.990000000005</v>
      </c>
      <c r="O60" s="124">
        <v>1203.21</v>
      </c>
      <c r="P60" s="91">
        <v>1.7586000000000001E-2</v>
      </c>
      <c r="Q60" s="124">
        <v>68716.639999999999</v>
      </c>
      <c r="R60" s="124">
        <v>68710.5</v>
      </c>
      <c r="S60" s="124">
        <v>69720.03</v>
      </c>
      <c r="T60" s="90">
        <v>188866316</v>
      </c>
      <c r="U60" s="91">
        <v>-6.0687999999999999E-2</v>
      </c>
      <c r="V60" s="125">
        <f t="shared" si="1"/>
        <v>1.7586475130808552E-2</v>
      </c>
    </row>
    <row r="61" spans="1:22">
      <c r="A61" s="123">
        <v>45510</v>
      </c>
      <c r="B61" s="124">
        <v>77191.34</v>
      </c>
      <c r="C61" s="89">
        <v>106.85</v>
      </c>
      <c r="D61" s="91">
        <v>1.3860000000000001E-3</v>
      </c>
      <c r="E61" s="124">
        <v>77417.210000000006</v>
      </c>
      <c r="F61" s="124">
        <v>77035.960000000006</v>
      </c>
      <c r="G61" s="124">
        <v>77746.559999999998</v>
      </c>
      <c r="H61" s="90">
        <v>149774582</v>
      </c>
      <c r="I61" s="91">
        <v>-0.11630600000000001</v>
      </c>
      <c r="J61" s="125">
        <f t="shared" si="0"/>
        <v>1.3861413625490678E-3</v>
      </c>
      <c r="K61" s="219"/>
      <c r="L61" s="220"/>
      <c r="M61" s="123">
        <v>45386</v>
      </c>
      <c r="N61" s="124">
        <v>68416.78</v>
      </c>
      <c r="O61" s="89">
        <v>660.74</v>
      </c>
      <c r="P61" s="91">
        <v>9.7520000000000003E-3</v>
      </c>
      <c r="Q61" s="124">
        <v>68210.16</v>
      </c>
      <c r="R61" s="124">
        <v>67912.350000000006</v>
      </c>
      <c r="S61" s="124">
        <v>68439.37</v>
      </c>
      <c r="T61" s="90">
        <v>201068800</v>
      </c>
      <c r="U61" s="91">
        <v>0.42610599999999998</v>
      </c>
      <c r="V61" s="125">
        <f t="shared" si="1"/>
        <v>9.7517505450436612E-3</v>
      </c>
    </row>
    <row r="62" spans="1:22">
      <c r="A62" s="123">
        <v>45509</v>
      </c>
      <c r="B62" s="124">
        <v>77084.490000000005</v>
      </c>
      <c r="C62" s="124">
        <v>-1141.49</v>
      </c>
      <c r="D62" s="91">
        <v>-1.4592000000000001E-2</v>
      </c>
      <c r="E62" s="124">
        <v>78303.67</v>
      </c>
      <c r="F62" s="124">
        <v>76943.240000000005</v>
      </c>
      <c r="G62" s="124">
        <v>78330.100000000006</v>
      </c>
      <c r="H62" s="90">
        <v>169486960</v>
      </c>
      <c r="I62" s="91">
        <v>-0.16630400000000001</v>
      </c>
      <c r="J62" s="125">
        <f t="shared" si="0"/>
        <v>-1.4592210925321742E-2</v>
      </c>
      <c r="K62" s="219"/>
      <c r="L62" s="220"/>
      <c r="M62" s="123">
        <v>45385</v>
      </c>
      <c r="N62" s="124">
        <v>67756.039999999994</v>
      </c>
      <c r="O62" s="89">
        <v>869.78</v>
      </c>
      <c r="P62" s="91">
        <v>1.3004E-2</v>
      </c>
      <c r="Q62" s="124">
        <v>66998.210000000006</v>
      </c>
      <c r="R62" s="124">
        <v>66985.02</v>
      </c>
      <c r="S62" s="124">
        <v>67873.22</v>
      </c>
      <c r="T62" s="90">
        <v>140991439</v>
      </c>
      <c r="U62" s="91">
        <v>0.48623</v>
      </c>
      <c r="V62" s="125">
        <f t="shared" si="1"/>
        <v>1.3003866563925088E-2</v>
      </c>
    </row>
    <row r="63" spans="1:22">
      <c r="A63" s="123">
        <v>45506</v>
      </c>
      <c r="B63" s="124">
        <v>78225.98</v>
      </c>
      <c r="C63" s="89">
        <v>485.67</v>
      </c>
      <c r="D63" s="91">
        <v>6.2469999999999999E-3</v>
      </c>
      <c r="E63" s="124">
        <v>77946.16</v>
      </c>
      <c r="F63" s="124">
        <v>77926.539999999994</v>
      </c>
      <c r="G63" s="124">
        <v>78434.17</v>
      </c>
      <c r="H63" s="90">
        <v>203295787</v>
      </c>
      <c r="I63" s="91">
        <v>1.0954349999999999</v>
      </c>
      <c r="J63" s="125">
        <f t="shared" si="0"/>
        <v>6.2473380926831917E-3</v>
      </c>
      <c r="K63" s="219"/>
      <c r="L63" s="220"/>
      <c r="M63" s="123">
        <v>45384</v>
      </c>
      <c r="N63" s="124">
        <v>66886.259999999995</v>
      </c>
      <c r="O63" s="89">
        <v>89.94</v>
      </c>
      <c r="P63" s="91">
        <v>1.346E-3</v>
      </c>
      <c r="Q63" s="124">
        <v>66793.38</v>
      </c>
      <c r="R63" s="124">
        <v>66573.63</v>
      </c>
      <c r="S63" s="124">
        <v>66959.55</v>
      </c>
      <c r="T63" s="90">
        <v>94865141</v>
      </c>
      <c r="U63" s="91">
        <v>0.189391</v>
      </c>
      <c r="V63" s="125">
        <f t="shared" si="1"/>
        <v>1.3464813630451496E-3</v>
      </c>
    </row>
    <row r="64" spans="1:22">
      <c r="A64" s="123">
        <v>45505</v>
      </c>
      <c r="B64" s="124">
        <v>77740.31</v>
      </c>
      <c r="C64" s="89">
        <v>-146.68</v>
      </c>
      <c r="D64" s="91">
        <v>-1.8829999999999999E-3</v>
      </c>
      <c r="E64" s="124">
        <v>78101.16</v>
      </c>
      <c r="F64" s="124">
        <v>77595.929999999993</v>
      </c>
      <c r="G64" s="124">
        <v>78241.02</v>
      </c>
      <c r="H64" s="90">
        <v>97018396</v>
      </c>
      <c r="I64" s="91">
        <v>-0.13794000000000001</v>
      </c>
      <c r="J64" s="125">
        <f t="shared" si="0"/>
        <v>-1.8832413474959039E-3</v>
      </c>
      <c r="K64" s="219"/>
      <c r="L64" s="220"/>
      <c r="M64" s="123">
        <v>45383</v>
      </c>
      <c r="N64" s="124">
        <v>66796.320000000007</v>
      </c>
      <c r="O64" s="89">
        <v>-208.79</v>
      </c>
      <c r="P64" s="91">
        <v>-3.1159999999999998E-3</v>
      </c>
      <c r="Q64" s="124">
        <v>67162.7</v>
      </c>
      <c r="R64" s="124">
        <v>66740.91</v>
      </c>
      <c r="S64" s="124">
        <v>67304.37</v>
      </c>
      <c r="T64" s="90">
        <v>79759436</v>
      </c>
      <c r="U64" s="91">
        <v>-0.43914900000000001</v>
      </c>
      <c r="V64" s="125">
        <f t="shared" si="1"/>
        <v>-3.1160310012176683E-3</v>
      </c>
    </row>
    <row r="65" spans="1:22">
      <c r="A65" s="123">
        <v>45504</v>
      </c>
      <c r="B65" s="124">
        <v>77886.990000000005</v>
      </c>
      <c r="C65" s="89">
        <v>-741.82</v>
      </c>
      <c r="D65" s="91">
        <v>-9.4339999999999997E-3</v>
      </c>
      <c r="E65" s="124">
        <v>78725.960000000006</v>
      </c>
      <c r="F65" s="124">
        <v>77810.17</v>
      </c>
      <c r="G65" s="124">
        <v>79151.820000000007</v>
      </c>
      <c r="H65" s="90">
        <v>112542528</v>
      </c>
      <c r="I65" s="91">
        <v>-0.215028</v>
      </c>
      <c r="J65" s="125">
        <f t="shared" si="0"/>
        <v>-9.4344553860092762E-3</v>
      </c>
      <c r="K65" s="219"/>
      <c r="L65" s="220"/>
      <c r="M65" s="123">
        <v>45380</v>
      </c>
      <c r="N65" s="124">
        <v>67005.11</v>
      </c>
      <c r="O65" s="89">
        <v>-137.01</v>
      </c>
      <c r="P65" s="91">
        <v>-2.0409999999999998E-3</v>
      </c>
      <c r="Q65" s="124">
        <v>67232.2</v>
      </c>
      <c r="R65" s="124">
        <v>66822.429999999993</v>
      </c>
      <c r="S65" s="124">
        <v>67307.63</v>
      </c>
      <c r="T65" s="90">
        <v>142211477</v>
      </c>
      <c r="U65" s="91">
        <v>-0.38519999999999999</v>
      </c>
      <c r="V65" s="125">
        <f t="shared" si="1"/>
        <v>-2.0405968712337353E-3</v>
      </c>
    </row>
    <row r="66" spans="1:22">
      <c r="A66" s="123">
        <v>45503</v>
      </c>
      <c r="B66" s="124">
        <v>78628.81</v>
      </c>
      <c r="C66" s="89">
        <v>-198.93</v>
      </c>
      <c r="D66" s="91">
        <v>-2.5240000000000002E-3</v>
      </c>
      <c r="E66" s="124">
        <v>79319.199999999997</v>
      </c>
      <c r="F66" s="124">
        <v>78518.23</v>
      </c>
      <c r="G66" s="124">
        <v>79327.05</v>
      </c>
      <c r="H66" s="90">
        <v>143371373</v>
      </c>
      <c r="I66" s="91">
        <v>6.0616999999999997E-2</v>
      </c>
      <c r="J66" s="125">
        <f t="shared" si="0"/>
        <v>-2.5236040003176548E-3</v>
      </c>
      <c r="K66" s="219"/>
      <c r="L66" s="220"/>
      <c r="M66" s="123">
        <v>45379</v>
      </c>
      <c r="N66" s="124">
        <v>67142.12</v>
      </c>
      <c r="O66" s="89">
        <v>594.33000000000004</v>
      </c>
      <c r="P66" s="91">
        <v>8.9309999999999997E-3</v>
      </c>
      <c r="Q66" s="124">
        <v>66690.94</v>
      </c>
      <c r="R66" s="124">
        <v>66690.94</v>
      </c>
      <c r="S66" s="124">
        <v>67246.03</v>
      </c>
      <c r="T66" s="90">
        <v>231313539</v>
      </c>
      <c r="U66" s="91">
        <v>0.22311600000000001</v>
      </c>
      <c r="V66" s="125">
        <f t="shared" si="1"/>
        <v>8.9308750899165859E-3</v>
      </c>
    </row>
    <row r="67" spans="1:22">
      <c r="A67" s="123">
        <v>45502</v>
      </c>
      <c r="B67" s="124">
        <v>78827.740000000005</v>
      </c>
      <c r="C67" s="89">
        <v>798.23</v>
      </c>
      <c r="D67" s="91">
        <v>1.023E-2</v>
      </c>
      <c r="E67" s="124">
        <v>78023.89</v>
      </c>
      <c r="F67" s="124">
        <v>78016.3</v>
      </c>
      <c r="G67" s="124">
        <v>79055.990000000005</v>
      </c>
      <c r="H67" s="90">
        <v>135177284</v>
      </c>
      <c r="I67" s="91">
        <v>0.156748</v>
      </c>
      <c r="J67" s="125">
        <f t="shared" si="0"/>
        <v>1.0229847656354629E-2</v>
      </c>
      <c r="K67" s="219"/>
      <c r="L67" s="220"/>
      <c r="M67" s="123">
        <v>45378</v>
      </c>
      <c r="N67" s="124">
        <v>66547.789999999994</v>
      </c>
      <c r="O67" s="89">
        <v>641.51</v>
      </c>
      <c r="P67" s="91">
        <v>9.7339999999999996E-3</v>
      </c>
      <c r="Q67" s="124">
        <v>66003.44</v>
      </c>
      <c r="R67" s="124">
        <v>66003.44</v>
      </c>
      <c r="S67" s="124">
        <v>66607.88</v>
      </c>
      <c r="T67" s="90">
        <v>189118251</v>
      </c>
      <c r="U67" s="91">
        <v>0.37895000000000001</v>
      </c>
      <c r="V67" s="125">
        <f t="shared" si="1"/>
        <v>9.7336702966697563E-3</v>
      </c>
    </row>
    <row r="68" spans="1:22">
      <c r="A68" s="123">
        <v>45499</v>
      </c>
      <c r="B68" s="124">
        <v>78029.509999999995</v>
      </c>
      <c r="C68" s="89">
        <v>-439.82</v>
      </c>
      <c r="D68" s="91">
        <v>-5.6049999999999997E-3</v>
      </c>
      <c r="E68" s="124">
        <v>78440.36</v>
      </c>
      <c r="F68" s="124">
        <v>77921.48</v>
      </c>
      <c r="G68" s="124">
        <v>78569.89</v>
      </c>
      <c r="H68" s="90">
        <v>116859785</v>
      </c>
      <c r="I68" s="91">
        <v>-9.4185000000000005E-2</v>
      </c>
      <c r="J68" s="125">
        <f t="shared" si="0"/>
        <v>-5.604992421879988E-3</v>
      </c>
      <c r="K68" s="219"/>
      <c r="L68" s="220"/>
      <c r="M68" s="123">
        <v>45377</v>
      </c>
      <c r="N68" s="124">
        <v>65906.28</v>
      </c>
      <c r="O68" s="89">
        <v>380.63</v>
      </c>
      <c r="P68" s="91">
        <v>5.8089999999999999E-3</v>
      </c>
      <c r="Q68" s="124">
        <v>65629.759999999995</v>
      </c>
      <c r="R68" s="124">
        <v>65492.71</v>
      </c>
      <c r="S68" s="124">
        <v>65989.539999999994</v>
      </c>
      <c r="T68" s="90">
        <v>137146538</v>
      </c>
      <c r="U68" s="91">
        <v>5.9851000000000001E-2</v>
      </c>
      <c r="V68" s="125">
        <f t="shared" si="1"/>
        <v>5.8088702668344381E-3</v>
      </c>
    </row>
    <row r="69" spans="1:22">
      <c r="A69" s="123">
        <v>45498</v>
      </c>
      <c r="B69" s="124">
        <v>78469.33</v>
      </c>
      <c r="C69" s="89">
        <v>-927.68</v>
      </c>
      <c r="D69" s="91">
        <v>-1.1684E-2</v>
      </c>
      <c r="E69" s="124">
        <v>79568.479999999996</v>
      </c>
      <c r="F69" s="124">
        <v>78330.59</v>
      </c>
      <c r="G69" s="124">
        <v>79776.960000000006</v>
      </c>
      <c r="H69" s="90">
        <v>129010674</v>
      </c>
      <c r="I69" s="91">
        <v>0.25331700000000001</v>
      </c>
      <c r="J69" s="125">
        <f t="shared" si="0"/>
        <v>-1.168406719598131E-2</v>
      </c>
      <c r="K69" s="219"/>
      <c r="L69" s="220"/>
      <c r="M69" s="123">
        <v>45376</v>
      </c>
      <c r="N69" s="124">
        <v>65525.65</v>
      </c>
      <c r="O69" s="89">
        <v>373.82</v>
      </c>
      <c r="P69" s="91">
        <v>5.738E-3</v>
      </c>
      <c r="Q69" s="124">
        <v>65412.92</v>
      </c>
      <c r="R69" s="124">
        <v>65301.74</v>
      </c>
      <c r="S69" s="124">
        <v>65656.5</v>
      </c>
      <c r="T69" s="90">
        <v>129401692</v>
      </c>
      <c r="U69" s="91">
        <v>0.55853600000000003</v>
      </c>
      <c r="V69" s="125">
        <f t="shared" si="1"/>
        <v>0</v>
      </c>
    </row>
    <row r="70" spans="1:22">
      <c r="A70" s="123">
        <v>45497</v>
      </c>
      <c r="B70" s="124">
        <v>79397.009999999995</v>
      </c>
      <c r="C70" s="89">
        <v>409.92</v>
      </c>
      <c r="D70" s="91">
        <v>5.1900000000000002E-3</v>
      </c>
      <c r="E70" s="124">
        <v>79194.740000000005</v>
      </c>
      <c r="F70" s="124">
        <v>79071.48</v>
      </c>
      <c r="G70" s="124">
        <v>79704.37</v>
      </c>
      <c r="H70" s="90">
        <v>102935402</v>
      </c>
      <c r="I70" s="91">
        <v>-0.25193700000000002</v>
      </c>
      <c r="J70" s="125">
        <f t="shared" si="0"/>
        <v>5.1897088498892669E-3</v>
      </c>
      <c r="K70" s="219"/>
      <c r="L70" s="218"/>
      <c r="M70" s="83"/>
      <c r="N70" s="83"/>
      <c r="O70" s="83"/>
      <c r="P70" s="83"/>
      <c r="Q70" s="83"/>
      <c r="R70" s="83"/>
      <c r="S70" s="83"/>
      <c r="T70" s="83"/>
      <c r="U70" s="83"/>
    </row>
    <row r="71" spans="1:22">
      <c r="A71" s="123">
        <v>45496</v>
      </c>
      <c r="B71" s="124">
        <v>78987.09</v>
      </c>
      <c r="C71" s="89">
        <v>447.9</v>
      </c>
      <c r="D71" s="91">
        <v>5.7029999999999997E-3</v>
      </c>
      <c r="E71" s="124">
        <v>78700.25</v>
      </c>
      <c r="F71" s="124">
        <v>78634.149999999994</v>
      </c>
      <c r="G71" s="124">
        <v>79585.34</v>
      </c>
      <c r="H71" s="90">
        <v>137602553</v>
      </c>
      <c r="I71" s="91">
        <v>-0.31541400000000003</v>
      </c>
      <c r="J71" s="125">
        <f t="shared" si="0"/>
        <v>5.7028854002695974E-3</v>
      </c>
      <c r="K71" s="219"/>
      <c r="L71" s="218"/>
      <c r="M71" s="83"/>
      <c r="N71" s="83"/>
      <c r="O71" s="83"/>
      <c r="P71" s="83"/>
      <c r="Q71" s="83"/>
      <c r="R71" s="83"/>
      <c r="S71" s="83"/>
      <c r="T71" s="83"/>
      <c r="U71" s="83"/>
    </row>
    <row r="72" spans="1:22">
      <c r="A72" s="123">
        <v>45495</v>
      </c>
      <c r="B72" s="124">
        <v>78539.19</v>
      </c>
      <c r="C72" s="124">
        <v>-1578.7</v>
      </c>
      <c r="D72" s="91">
        <v>-1.9705E-2</v>
      </c>
      <c r="E72" s="124">
        <v>79920.23</v>
      </c>
      <c r="F72" s="124">
        <v>78404.759999999995</v>
      </c>
      <c r="G72" s="124">
        <v>80085.63</v>
      </c>
      <c r="H72" s="90">
        <v>201001223</v>
      </c>
      <c r="I72" s="91">
        <v>-0.18402099999999999</v>
      </c>
      <c r="J72" s="125">
        <f t="shared" si="0"/>
        <v>0</v>
      </c>
      <c r="K72" s="219"/>
      <c r="L72" s="218"/>
      <c r="M72" s="83"/>
      <c r="N72" s="83"/>
      <c r="O72" s="83"/>
      <c r="P72" s="83"/>
      <c r="Q72" s="83"/>
      <c r="R72" s="83"/>
      <c r="S72" s="83"/>
      <c r="T72" s="83"/>
      <c r="U72" s="83"/>
    </row>
    <row r="73" spans="1:22">
      <c r="A73" s="83"/>
      <c r="B73" s="83"/>
      <c r="C73" s="83"/>
      <c r="D73" s="83"/>
      <c r="E73" s="83"/>
      <c r="F73" s="83"/>
      <c r="G73" s="83"/>
      <c r="H73" s="83"/>
      <c r="I73" s="83"/>
      <c r="J73" s="83"/>
      <c r="K73" s="218"/>
      <c r="L73" s="218"/>
      <c r="M73" s="83"/>
      <c r="N73" s="83"/>
      <c r="O73" s="83"/>
      <c r="P73" s="83"/>
      <c r="Q73" s="83"/>
      <c r="R73" s="83"/>
      <c r="S73" s="83"/>
      <c r="T73" s="83"/>
      <c r="U73" s="83"/>
    </row>
    <row r="74" spans="1:22">
      <c r="A74" s="83"/>
      <c r="B74" s="83"/>
      <c r="C74" s="83"/>
      <c r="D74" s="83"/>
      <c r="E74" s="83"/>
      <c r="F74" s="83"/>
      <c r="G74" s="83"/>
      <c r="H74" s="83"/>
      <c r="I74" s="83"/>
      <c r="J74" s="83"/>
      <c r="K74" s="218"/>
      <c r="L74" s="218"/>
      <c r="M74" s="83"/>
      <c r="N74" s="83"/>
      <c r="O74" s="83"/>
      <c r="P74" s="83"/>
      <c r="Q74" s="83"/>
      <c r="R74" s="83"/>
      <c r="S74" s="83"/>
      <c r="T74" s="83"/>
      <c r="U74" s="83"/>
    </row>
    <row r="75" spans="1:22">
      <c r="A75" s="83"/>
      <c r="B75" s="83"/>
      <c r="C75" s="83"/>
      <c r="D75" s="83"/>
      <c r="E75" s="83"/>
      <c r="F75" s="83"/>
      <c r="G75" s="83"/>
      <c r="H75" s="83"/>
      <c r="I75" s="83"/>
      <c r="J75" s="83"/>
      <c r="K75" s="218"/>
      <c r="L75" s="218"/>
      <c r="M75" s="83"/>
      <c r="N75" s="83"/>
      <c r="O75" s="83"/>
      <c r="P75" s="83"/>
      <c r="Q75" s="83"/>
      <c r="R75" s="83"/>
      <c r="S75" s="83"/>
      <c r="T75" s="83"/>
      <c r="U75" s="83"/>
    </row>
    <row r="76" spans="1:22">
      <c r="A76" s="83"/>
      <c r="B76" s="83"/>
      <c r="C76" s="83"/>
      <c r="D76" s="83"/>
      <c r="E76" s="83"/>
      <c r="F76" s="83"/>
      <c r="G76" s="83"/>
      <c r="H76" s="83"/>
      <c r="I76" s="83"/>
      <c r="J76" s="83"/>
      <c r="K76" s="218"/>
      <c r="L76" s="218"/>
      <c r="M76" s="83"/>
      <c r="N76" s="83"/>
      <c r="O76" s="83"/>
      <c r="P76" s="83"/>
      <c r="Q76" s="83"/>
      <c r="R76" s="83"/>
      <c r="S76" s="83"/>
      <c r="T76" s="83"/>
      <c r="U76" s="83"/>
    </row>
    <row r="77" spans="1:22">
      <c r="A77" s="83"/>
      <c r="B77" s="83"/>
      <c r="C77" s="83"/>
      <c r="D77" s="83"/>
      <c r="E77" s="83"/>
      <c r="F77" s="83"/>
      <c r="G77" s="83"/>
      <c r="H77" s="83"/>
      <c r="I77" s="83"/>
      <c r="J77" s="83"/>
      <c r="K77" s="218"/>
      <c r="L77" s="218"/>
      <c r="M77" s="83"/>
      <c r="N77" s="83"/>
      <c r="O77" s="83"/>
      <c r="P77" s="83"/>
      <c r="Q77" s="83"/>
      <c r="R77" s="83"/>
      <c r="S77" s="83"/>
      <c r="T77" s="83"/>
      <c r="U77" s="83"/>
    </row>
    <row r="78" spans="1:22">
      <c r="A78" s="83"/>
      <c r="B78" s="83"/>
      <c r="C78" s="83"/>
      <c r="D78" s="83"/>
      <c r="E78" s="83"/>
      <c r="F78" s="83"/>
      <c r="G78" s="83"/>
      <c r="H78" s="83"/>
      <c r="I78" s="83"/>
      <c r="J78" s="83"/>
      <c r="K78" s="218"/>
      <c r="L78" s="218"/>
      <c r="M78" s="83"/>
      <c r="N78" s="83"/>
      <c r="O78" s="83"/>
      <c r="P78" s="83"/>
      <c r="Q78" s="83"/>
      <c r="R78" s="83"/>
      <c r="S78" s="83"/>
      <c r="T78" s="83"/>
      <c r="U78" s="83"/>
    </row>
    <row r="79" spans="1:22">
      <c r="A79" s="83"/>
      <c r="B79" s="83"/>
      <c r="C79" s="83"/>
      <c r="D79" s="83"/>
      <c r="E79" s="83"/>
      <c r="F79" s="83"/>
      <c r="G79" s="83"/>
      <c r="H79" s="83"/>
      <c r="I79" s="83"/>
      <c r="J79" s="83"/>
      <c r="K79" s="218"/>
      <c r="L79" s="218"/>
      <c r="M79" s="83"/>
      <c r="N79" s="83"/>
      <c r="O79" s="83"/>
      <c r="P79" s="83"/>
      <c r="Q79" s="83"/>
      <c r="R79" s="83"/>
      <c r="S79" s="83"/>
      <c r="T79" s="83"/>
      <c r="U79" s="83"/>
    </row>
    <row r="80" spans="1:22">
      <c r="A80" s="83"/>
      <c r="B80" s="83"/>
      <c r="C80" s="83"/>
      <c r="D80" s="83"/>
      <c r="E80" s="83"/>
      <c r="F80" s="83"/>
      <c r="G80" s="83"/>
      <c r="H80" s="83"/>
      <c r="I80" s="83"/>
      <c r="J80" s="83"/>
      <c r="K80" s="218"/>
      <c r="L80" s="218"/>
      <c r="M80" s="83"/>
      <c r="N80" s="83"/>
      <c r="O80" s="83"/>
      <c r="P80" s="83"/>
      <c r="Q80" s="83"/>
      <c r="R80" s="83"/>
      <c r="S80" s="83"/>
      <c r="T80" s="83"/>
      <c r="U80" s="83"/>
    </row>
    <row r="81" spans="1:21">
      <c r="A81" s="83"/>
      <c r="B81" s="83"/>
      <c r="C81" s="83"/>
      <c r="D81" s="83"/>
      <c r="E81" s="83"/>
      <c r="F81" s="83"/>
      <c r="G81" s="83"/>
      <c r="H81" s="83"/>
      <c r="I81" s="83"/>
      <c r="J81" s="83"/>
      <c r="K81" s="218"/>
      <c r="L81" s="218"/>
      <c r="M81" s="83"/>
      <c r="N81" s="83"/>
      <c r="O81" s="83"/>
      <c r="P81" s="83"/>
      <c r="Q81" s="83"/>
      <c r="R81" s="83"/>
      <c r="S81" s="83"/>
      <c r="T81" s="83"/>
      <c r="U81" s="83"/>
    </row>
    <row r="82" spans="1:21">
      <c r="A82" s="83"/>
      <c r="B82" s="83"/>
      <c r="C82" s="83"/>
      <c r="D82" s="83"/>
      <c r="E82" s="83"/>
      <c r="F82" s="83"/>
      <c r="G82" s="83"/>
      <c r="H82" s="83"/>
      <c r="I82" s="83"/>
      <c r="J82" s="83"/>
      <c r="K82" s="218"/>
      <c r="L82" s="218"/>
      <c r="M82" s="83"/>
      <c r="N82" s="83"/>
      <c r="O82" s="83"/>
      <c r="P82" s="83"/>
      <c r="Q82" s="83"/>
      <c r="R82" s="83"/>
      <c r="S82" s="83"/>
      <c r="T82" s="83"/>
      <c r="U82" s="83"/>
    </row>
    <row r="83" spans="1:21">
      <c r="A83" s="83"/>
      <c r="B83" s="83"/>
      <c r="C83" s="83"/>
      <c r="D83" s="83"/>
      <c r="E83" s="83"/>
      <c r="F83" s="83"/>
      <c r="G83" s="83"/>
      <c r="H83" s="83"/>
      <c r="I83" s="83"/>
      <c r="J83" s="83"/>
      <c r="K83" s="218"/>
      <c r="L83" s="218"/>
      <c r="M83" s="83"/>
      <c r="N83" s="83"/>
      <c r="O83" s="83"/>
      <c r="P83" s="83"/>
      <c r="Q83" s="83"/>
      <c r="R83" s="83"/>
      <c r="S83" s="83"/>
      <c r="T83" s="83"/>
      <c r="U83" s="83"/>
    </row>
    <row r="84" spans="1:21">
      <c r="A84" s="83"/>
      <c r="B84" s="83"/>
      <c r="C84" s="83"/>
      <c r="D84" s="83"/>
      <c r="E84" s="83"/>
      <c r="F84" s="83"/>
      <c r="G84" s="83"/>
      <c r="H84" s="83"/>
      <c r="I84" s="83"/>
      <c r="J84" s="83"/>
      <c r="K84" s="218"/>
      <c r="L84" s="218"/>
      <c r="M84" s="83"/>
      <c r="N84" s="83"/>
      <c r="O84" s="83"/>
      <c r="P84" s="83"/>
      <c r="Q84" s="83"/>
      <c r="R84" s="83"/>
      <c r="S84" s="83"/>
      <c r="T84" s="83"/>
      <c r="U84" s="83"/>
    </row>
    <row r="85" spans="1:21">
      <c r="A85" s="83"/>
      <c r="B85" s="83"/>
      <c r="C85" s="83"/>
      <c r="D85" s="83"/>
      <c r="E85" s="83"/>
      <c r="F85" s="83"/>
      <c r="G85" s="83"/>
      <c r="H85" s="83"/>
      <c r="I85" s="83"/>
      <c r="J85" s="83"/>
      <c r="K85" s="218"/>
      <c r="L85" s="218"/>
      <c r="M85" s="83"/>
      <c r="N85" s="83"/>
      <c r="O85" s="83"/>
      <c r="P85" s="83"/>
      <c r="Q85" s="83"/>
      <c r="R85" s="83"/>
      <c r="S85" s="83"/>
      <c r="T85" s="83"/>
      <c r="U85" s="83"/>
    </row>
    <row r="86" spans="1:21">
      <c r="A86" s="83"/>
      <c r="B86" s="83"/>
      <c r="C86" s="83"/>
      <c r="D86" s="83"/>
      <c r="E86" s="83"/>
      <c r="F86" s="83"/>
      <c r="G86" s="83"/>
      <c r="H86" s="83"/>
      <c r="I86" s="83"/>
      <c r="J86" s="83"/>
      <c r="K86" s="218"/>
      <c r="L86" s="218"/>
      <c r="M86" s="83"/>
      <c r="N86" s="83"/>
      <c r="O86" s="83"/>
      <c r="P86" s="83"/>
      <c r="Q86" s="83"/>
      <c r="R86" s="83"/>
      <c r="S86" s="83"/>
      <c r="T86" s="83"/>
      <c r="U86" s="83"/>
    </row>
    <row r="87" spans="1:21">
      <c r="A87" s="83"/>
      <c r="B87" s="83"/>
      <c r="C87" s="83"/>
      <c r="D87" s="83"/>
      <c r="E87" s="83"/>
      <c r="F87" s="83"/>
      <c r="G87" s="83"/>
      <c r="H87" s="83"/>
      <c r="I87" s="83"/>
      <c r="J87" s="83"/>
      <c r="K87" s="218"/>
      <c r="L87" s="218"/>
      <c r="M87" s="83"/>
      <c r="N87" s="83"/>
      <c r="O87" s="83"/>
      <c r="P87" s="83"/>
      <c r="Q87" s="83"/>
      <c r="R87" s="83"/>
      <c r="S87" s="83"/>
      <c r="T87" s="83"/>
      <c r="U87" s="83"/>
    </row>
    <row r="88" spans="1:21">
      <c r="A88" s="83"/>
      <c r="B88" s="83"/>
      <c r="C88" s="83"/>
      <c r="D88" s="83"/>
      <c r="E88" s="83"/>
      <c r="F88" s="83"/>
      <c r="G88" s="83"/>
      <c r="H88" s="83"/>
      <c r="I88" s="83"/>
      <c r="J88" s="83"/>
      <c r="K88" s="218"/>
      <c r="L88" s="218"/>
      <c r="M88" s="83"/>
      <c r="N88" s="83"/>
      <c r="O88" s="83"/>
      <c r="P88" s="83"/>
      <c r="Q88" s="83"/>
      <c r="R88" s="83"/>
      <c r="S88" s="83"/>
      <c r="T88" s="83"/>
      <c r="U88" s="83"/>
    </row>
    <row r="89" spans="1:21">
      <c r="A89" s="83"/>
      <c r="B89" s="83"/>
      <c r="C89" s="83"/>
      <c r="D89" s="83"/>
      <c r="E89" s="83"/>
      <c r="F89" s="83"/>
      <c r="G89" s="83"/>
      <c r="H89" s="83"/>
      <c r="I89" s="83"/>
      <c r="J89" s="83"/>
      <c r="K89" s="218"/>
      <c r="L89" s="218"/>
      <c r="M89" s="83"/>
      <c r="N89" s="83"/>
      <c r="O89" s="83"/>
      <c r="P89" s="83"/>
      <c r="Q89" s="83"/>
      <c r="R89" s="83"/>
      <c r="S89" s="83"/>
      <c r="T89" s="83"/>
      <c r="U89" s="83"/>
    </row>
    <row r="90" spans="1:21">
      <c r="A90" s="83"/>
      <c r="B90" s="83"/>
      <c r="C90" s="83"/>
      <c r="D90" s="83"/>
      <c r="E90" s="83"/>
      <c r="F90" s="83"/>
      <c r="G90" s="83"/>
      <c r="H90" s="83"/>
      <c r="I90" s="83"/>
      <c r="J90" s="83"/>
      <c r="K90" s="218"/>
      <c r="L90" s="218"/>
      <c r="M90" s="83"/>
      <c r="N90" s="83"/>
      <c r="O90" s="83"/>
      <c r="P90" s="83"/>
      <c r="Q90" s="83"/>
      <c r="R90" s="83"/>
      <c r="S90" s="83"/>
      <c r="T90" s="83"/>
      <c r="U90" s="83"/>
    </row>
    <row r="91" spans="1:21">
      <c r="A91" s="83"/>
      <c r="B91" s="83"/>
      <c r="C91" s="83"/>
      <c r="D91" s="83"/>
      <c r="E91" s="83"/>
      <c r="F91" s="83"/>
      <c r="G91" s="83"/>
      <c r="H91" s="83"/>
      <c r="I91" s="83"/>
      <c r="J91" s="83"/>
      <c r="K91" s="218"/>
      <c r="L91" s="218"/>
      <c r="M91" s="83"/>
      <c r="N91" s="83"/>
      <c r="O91" s="83"/>
      <c r="P91" s="83"/>
      <c r="Q91" s="83"/>
      <c r="R91" s="83"/>
      <c r="S91" s="83"/>
      <c r="T91" s="83"/>
      <c r="U91" s="83"/>
    </row>
    <row r="92" spans="1:21">
      <c r="A92" s="83"/>
      <c r="B92" s="83"/>
      <c r="C92" s="83"/>
      <c r="D92" s="83"/>
      <c r="E92" s="83"/>
      <c r="F92" s="83"/>
      <c r="G92" s="83"/>
      <c r="H92" s="83"/>
      <c r="I92" s="83"/>
      <c r="J92" s="83"/>
      <c r="K92" s="218"/>
      <c r="L92" s="218"/>
      <c r="M92" s="83"/>
      <c r="N92" s="83"/>
      <c r="O92" s="83"/>
      <c r="P92" s="83"/>
      <c r="Q92" s="83"/>
      <c r="R92" s="83"/>
      <c r="S92" s="83"/>
      <c r="T92" s="83"/>
      <c r="U92" s="83"/>
    </row>
    <row r="93" spans="1:21">
      <c r="A93" s="83"/>
      <c r="B93" s="83"/>
      <c r="C93" s="83"/>
      <c r="D93" s="83"/>
      <c r="E93" s="83"/>
      <c r="F93" s="83"/>
      <c r="G93" s="83"/>
      <c r="H93" s="83"/>
      <c r="I93" s="83"/>
      <c r="J93" s="83"/>
      <c r="K93" s="218"/>
      <c r="L93" s="218"/>
      <c r="M93" s="83"/>
      <c r="N93" s="83"/>
      <c r="O93" s="83"/>
      <c r="P93" s="83"/>
      <c r="Q93" s="83"/>
      <c r="R93" s="83"/>
      <c r="S93" s="83"/>
      <c r="T93" s="83"/>
      <c r="U93" s="83"/>
    </row>
    <row r="94" spans="1:21">
      <c r="A94" s="83"/>
      <c r="B94" s="83"/>
      <c r="C94" s="83"/>
      <c r="D94" s="83"/>
      <c r="E94" s="83"/>
      <c r="F94" s="83"/>
      <c r="G94" s="83"/>
      <c r="H94" s="83"/>
      <c r="I94" s="83"/>
      <c r="J94" s="83"/>
      <c r="K94" s="218"/>
      <c r="L94" s="218"/>
      <c r="M94" s="83"/>
      <c r="N94" s="83"/>
      <c r="O94" s="83"/>
      <c r="P94" s="83"/>
      <c r="Q94" s="83"/>
      <c r="R94" s="83"/>
      <c r="S94" s="83"/>
      <c r="T94" s="83"/>
      <c r="U94" s="83"/>
    </row>
    <row r="95" spans="1:21">
      <c r="A95" s="83"/>
      <c r="B95" s="83"/>
      <c r="C95" s="83"/>
      <c r="D95" s="83"/>
      <c r="E95" s="83"/>
      <c r="F95" s="83"/>
      <c r="G95" s="83"/>
      <c r="H95" s="83"/>
      <c r="I95" s="83"/>
      <c r="J95" s="83"/>
      <c r="K95" s="218"/>
      <c r="L95" s="218"/>
      <c r="M95" s="83"/>
      <c r="N95" s="83"/>
      <c r="O95" s="83"/>
      <c r="P95" s="83"/>
      <c r="Q95" s="83"/>
      <c r="R95" s="83"/>
      <c r="S95" s="83"/>
      <c r="T95" s="83"/>
      <c r="U95" s="83"/>
    </row>
    <row r="96" spans="1:21">
      <c r="A96" s="83"/>
      <c r="B96" s="83"/>
      <c r="C96" s="83"/>
      <c r="D96" s="83"/>
      <c r="E96" s="83"/>
      <c r="F96" s="83"/>
      <c r="G96" s="83"/>
      <c r="H96" s="83"/>
      <c r="I96" s="83"/>
      <c r="J96" s="83"/>
      <c r="K96" s="218"/>
      <c r="L96" s="218"/>
      <c r="M96" s="83"/>
      <c r="N96" s="83"/>
      <c r="O96" s="83"/>
      <c r="P96" s="83"/>
      <c r="Q96" s="83"/>
      <c r="R96" s="83"/>
      <c r="S96" s="83"/>
      <c r="T96" s="83"/>
      <c r="U96" s="83"/>
    </row>
    <row r="97" spans="1:21">
      <c r="A97" s="83"/>
      <c r="B97" s="83"/>
      <c r="C97" s="83"/>
      <c r="D97" s="83"/>
      <c r="E97" s="83"/>
      <c r="F97" s="83"/>
      <c r="G97" s="83"/>
      <c r="H97" s="83"/>
      <c r="I97" s="83"/>
      <c r="J97" s="83"/>
      <c r="K97" s="218"/>
      <c r="L97" s="218"/>
      <c r="M97" s="83"/>
      <c r="N97" s="83"/>
      <c r="O97" s="83"/>
      <c r="P97" s="83"/>
      <c r="Q97" s="83"/>
      <c r="R97" s="83"/>
      <c r="S97" s="83"/>
      <c r="T97" s="83"/>
      <c r="U97" s="83"/>
    </row>
    <row r="98" spans="1:21">
      <c r="A98" s="83"/>
      <c r="B98" s="83"/>
      <c r="C98" s="83"/>
      <c r="D98" s="83"/>
      <c r="E98" s="83"/>
      <c r="F98" s="83"/>
      <c r="G98" s="83"/>
      <c r="H98" s="83"/>
      <c r="I98" s="83"/>
      <c r="J98" s="83"/>
      <c r="K98" s="218"/>
      <c r="L98" s="218"/>
      <c r="M98" s="83"/>
      <c r="N98" s="83"/>
      <c r="O98" s="83"/>
      <c r="P98" s="83"/>
      <c r="Q98" s="83"/>
      <c r="R98" s="83"/>
      <c r="S98" s="83"/>
      <c r="T98" s="83"/>
      <c r="U98" s="83"/>
    </row>
    <row r="99" spans="1:21">
      <c r="A99" s="83"/>
      <c r="B99" s="83"/>
      <c r="C99" s="83"/>
      <c r="D99" s="83"/>
      <c r="E99" s="83"/>
      <c r="F99" s="83"/>
      <c r="G99" s="83"/>
      <c r="H99" s="83"/>
      <c r="I99" s="83"/>
      <c r="J99" s="83"/>
      <c r="K99" s="218"/>
      <c r="L99" s="218"/>
      <c r="M99" s="83"/>
      <c r="N99" s="83"/>
      <c r="O99" s="83"/>
      <c r="P99" s="83"/>
      <c r="Q99" s="83"/>
      <c r="R99" s="83"/>
      <c r="S99" s="83"/>
      <c r="T99" s="83"/>
      <c r="U99" s="83"/>
    </row>
    <row r="100" spans="1:21">
      <c r="A100" s="83"/>
      <c r="B100" s="83"/>
      <c r="C100" s="83"/>
      <c r="D100" s="83"/>
      <c r="E100" s="83"/>
      <c r="F100" s="83"/>
      <c r="G100" s="83"/>
      <c r="H100" s="83"/>
      <c r="I100" s="83"/>
      <c r="J100" s="83"/>
      <c r="K100" s="218"/>
      <c r="L100" s="218"/>
      <c r="M100" s="83"/>
      <c r="N100" s="83"/>
      <c r="O100" s="83"/>
      <c r="P100" s="83"/>
      <c r="Q100" s="83"/>
      <c r="R100" s="83"/>
      <c r="S100" s="83"/>
      <c r="T100" s="83"/>
      <c r="U100" s="83"/>
    </row>
    <row r="101" spans="1:21">
      <c r="A101" s="83"/>
      <c r="B101" s="83"/>
      <c r="C101" s="83"/>
      <c r="D101" s="83"/>
      <c r="E101" s="83"/>
      <c r="F101" s="83"/>
      <c r="G101" s="83"/>
      <c r="H101" s="83"/>
      <c r="I101" s="83"/>
      <c r="J101" s="83"/>
      <c r="K101" s="218"/>
      <c r="L101" s="218"/>
      <c r="M101" s="83"/>
      <c r="N101" s="83"/>
      <c r="O101" s="83"/>
      <c r="P101" s="83"/>
      <c r="Q101" s="83"/>
      <c r="R101" s="83"/>
      <c r="S101" s="83"/>
      <c r="T101" s="83"/>
      <c r="U101" s="83"/>
    </row>
    <row r="102" spans="1:21">
      <c r="A102" s="83"/>
      <c r="B102" s="83"/>
      <c r="C102" s="83"/>
      <c r="D102" s="83"/>
      <c r="E102" s="83"/>
      <c r="F102" s="83"/>
      <c r="G102" s="83"/>
      <c r="H102" s="83"/>
      <c r="I102" s="83"/>
      <c r="J102" s="83"/>
      <c r="K102" s="218"/>
      <c r="L102" s="218"/>
      <c r="M102" s="83"/>
      <c r="N102" s="83"/>
      <c r="O102" s="83"/>
      <c r="P102" s="83"/>
      <c r="Q102" s="83"/>
      <c r="R102" s="83"/>
      <c r="S102" s="83"/>
      <c r="T102" s="83"/>
      <c r="U102" s="83"/>
    </row>
    <row r="103" spans="1:21">
      <c r="A103" s="83"/>
      <c r="B103" s="83"/>
      <c r="C103" s="83"/>
      <c r="D103" s="83"/>
      <c r="E103" s="83"/>
      <c r="F103" s="83"/>
      <c r="G103" s="83"/>
      <c r="H103" s="83"/>
      <c r="I103" s="83"/>
      <c r="J103" s="83"/>
      <c r="K103" s="218"/>
      <c r="L103" s="218"/>
      <c r="M103" s="83"/>
      <c r="N103" s="83"/>
      <c r="O103" s="83"/>
      <c r="P103" s="83"/>
      <c r="Q103" s="83"/>
      <c r="R103" s="83"/>
      <c r="S103" s="83"/>
      <c r="T103" s="83"/>
      <c r="U103" s="83"/>
    </row>
    <row r="104" spans="1:21">
      <c r="A104" s="83"/>
      <c r="B104" s="83"/>
      <c r="C104" s="83"/>
      <c r="D104" s="83"/>
      <c r="E104" s="83"/>
      <c r="F104" s="83"/>
      <c r="G104" s="83"/>
      <c r="H104" s="83"/>
      <c r="I104" s="83"/>
      <c r="J104" s="83"/>
      <c r="K104" s="218"/>
      <c r="L104" s="218"/>
      <c r="M104" s="83"/>
      <c r="N104" s="83"/>
      <c r="O104" s="83"/>
      <c r="P104" s="83"/>
      <c r="Q104" s="83"/>
      <c r="R104" s="83"/>
      <c r="S104" s="83"/>
      <c r="T104" s="83"/>
      <c r="U104" s="83"/>
    </row>
    <row r="105" spans="1:21">
      <c r="A105" s="83"/>
      <c r="B105" s="83"/>
      <c r="C105" s="83"/>
      <c r="D105" s="83"/>
      <c r="E105" s="83"/>
      <c r="F105" s="83"/>
      <c r="G105" s="83"/>
      <c r="H105" s="83"/>
      <c r="I105" s="83"/>
      <c r="J105" s="83"/>
      <c r="K105" s="218"/>
      <c r="L105" s="218"/>
      <c r="M105" s="83"/>
      <c r="N105" s="83"/>
      <c r="O105" s="83"/>
      <c r="P105" s="83"/>
      <c r="Q105" s="83"/>
      <c r="R105" s="83"/>
      <c r="S105" s="83"/>
      <c r="T105" s="83"/>
      <c r="U105" s="83"/>
    </row>
    <row r="106" spans="1:21">
      <c r="A106" s="83"/>
      <c r="B106" s="83"/>
      <c r="C106" s="83"/>
      <c r="D106" s="83"/>
      <c r="E106" s="83"/>
      <c r="F106" s="83"/>
      <c r="G106" s="83"/>
      <c r="H106" s="83"/>
      <c r="I106" s="83"/>
      <c r="J106" s="83"/>
      <c r="K106" s="218"/>
      <c r="L106" s="218"/>
      <c r="M106" s="83"/>
      <c r="N106" s="83"/>
      <c r="O106" s="83"/>
      <c r="P106" s="83"/>
      <c r="Q106" s="83"/>
      <c r="R106" s="83"/>
      <c r="S106" s="83"/>
      <c r="T106" s="83"/>
      <c r="U106" s="83"/>
    </row>
    <row r="107" spans="1:21">
      <c r="A107" s="83"/>
      <c r="B107" s="83"/>
      <c r="C107" s="83"/>
      <c r="D107" s="83"/>
      <c r="E107" s="83"/>
      <c r="F107" s="83"/>
      <c r="G107" s="83"/>
      <c r="H107" s="83"/>
      <c r="I107" s="83"/>
      <c r="J107" s="83"/>
      <c r="K107" s="218"/>
      <c r="L107" s="218"/>
      <c r="M107" s="83"/>
      <c r="N107" s="83"/>
      <c r="O107" s="83"/>
      <c r="P107" s="83"/>
      <c r="Q107" s="83"/>
      <c r="R107" s="83"/>
      <c r="S107" s="83"/>
      <c r="T107" s="83"/>
      <c r="U107" s="83"/>
    </row>
    <row r="108" spans="1:21">
      <c r="A108" s="83"/>
      <c r="B108" s="83"/>
      <c r="C108" s="83"/>
      <c r="D108" s="83"/>
      <c r="E108" s="83"/>
      <c r="F108" s="83"/>
      <c r="G108" s="83"/>
      <c r="H108" s="83"/>
      <c r="I108" s="83"/>
      <c r="J108" s="83"/>
      <c r="K108" s="218"/>
      <c r="L108" s="218"/>
      <c r="M108" s="83"/>
      <c r="N108" s="83"/>
      <c r="O108" s="83"/>
      <c r="P108" s="83"/>
      <c r="Q108" s="83"/>
      <c r="R108" s="83"/>
      <c r="S108" s="83"/>
      <c r="T108" s="83"/>
      <c r="U108" s="83"/>
    </row>
    <row r="109" spans="1:21">
      <c r="A109" s="83"/>
      <c r="B109" s="83"/>
      <c r="C109" s="83"/>
      <c r="D109" s="83"/>
      <c r="E109" s="83"/>
      <c r="F109" s="83"/>
      <c r="G109" s="83"/>
      <c r="H109" s="83"/>
      <c r="I109" s="83"/>
      <c r="J109" s="83"/>
      <c r="K109" s="218"/>
      <c r="L109" s="218"/>
      <c r="M109" s="83"/>
      <c r="N109" s="83"/>
      <c r="O109" s="83"/>
      <c r="P109" s="83"/>
      <c r="Q109" s="83"/>
      <c r="R109" s="83"/>
      <c r="S109" s="83"/>
      <c r="T109" s="83"/>
      <c r="U109" s="83"/>
    </row>
    <row r="110" spans="1:21">
      <c r="A110" s="83"/>
      <c r="B110" s="83"/>
      <c r="C110" s="83"/>
      <c r="D110" s="83"/>
      <c r="E110" s="83"/>
      <c r="F110" s="83"/>
      <c r="G110" s="83"/>
      <c r="H110" s="83"/>
      <c r="I110" s="83"/>
      <c r="J110" s="83"/>
      <c r="K110" s="218"/>
      <c r="L110" s="218"/>
      <c r="M110" s="83"/>
      <c r="N110" s="83"/>
      <c r="O110" s="83"/>
      <c r="P110" s="83"/>
      <c r="Q110" s="83"/>
      <c r="R110" s="83"/>
      <c r="S110" s="83"/>
      <c r="T110" s="83"/>
      <c r="U110" s="83"/>
    </row>
    <row r="111" spans="1:21">
      <c r="A111" s="83"/>
      <c r="B111" s="83"/>
      <c r="C111" s="83"/>
      <c r="D111" s="83"/>
      <c r="E111" s="83"/>
      <c r="F111" s="83"/>
      <c r="G111" s="83"/>
      <c r="H111" s="83"/>
      <c r="I111" s="83"/>
      <c r="J111" s="83"/>
      <c r="K111" s="218"/>
      <c r="L111" s="218"/>
      <c r="M111" s="83"/>
      <c r="N111" s="83"/>
      <c r="O111" s="83"/>
      <c r="P111" s="83"/>
      <c r="Q111" s="83"/>
      <c r="R111" s="83"/>
      <c r="S111" s="83"/>
      <c r="T111" s="83"/>
      <c r="U111" s="83"/>
    </row>
    <row r="112" spans="1:21">
      <c r="A112" s="83"/>
      <c r="B112" s="83"/>
      <c r="C112" s="83"/>
      <c r="D112" s="83"/>
      <c r="E112" s="83"/>
      <c r="F112" s="83"/>
      <c r="G112" s="83"/>
      <c r="H112" s="83"/>
      <c r="I112" s="83"/>
      <c r="J112" s="83"/>
      <c r="K112" s="218"/>
      <c r="L112" s="218"/>
      <c r="M112" s="83"/>
      <c r="N112" s="83"/>
      <c r="O112" s="83"/>
      <c r="P112" s="83"/>
      <c r="Q112" s="83"/>
      <c r="R112" s="83"/>
      <c r="S112" s="83"/>
      <c r="T112" s="83"/>
      <c r="U112" s="83"/>
    </row>
    <row r="113" spans="1:21">
      <c r="A113" s="83"/>
      <c r="B113" s="83"/>
      <c r="C113" s="83"/>
      <c r="D113" s="83"/>
      <c r="E113" s="83"/>
      <c r="F113" s="83"/>
      <c r="G113" s="83"/>
      <c r="H113" s="83"/>
      <c r="I113" s="83"/>
      <c r="J113" s="83"/>
      <c r="K113" s="218"/>
      <c r="L113" s="218"/>
      <c r="M113" s="83"/>
      <c r="N113" s="83"/>
      <c r="O113" s="83"/>
      <c r="P113" s="83"/>
      <c r="Q113" s="83"/>
      <c r="R113" s="83"/>
      <c r="S113" s="83"/>
      <c r="T113" s="83"/>
      <c r="U113" s="83"/>
    </row>
    <row r="114" spans="1:21">
      <c r="A114" s="83"/>
      <c r="B114" s="83"/>
      <c r="C114" s="83"/>
      <c r="D114" s="83"/>
      <c r="E114" s="83"/>
      <c r="F114" s="83"/>
      <c r="G114" s="83"/>
      <c r="H114" s="83"/>
      <c r="I114" s="83"/>
      <c r="J114" s="83"/>
      <c r="K114" s="218"/>
      <c r="L114" s="218"/>
      <c r="M114" s="83"/>
      <c r="N114" s="83"/>
      <c r="O114" s="83"/>
      <c r="P114" s="83"/>
      <c r="Q114" s="83"/>
      <c r="R114" s="83"/>
      <c r="S114" s="83"/>
      <c r="T114" s="83"/>
      <c r="U114" s="83"/>
    </row>
    <row r="115" spans="1:21">
      <c r="A115" s="83"/>
      <c r="B115" s="83"/>
      <c r="C115" s="83"/>
      <c r="D115" s="83"/>
      <c r="E115" s="83"/>
      <c r="F115" s="83"/>
      <c r="G115" s="83"/>
      <c r="H115" s="83"/>
      <c r="I115" s="83"/>
      <c r="J115" s="83"/>
      <c r="K115" s="218"/>
      <c r="L115" s="218"/>
      <c r="M115" s="83"/>
      <c r="N115" s="83"/>
      <c r="O115" s="83"/>
      <c r="P115" s="83"/>
      <c r="Q115" s="83"/>
      <c r="R115" s="83"/>
      <c r="S115" s="83"/>
      <c r="T115" s="83"/>
      <c r="U115" s="83"/>
    </row>
    <row r="116" spans="1:21">
      <c r="A116" s="83"/>
      <c r="B116" s="83"/>
      <c r="C116" s="83"/>
      <c r="D116" s="83"/>
      <c r="E116" s="83"/>
      <c r="F116" s="83"/>
      <c r="G116" s="83"/>
      <c r="H116" s="83"/>
      <c r="I116" s="83"/>
      <c r="J116" s="83"/>
      <c r="K116" s="218"/>
      <c r="L116" s="218"/>
      <c r="M116" s="83"/>
      <c r="N116" s="83"/>
      <c r="O116" s="83"/>
      <c r="P116" s="83"/>
      <c r="Q116" s="83"/>
      <c r="R116" s="83"/>
      <c r="S116" s="83"/>
      <c r="T116" s="83"/>
      <c r="U116" s="83"/>
    </row>
    <row r="117" spans="1:21">
      <c r="A117" s="83"/>
      <c r="B117" s="83"/>
      <c r="C117" s="83"/>
      <c r="D117" s="83"/>
      <c r="E117" s="83"/>
      <c r="F117" s="83"/>
      <c r="G117" s="83"/>
      <c r="H117" s="83"/>
      <c r="I117" s="83"/>
      <c r="J117" s="83"/>
      <c r="K117" s="218"/>
      <c r="L117" s="218"/>
      <c r="M117" s="83"/>
      <c r="N117" s="83"/>
      <c r="O117" s="83"/>
      <c r="P117" s="83"/>
      <c r="Q117" s="83"/>
      <c r="R117" s="83"/>
      <c r="S117" s="83"/>
      <c r="T117" s="83"/>
      <c r="U117" s="83"/>
    </row>
    <row r="118" spans="1:21">
      <c r="A118" s="83"/>
      <c r="B118" s="83"/>
      <c r="C118" s="83"/>
      <c r="D118" s="83"/>
      <c r="E118" s="83"/>
      <c r="F118" s="83"/>
      <c r="G118" s="83"/>
      <c r="H118" s="83"/>
      <c r="I118" s="83"/>
      <c r="J118" s="83"/>
      <c r="K118" s="218"/>
      <c r="L118" s="218"/>
      <c r="M118" s="83"/>
      <c r="N118" s="83"/>
      <c r="O118" s="83"/>
      <c r="P118" s="83"/>
      <c r="Q118" s="83"/>
      <c r="R118" s="83"/>
      <c r="S118" s="83"/>
      <c r="T118" s="83"/>
      <c r="U118" s="83"/>
    </row>
    <row r="119" spans="1:21">
      <c r="A119" s="83"/>
      <c r="B119" s="83"/>
      <c r="C119" s="83"/>
      <c r="D119" s="83"/>
      <c r="E119" s="83"/>
      <c r="F119" s="83"/>
      <c r="G119" s="83"/>
      <c r="H119" s="83"/>
      <c r="I119" s="83"/>
      <c r="J119" s="83"/>
      <c r="K119" s="218"/>
      <c r="L119" s="218"/>
      <c r="M119" s="83"/>
      <c r="N119" s="83"/>
      <c r="O119" s="83"/>
      <c r="P119" s="83"/>
      <c r="Q119" s="83"/>
      <c r="R119" s="83"/>
      <c r="S119" s="83"/>
      <c r="T119" s="83"/>
      <c r="U119" s="83"/>
    </row>
    <row r="120" spans="1:21">
      <c r="A120" s="83"/>
      <c r="B120" s="83"/>
      <c r="C120" s="83"/>
      <c r="D120" s="83"/>
      <c r="E120" s="83"/>
      <c r="F120" s="83"/>
      <c r="G120" s="83"/>
      <c r="H120" s="83"/>
      <c r="I120" s="83"/>
      <c r="J120" s="83"/>
      <c r="K120" s="218"/>
      <c r="L120" s="218"/>
      <c r="M120" s="83"/>
      <c r="N120" s="83"/>
      <c r="O120" s="83"/>
      <c r="P120" s="83"/>
      <c r="Q120" s="83"/>
      <c r="R120" s="83"/>
      <c r="S120" s="83"/>
      <c r="T120" s="83"/>
      <c r="U120" s="83"/>
    </row>
    <row r="121" spans="1:21">
      <c r="A121" s="83"/>
      <c r="B121" s="83"/>
      <c r="C121" s="83"/>
      <c r="D121" s="83"/>
      <c r="E121" s="83"/>
      <c r="F121" s="83"/>
      <c r="G121" s="83"/>
      <c r="H121" s="83"/>
      <c r="I121" s="83"/>
      <c r="J121" s="83"/>
      <c r="K121" s="218"/>
      <c r="L121" s="218"/>
      <c r="M121" s="83"/>
      <c r="N121" s="83"/>
      <c r="O121" s="83"/>
      <c r="P121" s="83"/>
      <c r="Q121" s="83"/>
      <c r="R121" s="83"/>
      <c r="S121" s="83"/>
      <c r="T121" s="83"/>
      <c r="U121" s="83"/>
    </row>
    <row r="122" spans="1:21">
      <c r="A122" s="83"/>
      <c r="B122" s="83"/>
      <c r="C122" s="83"/>
      <c r="D122" s="83"/>
      <c r="E122" s="83"/>
      <c r="F122" s="83"/>
      <c r="G122" s="83"/>
      <c r="H122" s="83"/>
      <c r="I122" s="83"/>
      <c r="J122" s="83"/>
      <c r="K122" s="218"/>
      <c r="L122" s="218"/>
      <c r="M122" s="83"/>
      <c r="N122" s="83"/>
      <c r="O122" s="83"/>
      <c r="P122" s="83"/>
      <c r="Q122" s="83"/>
      <c r="R122" s="83"/>
      <c r="S122" s="83"/>
      <c r="T122" s="83"/>
      <c r="U122" s="83"/>
    </row>
    <row r="123" spans="1:21">
      <c r="A123" s="83"/>
      <c r="B123" s="83"/>
      <c r="C123" s="83"/>
      <c r="D123" s="83"/>
      <c r="E123" s="83"/>
      <c r="F123" s="83"/>
      <c r="G123" s="83"/>
      <c r="H123" s="83"/>
      <c r="I123" s="83"/>
      <c r="J123" s="83"/>
      <c r="K123" s="218"/>
      <c r="L123" s="218"/>
      <c r="M123" s="83"/>
      <c r="N123" s="83"/>
      <c r="O123" s="83"/>
      <c r="P123" s="83"/>
      <c r="Q123" s="83"/>
      <c r="R123" s="83"/>
      <c r="S123" s="83"/>
      <c r="T123" s="83"/>
      <c r="U123" s="83"/>
    </row>
    <row r="124" spans="1:21">
      <c r="A124" s="83"/>
      <c r="B124" s="83"/>
      <c r="C124" s="83"/>
      <c r="D124" s="83"/>
      <c r="E124" s="83"/>
      <c r="F124" s="83"/>
      <c r="G124" s="83"/>
      <c r="H124" s="83"/>
      <c r="I124" s="83"/>
      <c r="J124" s="83"/>
      <c r="K124" s="218"/>
      <c r="L124" s="218"/>
      <c r="M124" s="83"/>
      <c r="N124" s="83"/>
      <c r="O124" s="83"/>
      <c r="P124" s="83"/>
      <c r="Q124" s="83"/>
      <c r="R124" s="83"/>
      <c r="S124" s="83"/>
      <c r="T124" s="83"/>
      <c r="U124" s="83"/>
    </row>
    <row r="125" spans="1:21">
      <c r="A125" s="83"/>
      <c r="B125" s="83"/>
      <c r="C125" s="83"/>
      <c r="D125" s="83"/>
      <c r="E125" s="83"/>
      <c r="F125" s="83"/>
      <c r="G125" s="83"/>
      <c r="H125" s="83"/>
      <c r="I125" s="83"/>
      <c r="J125" s="83"/>
      <c r="K125" s="218"/>
      <c r="L125" s="218"/>
      <c r="M125" s="83"/>
      <c r="N125" s="83"/>
      <c r="O125" s="83"/>
      <c r="P125" s="83"/>
      <c r="Q125" s="83"/>
      <c r="R125" s="83"/>
      <c r="S125" s="83"/>
      <c r="T125" s="83"/>
      <c r="U125" s="83"/>
    </row>
    <row r="126" spans="1:21">
      <c r="A126" s="83"/>
      <c r="B126" s="83"/>
      <c r="C126" s="83"/>
      <c r="D126" s="83"/>
      <c r="E126" s="83"/>
      <c r="F126" s="83"/>
      <c r="G126" s="83"/>
      <c r="H126" s="83"/>
      <c r="I126" s="83"/>
      <c r="J126" s="83"/>
      <c r="K126" s="218"/>
      <c r="L126" s="218"/>
      <c r="M126" s="83"/>
      <c r="N126" s="83"/>
      <c r="O126" s="83"/>
      <c r="P126" s="83"/>
      <c r="Q126" s="83"/>
      <c r="R126" s="83"/>
      <c r="S126" s="83"/>
      <c r="T126" s="83"/>
      <c r="U126" s="83"/>
    </row>
    <row r="127" spans="1:21">
      <c r="A127" s="83"/>
      <c r="B127" s="83"/>
      <c r="C127" s="83"/>
      <c r="D127" s="83"/>
      <c r="E127" s="83"/>
      <c r="F127" s="83"/>
      <c r="G127" s="83"/>
      <c r="H127" s="83"/>
      <c r="I127" s="83"/>
      <c r="J127" s="83"/>
      <c r="K127" s="218"/>
      <c r="L127" s="218"/>
      <c r="M127" s="83"/>
      <c r="N127" s="83"/>
      <c r="O127" s="83"/>
      <c r="P127" s="83"/>
      <c r="Q127" s="83"/>
      <c r="R127" s="83"/>
      <c r="S127" s="83"/>
      <c r="T127" s="83"/>
      <c r="U127" s="83"/>
    </row>
    <row r="128" spans="1:21">
      <c r="A128" s="83"/>
      <c r="B128" s="83"/>
      <c r="C128" s="83"/>
      <c r="D128" s="83"/>
      <c r="E128" s="83"/>
      <c r="F128" s="83"/>
      <c r="G128" s="83"/>
      <c r="H128" s="83"/>
      <c r="I128" s="83"/>
      <c r="J128" s="83"/>
      <c r="K128" s="218"/>
      <c r="L128" s="218"/>
      <c r="M128" s="83"/>
      <c r="N128" s="83"/>
      <c r="O128" s="83"/>
      <c r="P128" s="83"/>
      <c r="Q128" s="83"/>
      <c r="R128" s="83"/>
      <c r="S128" s="83"/>
      <c r="T128" s="83"/>
      <c r="U128" s="83"/>
    </row>
    <row r="129" spans="1:21">
      <c r="A129" s="83"/>
      <c r="B129" s="83"/>
      <c r="C129" s="83"/>
      <c r="D129" s="83"/>
      <c r="E129" s="83"/>
      <c r="F129" s="83"/>
      <c r="G129" s="83"/>
      <c r="H129" s="83"/>
      <c r="I129" s="83"/>
      <c r="J129" s="83"/>
      <c r="K129" s="218"/>
      <c r="L129" s="218"/>
      <c r="M129" s="83"/>
      <c r="N129" s="83"/>
      <c r="O129" s="83"/>
      <c r="P129" s="83"/>
      <c r="Q129" s="83"/>
      <c r="R129" s="83"/>
      <c r="S129" s="83"/>
      <c r="T129" s="83"/>
      <c r="U129" s="83"/>
    </row>
    <row r="130" spans="1:21">
      <c r="A130" s="83"/>
      <c r="B130" s="83"/>
      <c r="C130" s="83"/>
      <c r="D130" s="83"/>
      <c r="E130" s="83"/>
      <c r="F130" s="83"/>
      <c r="G130" s="83"/>
      <c r="H130" s="83"/>
      <c r="I130" s="83"/>
      <c r="J130" s="83"/>
      <c r="K130" s="218"/>
      <c r="L130" s="218"/>
      <c r="M130" s="83"/>
      <c r="N130" s="83"/>
      <c r="O130" s="83"/>
      <c r="P130" s="83"/>
      <c r="Q130" s="83"/>
      <c r="R130" s="83"/>
      <c r="S130" s="83"/>
      <c r="T130" s="83"/>
      <c r="U130" s="83"/>
    </row>
    <row r="131" spans="1:21">
      <c r="A131" s="83"/>
      <c r="B131" s="83"/>
      <c r="C131" s="83"/>
      <c r="D131" s="83"/>
      <c r="E131" s="83"/>
      <c r="F131" s="83"/>
      <c r="G131" s="83"/>
      <c r="H131" s="83"/>
      <c r="I131" s="83"/>
      <c r="J131" s="83"/>
      <c r="K131" s="218"/>
      <c r="L131" s="218"/>
      <c r="M131" s="83"/>
      <c r="N131" s="83"/>
      <c r="O131" s="83"/>
      <c r="P131" s="83"/>
      <c r="Q131" s="83"/>
      <c r="R131" s="83"/>
      <c r="S131" s="83"/>
      <c r="T131" s="83"/>
      <c r="U131" s="83"/>
    </row>
    <row r="132" spans="1:21">
      <c r="A132" s="83"/>
      <c r="B132" s="83"/>
      <c r="C132" s="83"/>
      <c r="D132" s="83"/>
      <c r="E132" s="83"/>
      <c r="F132" s="83"/>
      <c r="G132" s="83"/>
      <c r="H132" s="83"/>
      <c r="I132" s="83"/>
      <c r="J132" s="83"/>
      <c r="K132" s="218"/>
      <c r="L132" s="218"/>
      <c r="M132" s="83"/>
      <c r="N132" s="83"/>
      <c r="O132" s="83"/>
      <c r="P132" s="83"/>
      <c r="Q132" s="83"/>
      <c r="R132" s="83"/>
      <c r="S132" s="83"/>
      <c r="T132" s="83"/>
      <c r="U132" s="83"/>
    </row>
    <row r="133" spans="1:21">
      <c r="A133" s="83"/>
      <c r="B133" s="83"/>
      <c r="C133" s="83"/>
      <c r="D133" s="83"/>
      <c r="E133" s="83"/>
      <c r="F133" s="83"/>
      <c r="G133" s="83"/>
      <c r="H133" s="83"/>
      <c r="I133" s="83"/>
      <c r="J133" s="83"/>
      <c r="K133" s="218"/>
      <c r="L133" s="218"/>
      <c r="M133" s="83"/>
      <c r="N133" s="83"/>
      <c r="O133" s="83"/>
      <c r="P133" s="83"/>
      <c r="Q133" s="83"/>
      <c r="R133" s="83"/>
      <c r="S133" s="83"/>
      <c r="T133" s="83"/>
      <c r="U133" s="83"/>
    </row>
    <row r="134" spans="1:21">
      <c r="A134" s="83"/>
      <c r="B134" s="83"/>
      <c r="C134" s="83"/>
      <c r="D134" s="83"/>
      <c r="E134" s="83"/>
      <c r="F134" s="83"/>
      <c r="G134" s="83"/>
      <c r="H134" s="83"/>
      <c r="I134" s="83"/>
      <c r="J134" s="83"/>
      <c r="K134" s="218"/>
      <c r="L134" s="218"/>
      <c r="M134" s="83"/>
      <c r="N134" s="83"/>
      <c r="O134" s="83"/>
      <c r="P134" s="83"/>
      <c r="Q134" s="83"/>
      <c r="R134" s="83"/>
      <c r="S134" s="83"/>
      <c r="T134" s="83"/>
      <c r="U134" s="83"/>
    </row>
    <row r="135" spans="1:21">
      <c r="A135" s="83"/>
      <c r="B135" s="83"/>
      <c r="C135" s="83"/>
      <c r="D135" s="83"/>
      <c r="E135" s="83"/>
      <c r="F135" s="83"/>
      <c r="G135" s="83"/>
      <c r="H135" s="83"/>
      <c r="I135" s="83"/>
      <c r="J135" s="83"/>
      <c r="K135" s="218"/>
      <c r="L135" s="218"/>
      <c r="M135" s="83"/>
      <c r="N135" s="83"/>
      <c r="O135" s="83"/>
      <c r="P135" s="83"/>
      <c r="Q135" s="83"/>
      <c r="R135" s="83"/>
      <c r="S135" s="83"/>
      <c r="T135" s="83"/>
      <c r="U135" s="83"/>
    </row>
    <row r="136" spans="1:21">
      <c r="A136" s="83"/>
      <c r="B136" s="83"/>
      <c r="C136" s="83"/>
      <c r="D136" s="83"/>
      <c r="E136" s="83"/>
      <c r="F136" s="83"/>
      <c r="G136" s="83"/>
      <c r="H136" s="83"/>
      <c r="I136" s="83"/>
      <c r="J136" s="83"/>
      <c r="K136" s="218"/>
      <c r="L136" s="218"/>
      <c r="M136" s="83"/>
      <c r="N136" s="83"/>
      <c r="O136" s="83"/>
      <c r="P136" s="83"/>
      <c r="Q136" s="83"/>
      <c r="R136" s="83"/>
      <c r="S136" s="83"/>
      <c r="T136" s="83"/>
      <c r="U136" s="83"/>
    </row>
    <row r="137" spans="1:21">
      <c r="A137" s="83"/>
      <c r="B137" s="83"/>
      <c r="C137" s="83"/>
      <c r="D137" s="83"/>
      <c r="E137" s="83"/>
      <c r="F137" s="83"/>
      <c r="G137" s="83"/>
      <c r="H137" s="83"/>
      <c r="I137" s="83"/>
      <c r="J137" s="83"/>
      <c r="K137" s="218"/>
      <c r="L137" s="218"/>
      <c r="M137" s="83"/>
      <c r="N137" s="83"/>
      <c r="O137" s="83"/>
      <c r="P137" s="83"/>
      <c r="Q137" s="83"/>
      <c r="R137" s="83"/>
      <c r="S137" s="83"/>
      <c r="T137" s="83"/>
      <c r="U137" s="83"/>
    </row>
    <row r="138" spans="1:21">
      <c r="A138" s="83"/>
      <c r="B138" s="83"/>
      <c r="C138" s="83"/>
      <c r="D138" s="83"/>
      <c r="E138" s="83"/>
      <c r="F138" s="83"/>
      <c r="G138" s="83"/>
      <c r="H138" s="83"/>
      <c r="I138" s="83"/>
      <c r="J138" s="83"/>
      <c r="K138" s="218"/>
      <c r="L138" s="218"/>
      <c r="M138" s="83"/>
      <c r="N138" s="83"/>
      <c r="O138" s="83"/>
      <c r="P138" s="83"/>
      <c r="Q138" s="83"/>
      <c r="R138" s="83"/>
      <c r="S138" s="83"/>
      <c r="T138" s="83"/>
      <c r="U138" s="83"/>
    </row>
    <row r="139" spans="1:21">
      <c r="A139" s="83"/>
      <c r="B139" s="83"/>
      <c r="C139" s="83"/>
      <c r="D139" s="83"/>
      <c r="E139" s="83"/>
      <c r="F139" s="83"/>
      <c r="G139" s="83"/>
      <c r="H139" s="83"/>
      <c r="I139" s="83"/>
      <c r="J139" s="83"/>
      <c r="K139" s="218"/>
      <c r="L139" s="218"/>
      <c r="M139" s="83"/>
      <c r="N139" s="83"/>
      <c r="O139" s="83"/>
      <c r="P139" s="83"/>
      <c r="Q139" s="83"/>
      <c r="R139" s="83"/>
      <c r="S139" s="83"/>
      <c r="T139" s="83"/>
      <c r="U139" s="83"/>
    </row>
    <row r="140" spans="1:21">
      <c r="A140" s="83"/>
      <c r="B140" s="83"/>
      <c r="C140" s="83"/>
      <c r="D140" s="83"/>
      <c r="E140" s="83"/>
      <c r="F140" s="83"/>
      <c r="G140" s="83"/>
      <c r="H140" s="83"/>
      <c r="I140" s="83"/>
      <c r="J140" s="83"/>
      <c r="K140" s="218"/>
      <c r="L140" s="218"/>
      <c r="M140" s="83"/>
      <c r="N140" s="83"/>
      <c r="O140" s="83"/>
      <c r="P140" s="83"/>
      <c r="Q140" s="83"/>
      <c r="R140" s="83"/>
      <c r="S140" s="83"/>
      <c r="T140" s="83"/>
      <c r="U140" s="83"/>
    </row>
    <row r="141" spans="1:21">
      <c r="A141" s="83"/>
      <c r="B141" s="83"/>
      <c r="C141" s="83"/>
      <c r="D141" s="83"/>
      <c r="E141" s="83"/>
      <c r="F141" s="83"/>
      <c r="G141" s="83"/>
      <c r="H141" s="83"/>
      <c r="I141" s="83"/>
      <c r="J141" s="83"/>
      <c r="K141" s="218"/>
      <c r="L141" s="218"/>
      <c r="M141" s="83"/>
      <c r="N141" s="83"/>
      <c r="O141" s="83"/>
      <c r="P141" s="83"/>
      <c r="Q141" s="83"/>
      <c r="R141" s="83"/>
      <c r="S141" s="83"/>
      <c r="T141" s="83"/>
      <c r="U141" s="83"/>
    </row>
    <row r="142" spans="1:21">
      <c r="A142" s="83"/>
      <c r="B142" s="83"/>
      <c r="C142" s="83"/>
      <c r="D142" s="83"/>
      <c r="E142" s="83"/>
      <c r="F142" s="83"/>
      <c r="G142" s="83"/>
      <c r="H142" s="83"/>
      <c r="I142" s="83"/>
      <c r="J142" s="83"/>
      <c r="K142" s="218"/>
      <c r="L142" s="218"/>
      <c r="M142" s="83"/>
      <c r="N142" s="83"/>
      <c r="O142" s="83"/>
      <c r="P142" s="83"/>
      <c r="Q142" s="83"/>
      <c r="R142" s="83"/>
      <c r="S142" s="83"/>
      <c r="T142" s="83"/>
      <c r="U142" s="83"/>
    </row>
    <row r="143" spans="1:21">
      <c r="A143" s="83"/>
      <c r="B143" s="83"/>
      <c r="C143" s="83"/>
      <c r="D143" s="83"/>
      <c r="E143" s="83"/>
      <c r="F143" s="83"/>
      <c r="G143" s="83"/>
      <c r="H143" s="83"/>
      <c r="I143" s="83"/>
      <c r="J143" s="83"/>
      <c r="K143" s="218"/>
      <c r="L143" s="218"/>
      <c r="M143" s="83"/>
      <c r="N143" s="83"/>
      <c r="O143" s="83"/>
      <c r="P143" s="83"/>
      <c r="Q143" s="83"/>
      <c r="R143" s="83"/>
      <c r="S143" s="83"/>
      <c r="T143" s="83"/>
      <c r="U143" s="83"/>
    </row>
    <row r="144" spans="1:21">
      <c r="A144" s="83"/>
      <c r="B144" s="83"/>
      <c r="C144" s="83"/>
      <c r="D144" s="83"/>
      <c r="E144" s="83"/>
      <c r="F144" s="83"/>
      <c r="G144" s="83"/>
      <c r="H144" s="83"/>
      <c r="I144" s="83"/>
      <c r="J144" s="83"/>
      <c r="K144" s="218"/>
      <c r="L144" s="218"/>
      <c r="M144" s="83"/>
      <c r="N144" s="83"/>
      <c r="O144" s="83"/>
      <c r="P144" s="83"/>
      <c r="Q144" s="83"/>
      <c r="R144" s="83"/>
      <c r="S144" s="83"/>
      <c r="T144" s="83"/>
      <c r="U144" s="83"/>
    </row>
    <row r="145" spans="1:21">
      <c r="A145" s="83"/>
      <c r="B145" s="83"/>
      <c r="C145" s="83"/>
      <c r="D145" s="83"/>
      <c r="E145" s="83"/>
      <c r="F145" s="83"/>
      <c r="G145" s="83"/>
      <c r="H145" s="83"/>
      <c r="I145" s="83"/>
      <c r="J145" s="83"/>
      <c r="K145" s="218"/>
      <c r="L145" s="218"/>
      <c r="M145" s="83"/>
      <c r="N145" s="83"/>
      <c r="O145" s="83"/>
      <c r="P145" s="83"/>
      <c r="Q145" s="83"/>
      <c r="R145" s="83"/>
      <c r="S145" s="83"/>
      <c r="T145" s="83"/>
      <c r="U145" s="83"/>
    </row>
    <row r="146" spans="1:21">
      <c r="A146" s="83"/>
      <c r="B146" s="83"/>
      <c r="C146" s="83"/>
      <c r="D146" s="83"/>
      <c r="E146" s="83"/>
      <c r="F146" s="83"/>
      <c r="G146" s="83"/>
      <c r="H146" s="83"/>
      <c r="I146" s="83"/>
      <c r="J146" s="83"/>
      <c r="K146" s="218"/>
      <c r="L146" s="218"/>
      <c r="M146" s="83"/>
      <c r="N146" s="83"/>
      <c r="O146" s="83"/>
      <c r="P146" s="83"/>
      <c r="Q146" s="83"/>
      <c r="R146" s="83"/>
      <c r="S146" s="83"/>
      <c r="T146" s="83"/>
      <c r="U146" s="83"/>
    </row>
    <row r="147" spans="1:21">
      <c r="A147" s="83"/>
      <c r="B147" s="83"/>
      <c r="C147" s="83"/>
      <c r="D147" s="83"/>
      <c r="E147" s="83"/>
      <c r="F147" s="83"/>
      <c r="G147" s="83"/>
      <c r="H147" s="83"/>
      <c r="I147" s="83"/>
      <c r="J147" s="83"/>
      <c r="K147" s="218"/>
      <c r="L147" s="218"/>
      <c r="M147" s="83"/>
      <c r="N147" s="83"/>
      <c r="O147" s="83"/>
      <c r="P147" s="83"/>
      <c r="Q147" s="83"/>
      <c r="R147" s="83"/>
      <c r="S147" s="83"/>
      <c r="T147" s="83"/>
      <c r="U147" s="83"/>
    </row>
    <row r="148" spans="1:21">
      <c r="A148" s="83"/>
      <c r="B148" s="83"/>
      <c r="C148" s="83"/>
      <c r="D148" s="83"/>
      <c r="E148" s="83"/>
      <c r="F148" s="83"/>
      <c r="G148" s="83"/>
      <c r="H148" s="83"/>
      <c r="I148" s="83"/>
      <c r="J148" s="83"/>
      <c r="K148" s="218"/>
      <c r="L148" s="218"/>
      <c r="M148" s="83"/>
      <c r="N148" s="83"/>
      <c r="O148" s="83"/>
      <c r="P148" s="83"/>
      <c r="Q148" s="83"/>
      <c r="R148" s="83"/>
      <c r="S148" s="83"/>
      <c r="T148" s="83"/>
      <c r="U148" s="83"/>
    </row>
    <row r="149" spans="1:21">
      <c r="A149" s="83"/>
      <c r="B149" s="83"/>
      <c r="C149" s="83"/>
      <c r="D149" s="83"/>
      <c r="E149" s="83"/>
      <c r="F149" s="83"/>
      <c r="G149" s="83"/>
      <c r="H149" s="83"/>
      <c r="I149" s="83"/>
      <c r="J149" s="83"/>
      <c r="K149" s="218"/>
      <c r="L149" s="218"/>
      <c r="M149" s="83"/>
      <c r="N149" s="83"/>
      <c r="O149" s="83"/>
      <c r="P149" s="83"/>
      <c r="Q149" s="83"/>
      <c r="R149" s="83"/>
      <c r="S149" s="83"/>
      <c r="T149" s="83"/>
      <c r="U149" s="83"/>
    </row>
    <row r="150" spans="1:21">
      <c r="A150" s="83"/>
      <c r="B150" s="83"/>
      <c r="C150" s="83"/>
      <c r="D150" s="83"/>
      <c r="E150" s="83"/>
      <c r="F150" s="83"/>
      <c r="G150" s="83"/>
      <c r="H150" s="83"/>
      <c r="I150" s="83"/>
      <c r="J150" s="83"/>
      <c r="K150" s="218"/>
      <c r="L150" s="218"/>
      <c r="M150" s="83"/>
      <c r="N150" s="83"/>
      <c r="O150" s="83"/>
      <c r="P150" s="83"/>
      <c r="Q150" s="83"/>
      <c r="R150" s="83"/>
      <c r="S150" s="83"/>
      <c r="T150" s="83"/>
      <c r="U150" s="83"/>
    </row>
    <row r="151" spans="1:21">
      <c r="A151" s="83"/>
      <c r="B151" s="83"/>
      <c r="C151" s="83"/>
      <c r="D151" s="83"/>
      <c r="E151" s="83"/>
      <c r="F151" s="83"/>
      <c r="G151" s="83"/>
      <c r="H151" s="83"/>
      <c r="I151" s="83"/>
      <c r="J151" s="83"/>
      <c r="K151" s="218"/>
      <c r="L151" s="218"/>
      <c r="M151" s="83"/>
      <c r="N151" s="83"/>
      <c r="O151" s="83"/>
      <c r="P151" s="83"/>
      <c r="Q151" s="83"/>
      <c r="R151" s="83"/>
      <c r="S151" s="83"/>
      <c r="T151" s="83"/>
      <c r="U151" s="83"/>
    </row>
    <row r="152" spans="1:21">
      <c r="A152" s="83"/>
      <c r="B152" s="83"/>
      <c r="C152" s="83"/>
      <c r="D152" s="83"/>
      <c r="E152" s="83"/>
      <c r="F152" s="83"/>
      <c r="G152" s="83"/>
      <c r="H152" s="83"/>
      <c r="I152" s="83"/>
      <c r="J152" s="83"/>
      <c r="K152" s="218"/>
      <c r="L152" s="218"/>
      <c r="M152" s="83"/>
      <c r="N152" s="83"/>
      <c r="O152" s="83"/>
      <c r="P152" s="83"/>
      <c r="Q152" s="83"/>
      <c r="R152" s="83"/>
      <c r="S152" s="83"/>
      <c r="T152" s="83"/>
      <c r="U152" s="83"/>
    </row>
    <row r="153" spans="1:21">
      <c r="A153" s="83"/>
      <c r="B153" s="83"/>
      <c r="C153" s="83"/>
      <c r="D153" s="83"/>
      <c r="E153" s="83"/>
      <c r="F153" s="83"/>
      <c r="G153" s="83"/>
      <c r="H153" s="83"/>
      <c r="I153" s="83"/>
      <c r="J153" s="83"/>
      <c r="K153" s="218"/>
      <c r="L153" s="218"/>
      <c r="M153" s="83"/>
      <c r="N153" s="83"/>
      <c r="O153" s="83"/>
      <c r="P153" s="83"/>
      <c r="Q153" s="83"/>
      <c r="R153" s="83"/>
      <c r="S153" s="83"/>
      <c r="T153" s="83"/>
      <c r="U153" s="83"/>
    </row>
    <row r="154" spans="1:21">
      <c r="A154" s="83"/>
      <c r="B154" s="83"/>
      <c r="C154" s="83"/>
      <c r="D154" s="83"/>
      <c r="E154" s="83"/>
      <c r="F154" s="83"/>
      <c r="G154" s="83"/>
      <c r="H154" s="83"/>
      <c r="I154" s="83"/>
      <c r="J154" s="83"/>
      <c r="K154" s="218"/>
      <c r="L154" s="218"/>
      <c r="M154" s="83"/>
      <c r="N154" s="83"/>
      <c r="O154" s="83"/>
      <c r="P154" s="83"/>
      <c r="Q154" s="83"/>
      <c r="R154" s="83"/>
      <c r="S154" s="83"/>
      <c r="T154" s="83"/>
      <c r="U154" s="83"/>
    </row>
    <row r="155" spans="1:21">
      <c r="A155" s="83"/>
      <c r="B155" s="83"/>
      <c r="C155" s="83"/>
      <c r="D155" s="83"/>
      <c r="E155" s="83"/>
      <c r="F155" s="83"/>
      <c r="G155" s="83"/>
      <c r="H155" s="83"/>
      <c r="I155" s="83"/>
      <c r="J155" s="83"/>
      <c r="K155" s="218"/>
      <c r="L155" s="218"/>
      <c r="M155" s="83"/>
      <c r="N155" s="83"/>
      <c r="O155" s="83"/>
      <c r="P155" s="83"/>
      <c r="Q155" s="83"/>
      <c r="R155" s="83"/>
      <c r="S155" s="83"/>
      <c r="T155" s="83"/>
      <c r="U155" s="83"/>
    </row>
    <row r="156" spans="1:21">
      <c r="A156" s="83"/>
      <c r="B156" s="83"/>
      <c r="C156" s="83"/>
      <c r="D156" s="83"/>
      <c r="E156" s="83"/>
      <c r="F156" s="83"/>
      <c r="G156" s="83"/>
      <c r="H156" s="83"/>
      <c r="I156" s="83"/>
      <c r="J156" s="83"/>
      <c r="K156" s="218"/>
      <c r="L156" s="218"/>
      <c r="M156" s="83"/>
      <c r="N156" s="83"/>
      <c r="O156" s="83"/>
      <c r="P156" s="83"/>
      <c r="Q156" s="83"/>
      <c r="R156" s="83"/>
      <c r="S156" s="83"/>
      <c r="T156" s="83"/>
      <c r="U156" s="83"/>
    </row>
    <row r="157" spans="1:21">
      <c r="A157" s="83"/>
      <c r="B157" s="83"/>
      <c r="C157" s="83"/>
      <c r="D157" s="83"/>
      <c r="E157" s="83"/>
      <c r="F157" s="83"/>
      <c r="G157" s="83"/>
      <c r="H157" s="83"/>
      <c r="I157" s="83"/>
      <c r="J157" s="83"/>
      <c r="K157" s="218"/>
      <c r="L157" s="218"/>
      <c r="M157" s="83"/>
      <c r="N157" s="83"/>
      <c r="O157" s="83"/>
      <c r="P157" s="83"/>
      <c r="Q157" s="83"/>
      <c r="R157" s="83"/>
      <c r="S157" s="83"/>
      <c r="T157" s="83"/>
      <c r="U157" s="83"/>
    </row>
    <row r="158" spans="1:21">
      <c r="A158" s="83"/>
      <c r="B158" s="83"/>
      <c r="C158" s="83"/>
      <c r="D158" s="83"/>
      <c r="E158" s="83"/>
      <c r="F158" s="83"/>
      <c r="G158" s="83"/>
      <c r="H158" s="83"/>
      <c r="I158" s="83"/>
      <c r="J158" s="83"/>
      <c r="K158" s="218"/>
      <c r="L158" s="218"/>
      <c r="M158" s="83"/>
      <c r="N158" s="83"/>
      <c r="O158" s="83"/>
      <c r="P158" s="83"/>
      <c r="Q158" s="83"/>
      <c r="R158" s="83"/>
      <c r="S158" s="83"/>
      <c r="T158" s="83"/>
      <c r="U158" s="83"/>
    </row>
    <row r="159" spans="1:21">
      <c r="A159" s="83"/>
      <c r="B159" s="83"/>
      <c r="C159" s="83"/>
      <c r="D159" s="83"/>
      <c r="E159" s="83"/>
      <c r="F159" s="83"/>
      <c r="G159" s="83"/>
      <c r="H159" s="83"/>
      <c r="I159" s="83"/>
      <c r="J159" s="83"/>
      <c r="K159" s="218"/>
      <c r="L159" s="218"/>
      <c r="M159" s="83"/>
      <c r="N159" s="83"/>
      <c r="O159" s="83"/>
      <c r="P159" s="83"/>
      <c r="Q159" s="83"/>
      <c r="R159" s="83"/>
      <c r="S159" s="83"/>
      <c r="T159" s="83"/>
      <c r="U159" s="83"/>
    </row>
    <row r="160" spans="1:21">
      <c r="A160" s="83"/>
      <c r="B160" s="83"/>
      <c r="C160" s="83"/>
      <c r="D160" s="83"/>
      <c r="E160" s="83"/>
      <c r="F160" s="83"/>
      <c r="G160" s="83"/>
      <c r="H160" s="83"/>
      <c r="I160" s="83"/>
      <c r="J160" s="83"/>
      <c r="K160" s="218"/>
      <c r="L160" s="218"/>
      <c r="M160" s="83"/>
      <c r="N160" s="83"/>
      <c r="O160" s="83"/>
      <c r="P160" s="83"/>
      <c r="Q160" s="83"/>
      <c r="R160" s="83"/>
      <c r="S160" s="83"/>
      <c r="T160" s="83"/>
      <c r="U160" s="83"/>
    </row>
    <row r="161" spans="1:21">
      <c r="A161" s="83"/>
      <c r="B161" s="83"/>
      <c r="C161" s="83"/>
      <c r="D161" s="83"/>
      <c r="E161" s="83"/>
      <c r="F161" s="83"/>
      <c r="G161" s="83"/>
      <c r="H161" s="83"/>
      <c r="I161" s="83"/>
      <c r="J161" s="83"/>
      <c r="K161" s="218"/>
      <c r="L161" s="218"/>
      <c r="M161" s="83"/>
      <c r="N161" s="83"/>
      <c r="O161" s="83"/>
      <c r="P161" s="83"/>
      <c r="Q161" s="83"/>
      <c r="R161" s="83"/>
      <c r="S161" s="83"/>
      <c r="T161" s="83"/>
      <c r="U161" s="83"/>
    </row>
    <row r="162" spans="1:21">
      <c r="A162" s="83"/>
      <c r="B162" s="83"/>
      <c r="C162" s="83"/>
      <c r="D162" s="83"/>
      <c r="E162" s="83"/>
      <c r="F162" s="83"/>
      <c r="G162" s="83"/>
      <c r="H162" s="83"/>
      <c r="I162" s="83"/>
      <c r="J162" s="83"/>
      <c r="K162" s="218"/>
      <c r="L162" s="218"/>
      <c r="M162" s="83"/>
      <c r="N162" s="83"/>
      <c r="O162" s="83"/>
      <c r="P162" s="83"/>
      <c r="Q162" s="83"/>
      <c r="R162" s="83"/>
      <c r="S162" s="83"/>
      <c r="T162" s="83"/>
      <c r="U162" s="83"/>
    </row>
    <row r="163" spans="1:21">
      <c r="A163" s="83"/>
      <c r="B163" s="83"/>
      <c r="C163" s="83"/>
      <c r="D163" s="83"/>
      <c r="E163" s="83"/>
      <c r="F163" s="83"/>
      <c r="G163" s="83"/>
      <c r="H163" s="83"/>
      <c r="I163" s="83"/>
      <c r="J163" s="83"/>
      <c r="K163" s="218"/>
      <c r="L163" s="218"/>
      <c r="M163" s="83"/>
      <c r="N163" s="83"/>
      <c r="O163" s="83"/>
      <c r="P163" s="83"/>
      <c r="Q163" s="83"/>
      <c r="R163" s="83"/>
      <c r="S163" s="83"/>
      <c r="T163" s="83"/>
      <c r="U163" s="83"/>
    </row>
    <row r="164" spans="1:21">
      <c r="A164" s="83"/>
      <c r="B164" s="83"/>
      <c r="C164" s="83"/>
      <c r="D164" s="83"/>
      <c r="E164" s="83"/>
      <c r="F164" s="83"/>
      <c r="G164" s="83"/>
      <c r="H164" s="83"/>
      <c r="I164" s="83"/>
      <c r="J164" s="83"/>
      <c r="K164" s="218"/>
      <c r="L164" s="218"/>
      <c r="M164" s="83"/>
      <c r="N164" s="83"/>
      <c r="O164" s="83"/>
      <c r="P164" s="83"/>
      <c r="Q164" s="83"/>
      <c r="R164" s="83"/>
      <c r="S164" s="83"/>
      <c r="T164" s="83"/>
      <c r="U164" s="83"/>
    </row>
    <row r="165" spans="1:21">
      <c r="A165" s="83"/>
      <c r="B165" s="83"/>
      <c r="C165" s="83"/>
      <c r="D165" s="83"/>
      <c r="E165" s="83"/>
      <c r="F165" s="83"/>
      <c r="G165" s="83"/>
      <c r="H165" s="83"/>
      <c r="I165" s="83"/>
      <c r="J165" s="83"/>
      <c r="K165" s="218"/>
      <c r="L165" s="218"/>
      <c r="M165" s="83"/>
      <c r="N165" s="83"/>
      <c r="O165" s="83"/>
      <c r="P165" s="83"/>
      <c r="Q165" s="83"/>
      <c r="R165" s="83"/>
      <c r="S165" s="83"/>
      <c r="T165" s="83"/>
      <c r="U165" s="83"/>
    </row>
    <row r="166" spans="1:21">
      <c r="A166" s="83"/>
      <c r="B166" s="83"/>
      <c r="C166" s="83"/>
      <c r="D166" s="83"/>
      <c r="E166" s="83"/>
      <c r="F166" s="83"/>
      <c r="G166" s="83"/>
      <c r="H166" s="83"/>
      <c r="I166" s="83"/>
      <c r="J166" s="83"/>
      <c r="K166" s="218"/>
      <c r="L166" s="218"/>
      <c r="M166" s="83"/>
      <c r="N166" s="83"/>
      <c r="O166" s="83"/>
      <c r="P166" s="83"/>
      <c r="Q166" s="83"/>
      <c r="R166" s="83"/>
      <c r="S166" s="83"/>
      <c r="T166" s="83"/>
      <c r="U166" s="83"/>
    </row>
    <row r="167" spans="1:21">
      <c r="A167" s="83"/>
      <c r="B167" s="83"/>
      <c r="C167" s="83"/>
      <c r="D167" s="83"/>
      <c r="E167" s="83"/>
      <c r="F167" s="83"/>
      <c r="G167" s="83"/>
      <c r="H167" s="83"/>
      <c r="I167" s="83"/>
      <c r="J167" s="83"/>
      <c r="K167" s="218"/>
      <c r="L167" s="218"/>
      <c r="M167" s="83"/>
      <c r="N167" s="83"/>
      <c r="O167" s="83"/>
      <c r="P167" s="83"/>
      <c r="Q167" s="83"/>
      <c r="R167" s="83"/>
      <c r="S167" s="83"/>
      <c r="T167" s="83"/>
      <c r="U167" s="83"/>
    </row>
    <row r="168" spans="1:21">
      <c r="A168" s="83"/>
      <c r="B168" s="83"/>
      <c r="C168" s="83"/>
      <c r="D168" s="83"/>
      <c r="E168" s="83"/>
      <c r="F168" s="83"/>
      <c r="G168" s="83"/>
      <c r="H168" s="83"/>
      <c r="I168" s="83"/>
      <c r="J168" s="83"/>
      <c r="K168" s="218"/>
      <c r="L168" s="218"/>
      <c r="M168" s="83"/>
      <c r="N168" s="83"/>
      <c r="O168" s="83"/>
      <c r="P168" s="83"/>
      <c r="Q168" s="83"/>
      <c r="R168" s="83"/>
      <c r="S168" s="83"/>
      <c r="T168" s="83"/>
      <c r="U168" s="83"/>
    </row>
    <row r="169" spans="1:21">
      <c r="A169" s="83"/>
      <c r="B169" s="83"/>
      <c r="C169" s="83"/>
      <c r="D169" s="83"/>
      <c r="E169" s="83"/>
      <c r="F169" s="83"/>
      <c r="G169" s="83"/>
      <c r="H169" s="83"/>
      <c r="I169" s="83"/>
      <c r="J169" s="83"/>
      <c r="K169" s="218"/>
      <c r="L169" s="218"/>
      <c r="M169" s="83"/>
      <c r="N169" s="83"/>
      <c r="O169" s="83"/>
      <c r="P169" s="83"/>
      <c r="Q169" s="83"/>
      <c r="R169" s="83"/>
      <c r="S169" s="83"/>
      <c r="T169" s="83"/>
      <c r="U169" s="83"/>
    </row>
    <row r="170" spans="1:21">
      <c r="A170" s="83"/>
      <c r="B170" s="83"/>
      <c r="C170" s="83"/>
      <c r="D170" s="83"/>
      <c r="E170" s="83"/>
      <c r="F170" s="83"/>
      <c r="G170" s="83"/>
      <c r="H170" s="83"/>
      <c r="I170" s="83"/>
      <c r="J170" s="83"/>
      <c r="K170" s="218"/>
      <c r="L170" s="218"/>
      <c r="M170" s="83"/>
      <c r="N170" s="83"/>
      <c r="O170" s="83"/>
      <c r="P170" s="83"/>
      <c r="Q170" s="83"/>
      <c r="R170" s="83"/>
      <c r="S170" s="83"/>
      <c r="T170" s="83"/>
      <c r="U170" s="83"/>
    </row>
    <row r="171" spans="1:21">
      <c r="A171" s="83"/>
      <c r="B171" s="83"/>
      <c r="C171" s="83"/>
      <c r="D171" s="83"/>
      <c r="E171" s="83"/>
      <c r="F171" s="83"/>
      <c r="G171" s="83"/>
      <c r="H171" s="83"/>
      <c r="I171" s="83"/>
      <c r="J171" s="83"/>
      <c r="K171" s="218"/>
      <c r="L171" s="218"/>
      <c r="M171" s="83"/>
      <c r="N171" s="83"/>
      <c r="O171" s="83"/>
      <c r="P171" s="83"/>
      <c r="Q171" s="83"/>
      <c r="R171" s="83"/>
      <c r="S171" s="83"/>
      <c r="T171" s="83"/>
      <c r="U171" s="83"/>
    </row>
    <row r="172" spans="1:21">
      <c r="A172" s="83"/>
      <c r="B172" s="83"/>
      <c r="C172" s="83"/>
      <c r="D172" s="83"/>
      <c r="E172" s="83"/>
      <c r="F172" s="83"/>
      <c r="G172" s="83"/>
      <c r="H172" s="83"/>
      <c r="I172" s="83"/>
      <c r="J172" s="83"/>
      <c r="K172" s="218"/>
      <c r="L172" s="218"/>
      <c r="M172" s="83"/>
      <c r="N172" s="83"/>
      <c r="O172" s="83"/>
      <c r="P172" s="83"/>
      <c r="Q172" s="83"/>
      <c r="R172" s="83"/>
      <c r="S172" s="83"/>
      <c r="T172" s="83"/>
      <c r="U172" s="83"/>
    </row>
    <row r="173" spans="1:21">
      <c r="A173" s="83"/>
      <c r="B173" s="83"/>
      <c r="C173" s="83"/>
      <c r="D173" s="83"/>
      <c r="E173" s="83"/>
      <c r="F173" s="83"/>
      <c r="G173" s="83"/>
      <c r="H173" s="83"/>
      <c r="I173" s="83"/>
      <c r="J173" s="83"/>
      <c r="K173" s="218"/>
      <c r="L173" s="218"/>
      <c r="M173" s="83"/>
      <c r="N173" s="83"/>
      <c r="O173" s="83"/>
      <c r="P173" s="83"/>
      <c r="Q173" s="83"/>
      <c r="R173" s="83"/>
      <c r="S173" s="83"/>
      <c r="T173" s="83"/>
      <c r="U173" s="83"/>
    </row>
    <row r="174" spans="1:21">
      <c r="A174" s="83"/>
      <c r="B174" s="83"/>
      <c r="C174" s="83"/>
      <c r="D174" s="83"/>
      <c r="E174" s="83"/>
      <c r="F174" s="83"/>
      <c r="G174" s="83"/>
      <c r="H174" s="83"/>
      <c r="I174" s="83"/>
      <c r="J174" s="83"/>
      <c r="K174" s="218"/>
      <c r="L174" s="218"/>
      <c r="M174" s="83"/>
      <c r="N174" s="83"/>
      <c r="O174" s="83"/>
      <c r="P174" s="83"/>
      <c r="Q174" s="83"/>
      <c r="R174" s="83"/>
      <c r="S174" s="83"/>
      <c r="T174" s="83"/>
      <c r="U174" s="83"/>
    </row>
    <row r="175" spans="1:21">
      <c r="A175" s="83"/>
      <c r="B175" s="83"/>
      <c r="C175" s="83"/>
      <c r="D175" s="83"/>
      <c r="E175" s="83"/>
      <c r="F175" s="83"/>
      <c r="G175" s="83"/>
      <c r="H175" s="83"/>
      <c r="I175" s="83"/>
      <c r="J175" s="83"/>
      <c r="K175" s="218"/>
      <c r="L175" s="218"/>
      <c r="M175" s="83"/>
      <c r="N175" s="83"/>
      <c r="O175" s="83"/>
      <c r="P175" s="83"/>
      <c r="Q175" s="83"/>
      <c r="R175" s="83"/>
      <c r="S175" s="83"/>
      <c r="T175" s="83"/>
      <c r="U175" s="83"/>
    </row>
    <row r="176" spans="1:21">
      <c r="A176" s="83"/>
      <c r="B176" s="83"/>
      <c r="C176" s="83"/>
      <c r="D176" s="83"/>
      <c r="E176" s="83"/>
      <c r="F176" s="83"/>
      <c r="G176" s="83"/>
      <c r="H176" s="83"/>
      <c r="I176" s="83"/>
      <c r="J176" s="83"/>
      <c r="K176" s="218"/>
      <c r="L176" s="218"/>
      <c r="M176" s="83"/>
      <c r="N176" s="83"/>
      <c r="O176" s="83"/>
      <c r="P176" s="83"/>
      <c r="Q176" s="83"/>
      <c r="R176" s="83"/>
      <c r="S176" s="83"/>
      <c r="T176" s="83"/>
      <c r="U176" s="83"/>
    </row>
    <row r="177" spans="1:21">
      <c r="A177" s="83"/>
      <c r="B177" s="83"/>
      <c r="C177" s="83"/>
      <c r="D177" s="83"/>
      <c r="E177" s="83"/>
      <c r="F177" s="83"/>
      <c r="G177" s="83"/>
      <c r="H177" s="83"/>
      <c r="I177" s="83"/>
      <c r="J177" s="83"/>
      <c r="K177" s="218"/>
      <c r="L177" s="218"/>
      <c r="M177" s="83"/>
      <c r="N177" s="83"/>
      <c r="O177" s="83"/>
      <c r="P177" s="83"/>
      <c r="Q177" s="83"/>
      <c r="R177" s="83"/>
      <c r="S177" s="83"/>
      <c r="T177" s="83"/>
      <c r="U177" s="83"/>
    </row>
    <row r="178" spans="1:21">
      <c r="A178" s="83"/>
      <c r="B178" s="83"/>
      <c r="C178" s="83"/>
      <c r="D178" s="83"/>
      <c r="E178" s="83"/>
      <c r="F178" s="83"/>
      <c r="G178" s="83"/>
      <c r="H178" s="83"/>
      <c r="I178" s="83"/>
      <c r="J178" s="83"/>
      <c r="K178" s="218"/>
      <c r="L178" s="218"/>
      <c r="M178" s="83"/>
      <c r="N178" s="83"/>
      <c r="O178" s="83"/>
      <c r="P178" s="83"/>
      <c r="Q178" s="83"/>
      <c r="R178" s="83"/>
      <c r="S178" s="83"/>
      <c r="T178" s="83"/>
      <c r="U178" s="83"/>
    </row>
    <row r="179" spans="1:21">
      <c r="A179" s="83"/>
      <c r="B179" s="83"/>
      <c r="C179" s="83"/>
      <c r="D179" s="83"/>
      <c r="E179" s="83"/>
      <c r="F179" s="83"/>
      <c r="G179" s="83"/>
      <c r="H179" s="83"/>
      <c r="I179" s="83"/>
      <c r="J179" s="83"/>
      <c r="K179" s="218"/>
      <c r="L179" s="218"/>
      <c r="M179" s="83"/>
      <c r="N179" s="83"/>
      <c r="O179" s="83"/>
      <c r="P179" s="83"/>
      <c r="Q179" s="83"/>
      <c r="R179" s="83"/>
      <c r="S179" s="83"/>
      <c r="T179" s="83"/>
      <c r="U179" s="83"/>
    </row>
    <row r="180" spans="1:21">
      <c r="A180" s="83"/>
      <c r="B180" s="83"/>
      <c r="C180" s="83"/>
      <c r="D180" s="83"/>
      <c r="E180" s="83"/>
      <c r="F180" s="83"/>
      <c r="G180" s="83"/>
      <c r="H180" s="83"/>
      <c r="I180" s="83"/>
      <c r="J180" s="83"/>
      <c r="K180" s="218"/>
      <c r="L180" s="218"/>
      <c r="M180" s="83"/>
      <c r="N180" s="83"/>
      <c r="O180" s="83"/>
      <c r="P180" s="83"/>
      <c r="Q180" s="83"/>
      <c r="R180" s="83"/>
      <c r="S180" s="83"/>
      <c r="T180" s="83"/>
      <c r="U180" s="83"/>
    </row>
    <row r="181" spans="1:21">
      <c r="A181" s="83"/>
      <c r="B181" s="83"/>
      <c r="C181" s="83"/>
      <c r="D181" s="83"/>
      <c r="E181" s="83"/>
      <c r="F181" s="83"/>
      <c r="G181" s="83"/>
      <c r="H181" s="83"/>
      <c r="I181" s="83"/>
      <c r="J181" s="83"/>
      <c r="K181" s="218"/>
      <c r="L181" s="218"/>
      <c r="M181" s="83"/>
      <c r="N181" s="83"/>
      <c r="O181" s="83"/>
      <c r="P181" s="83"/>
      <c r="Q181" s="83"/>
      <c r="R181" s="83"/>
      <c r="S181" s="83"/>
      <c r="T181" s="83"/>
      <c r="U181" s="83"/>
    </row>
    <row r="182" spans="1:21">
      <c r="A182" s="83"/>
      <c r="B182" s="83"/>
      <c r="C182" s="83"/>
      <c r="D182" s="83"/>
      <c r="E182" s="83"/>
      <c r="F182" s="83"/>
      <c r="G182" s="83"/>
      <c r="H182" s="83"/>
      <c r="I182" s="83"/>
      <c r="J182" s="83"/>
      <c r="K182" s="218"/>
      <c r="L182" s="218"/>
      <c r="M182" s="83"/>
      <c r="N182" s="83"/>
      <c r="O182" s="83"/>
      <c r="P182" s="83"/>
      <c r="Q182" s="83"/>
      <c r="R182" s="83"/>
      <c r="S182" s="83"/>
      <c r="T182" s="83"/>
      <c r="U182" s="83"/>
    </row>
    <row r="183" spans="1:21">
      <c r="A183" s="83"/>
      <c r="B183" s="83"/>
      <c r="C183" s="83"/>
      <c r="D183" s="83"/>
      <c r="E183" s="83"/>
      <c r="F183" s="83"/>
      <c r="G183" s="83"/>
      <c r="H183" s="83"/>
      <c r="I183" s="83"/>
      <c r="J183" s="83"/>
      <c r="K183" s="218"/>
      <c r="L183" s="218"/>
      <c r="M183" s="83"/>
      <c r="N183" s="83"/>
      <c r="O183" s="83"/>
      <c r="P183" s="83"/>
      <c r="Q183" s="83"/>
      <c r="R183" s="83"/>
      <c r="S183" s="83"/>
      <c r="T183" s="83"/>
      <c r="U183" s="83"/>
    </row>
    <row r="184" spans="1:21">
      <c r="A184" s="83"/>
      <c r="B184" s="83"/>
      <c r="C184" s="83"/>
      <c r="D184" s="83"/>
      <c r="E184" s="83"/>
      <c r="F184" s="83"/>
      <c r="G184" s="83"/>
      <c r="H184" s="83"/>
      <c r="I184" s="83"/>
      <c r="J184" s="83"/>
      <c r="K184" s="218"/>
      <c r="L184" s="218"/>
      <c r="M184" s="83"/>
      <c r="N184" s="83"/>
      <c r="O184" s="83"/>
      <c r="P184" s="83"/>
      <c r="Q184" s="83"/>
      <c r="R184" s="83"/>
      <c r="S184" s="83"/>
      <c r="T184" s="83"/>
      <c r="U184" s="83"/>
    </row>
    <row r="185" spans="1:21">
      <c r="A185" s="83"/>
      <c r="B185" s="83"/>
      <c r="C185" s="83"/>
      <c r="D185" s="83"/>
      <c r="E185" s="83"/>
      <c r="F185" s="83"/>
      <c r="G185" s="83"/>
      <c r="H185" s="83"/>
      <c r="I185" s="83"/>
      <c r="J185" s="83"/>
      <c r="K185" s="218"/>
      <c r="L185" s="218"/>
      <c r="M185" s="83"/>
      <c r="N185" s="83"/>
      <c r="O185" s="83"/>
      <c r="P185" s="83"/>
      <c r="Q185" s="83"/>
      <c r="R185" s="83"/>
      <c r="S185" s="83"/>
      <c r="T185" s="83"/>
      <c r="U185" s="83"/>
    </row>
    <row r="186" spans="1:21">
      <c r="A186" s="83"/>
      <c r="B186" s="83"/>
      <c r="C186" s="83"/>
      <c r="D186" s="83"/>
      <c r="E186" s="83"/>
      <c r="F186" s="83"/>
      <c r="G186" s="83"/>
      <c r="H186" s="83"/>
      <c r="I186" s="83"/>
      <c r="J186" s="83"/>
      <c r="K186" s="218"/>
      <c r="L186" s="218"/>
      <c r="M186" s="83"/>
      <c r="N186" s="83"/>
      <c r="O186" s="83"/>
      <c r="P186" s="83"/>
      <c r="Q186" s="83"/>
      <c r="R186" s="83"/>
      <c r="S186" s="83"/>
      <c r="T186" s="83"/>
      <c r="U186" s="83"/>
    </row>
    <row r="187" spans="1:21">
      <c r="A187" s="83"/>
      <c r="B187" s="83"/>
      <c r="C187" s="83"/>
      <c r="D187" s="83"/>
      <c r="E187" s="83"/>
      <c r="F187" s="83"/>
      <c r="G187" s="83"/>
      <c r="H187" s="83"/>
      <c r="I187" s="83"/>
      <c r="J187" s="83"/>
      <c r="K187" s="218"/>
      <c r="L187" s="218"/>
      <c r="M187" s="83"/>
      <c r="N187" s="83"/>
      <c r="O187" s="83"/>
      <c r="P187" s="83"/>
      <c r="Q187" s="83"/>
      <c r="R187" s="83"/>
      <c r="S187" s="83"/>
      <c r="T187" s="83"/>
      <c r="U187" s="83"/>
    </row>
    <row r="188" spans="1:21">
      <c r="A188" s="83"/>
      <c r="B188" s="83"/>
      <c r="C188" s="83"/>
      <c r="D188" s="83"/>
      <c r="E188" s="83"/>
      <c r="F188" s="83"/>
      <c r="G188" s="83"/>
      <c r="H188" s="83"/>
      <c r="I188" s="83"/>
      <c r="J188" s="83"/>
      <c r="K188" s="218"/>
      <c r="L188" s="218"/>
      <c r="M188" s="83"/>
      <c r="N188" s="83"/>
      <c r="O188" s="83"/>
      <c r="P188" s="83"/>
      <c r="Q188" s="83"/>
      <c r="R188" s="83"/>
      <c r="S188" s="83"/>
      <c r="T188" s="83"/>
      <c r="U188" s="83"/>
    </row>
    <row r="189" spans="1:21">
      <c r="A189" s="83"/>
      <c r="B189" s="83"/>
      <c r="C189" s="83"/>
      <c r="D189" s="83"/>
      <c r="E189" s="83"/>
      <c r="F189" s="83"/>
      <c r="G189" s="83"/>
      <c r="H189" s="83"/>
      <c r="I189" s="83"/>
      <c r="J189" s="83"/>
      <c r="K189" s="218"/>
      <c r="L189" s="218"/>
      <c r="M189" s="83"/>
      <c r="N189" s="83"/>
      <c r="O189" s="83"/>
      <c r="P189" s="83"/>
      <c r="Q189" s="83"/>
      <c r="R189" s="83"/>
      <c r="S189" s="83"/>
      <c r="T189" s="83"/>
      <c r="U189" s="83"/>
    </row>
    <row r="190" spans="1:21">
      <c r="A190" s="83"/>
      <c r="B190" s="83"/>
      <c r="C190" s="83"/>
      <c r="D190" s="83"/>
      <c r="E190" s="83"/>
      <c r="F190" s="83"/>
      <c r="G190" s="83"/>
      <c r="H190" s="83"/>
      <c r="I190" s="83"/>
      <c r="J190" s="83"/>
      <c r="K190" s="218"/>
      <c r="L190" s="218"/>
      <c r="M190" s="83"/>
      <c r="N190" s="83"/>
      <c r="O190" s="83"/>
      <c r="P190" s="83"/>
      <c r="Q190" s="83"/>
      <c r="R190" s="83"/>
      <c r="S190" s="83"/>
      <c r="T190" s="83"/>
      <c r="U190" s="83"/>
    </row>
    <row r="191" spans="1:21">
      <c r="A191" s="83"/>
      <c r="B191" s="83"/>
      <c r="C191" s="83"/>
      <c r="D191" s="83"/>
      <c r="E191" s="83"/>
      <c r="F191" s="83"/>
      <c r="G191" s="83"/>
      <c r="H191" s="83"/>
      <c r="I191" s="83"/>
      <c r="J191" s="83"/>
      <c r="K191" s="218"/>
      <c r="L191" s="218"/>
      <c r="M191" s="83"/>
      <c r="N191" s="83"/>
      <c r="O191" s="83"/>
      <c r="P191" s="83"/>
      <c r="Q191" s="83"/>
      <c r="R191" s="83"/>
      <c r="S191" s="83"/>
      <c r="T191" s="83"/>
      <c r="U191" s="83"/>
    </row>
    <row r="192" spans="1:21">
      <c r="A192" s="83"/>
      <c r="B192" s="83"/>
      <c r="C192" s="83"/>
      <c r="D192" s="83"/>
      <c r="E192" s="83"/>
      <c r="F192" s="83"/>
      <c r="G192" s="83"/>
      <c r="H192" s="83"/>
      <c r="I192" s="83"/>
      <c r="J192" s="83"/>
      <c r="K192" s="218"/>
      <c r="L192" s="218"/>
      <c r="M192" s="83"/>
      <c r="N192" s="83"/>
      <c r="O192" s="83"/>
      <c r="P192" s="83"/>
      <c r="Q192" s="83"/>
      <c r="R192" s="83"/>
      <c r="S192" s="83"/>
      <c r="T192" s="83"/>
      <c r="U192" s="83"/>
    </row>
    <row r="193" spans="1:21">
      <c r="A193" s="83"/>
      <c r="B193" s="83"/>
      <c r="C193" s="83"/>
      <c r="D193" s="83"/>
      <c r="E193" s="83"/>
      <c r="F193" s="83"/>
      <c r="G193" s="83"/>
      <c r="H193" s="83"/>
      <c r="I193" s="83"/>
      <c r="J193" s="83"/>
      <c r="K193" s="218"/>
      <c r="L193" s="218"/>
      <c r="M193" s="83"/>
      <c r="N193" s="83"/>
      <c r="O193" s="83"/>
      <c r="P193" s="83"/>
      <c r="Q193" s="83"/>
      <c r="R193" s="83"/>
      <c r="S193" s="83"/>
      <c r="T193" s="83"/>
      <c r="U193" s="83"/>
    </row>
    <row r="194" spans="1:21">
      <c r="A194" s="83"/>
      <c r="B194" s="83"/>
      <c r="C194" s="83"/>
      <c r="D194" s="83"/>
      <c r="E194" s="83"/>
      <c r="F194" s="83"/>
      <c r="G194" s="83"/>
      <c r="H194" s="83"/>
      <c r="I194" s="83"/>
      <c r="J194" s="83"/>
      <c r="K194" s="218"/>
      <c r="L194" s="218"/>
      <c r="M194" s="83"/>
      <c r="N194" s="83"/>
      <c r="O194" s="83"/>
      <c r="P194" s="83"/>
      <c r="Q194" s="83"/>
      <c r="R194" s="83"/>
      <c r="S194" s="83"/>
      <c r="T194" s="83"/>
      <c r="U194" s="83"/>
    </row>
    <row r="195" spans="1:21">
      <c r="A195" s="83"/>
      <c r="B195" s="83"/>
      <c r="C195" s="83"/>
      <c r="D195" s="83"/>
      <c r="E195" s="83"/>
      <c r="F195" s="83"/>
      <c r="G195" s="83"/>
      <c r="H195" s="83"/>
      <c r="I195" s="83"/>
      <c r="J195" s="83"/>
      <c r="K195" s="218"/>
      <c r="L195" s="218"/>
      <c r="M195" s="83"/>
      <c r="N195" s="83"/>
      <c r="O195" s="83"/>
      <c r="P195" s="83"/>
      <c r="Q195" s="83"/>
      <c r="R195" s="83"/>
      <c r="S195" s="83"/>
      <c r="T195" s="83"/>
      <c r="U195" s="83"/>
    </row>
    <row r="196" spans="1:21">
      <c r="A196" s="83"/>
      <c r="B196" s="83"/>
      <c r="C196" s="83"/>
      <c r="D196" s="83"/>
      <c r="E196" s="83"/>
      <c r="F196" s="83"/>
      <c r="G196" s="83"/>
      <c r="H196" s="83"/>
      <c r="I196" s="83"/>
      <c r="J196" s="83"/>
      <c r="K196" s="218"/>
      <c r="L196" s="218"/>
      <c r="M196" s="83"/>
      <c r="N196" s="83"/>
      <c r="O196" s="83"/>
      <c r="P196" s="83"/>
      <c r="Q196" s="83"/>
      <c r="R196" s="83"/>
      <c r="S196" s="83"/>
      <c r="T196" s="83"/>
      <c r="U196" s="83"/>
    </row>
    <row r="197" spans="1:21">
      <c r="A197" s="83"/>
      <c r="B197" s="83"/>
      <c r="C197" s="83"/>
      <c r="D197" s="83"/>
      <c r="E197" s="83"/>
      <c r="F197" s="83"/>
      <c r="G197" s="83"/>
      <c r="H197" s="83"/>
      <c r="I197" s="83"/>
      <c r="J197" s="83"/>
      <c r="K197" s="218"/>
      <c r="L197" s="218"/>
      <c r="M197" s="83"/>
      <c r="N197" s="83"/>
      <c r="O197" s="83"/>
      <c r="P197" s="83"/>
      <c r="Q197" s="83"/>
      <c r="R197" s="83"/>
      <c r="S197" s="83"/>
      <c r="T197" s="83"/>
      <c r="U197" s="83"/>
    </row>
    <row r="198" spans="1:21">
      <c r="A198" s="83"/>
      <c r="B198" s="83"/>
      <c r="C198" s="83"/>
      <c r="D198" s="83"/>
      <c r="E198" s="83"/>
      <c r="F198" s="83"/>
      <c r="G198" s="83"/>
      <c r="H198" s="83"/>
      <c r="I198" s="83"/>
      <c r="J198" s="83"/>
      <c r="K198" s="218"/>
      <c r="L198" s="218"/>
      <c r="M198" s="83"/>
      <c r="N198" s="83"/>
      <c r="O198" s="83"/>
      <c r="P198" s="83"/>
      <c r="Q198" s="83"/>
      <c r="R198" s="83"/>
      <c r="S198" s="83"/>
      <c r="T198" s="83"/>
      <c r="U198" s="83"/>
    </row>
    <row r="199" spans="1:21">
      <c r="A199" s="83"/>
      <c r="B199" s="83"/>
      <c r="C199" s="83"/>
      <c r="D199" s="83"/>
      <c r="E199" s="83"/>
      <c r="F199" s="83"/>
      <c r="G199" s="83"/>
      <c r="H199" s="83"/>
      <c r="I199" s="83"/>
      <c r="J199" s="83"/>
      <c r="K199" s="218"/>
      <c r="L199" s="218"/>
      <c r="M199" s="83"/>
      <c r="N199" s="83"/>
      <c r="O199" s="83"/>
      <c r="P199" s="83"/>
      <c r="Q199" s="83"/>
      <c r="R199" s="83"/>
      <c r="S199" s="83"/>
      <c r="T199" s="83"/>
      <c r="U199" s="83"/>
    </row>
    <row r="200" spans="1:21">
      <c r="A200" s="83"/>
      <c r="B200" s="83"/>
      <c r="C200" s="83"/>
      <c r="D200" s="83"/>
      <c r="E200" s="83"/>
      <c r="F200" s="83"/>
      <c r="G200" s="83"/>
      <c r="H200" s="83"/>
      <c r="I200" s="83"/>
      <c r="J200" s="83"/>
      <c r="K200" s="218"/>
      <c r="L200" s="218"/>
      <c r="M200" s="83"/>
      <c r="N200" s="83"/>
      <c r="O200" s="83"/>
      <c r="P200" s="83"/>
      <c r="Q200" s="83"/>
      <c r="R200" s="83"/>
      <c r="S200" s="83"/>
      <c r="T200" s="83"/>
      <c r="U200" s="83"/>
    </row>
    <row r="201" spans="1:21">
      <c r="A201" s="83"/>
      <c r="B201" s="83"/>
      <c r="C201" s="83"/>
      <c r="D201" s="83"/>
      <c r="E201" s="83"/>
      <c r="F201" s="83"/>
      <c r="G201" s="83"/>
      <c r="H201" s="83"/>
      <c r="I201" s="83"/>
      <c r="J201" s="83"/>
      <c r="K201" s="218"/>
      <c r="L201" s="218"/>
      <c r="M201" s="83"/>
      <c r="N201" s="83"/>
      <c r="O201" s="83"/>
      <c r="P201" s="83"/>
      <c r="Q201" s="83"/>
      <c r="R201" s="83"/>
      <c r="S201" s="83"/>
      <c r="T201" s="83"/>
      <c r="U201" s="83"/>
    </row>
    <row r="202" spans="1:21">
      <c r="A202" s="83"/>
      <c r="B202" s="83"/>
      <c r="C202" s="83"/>
      <c r="D202" s="83"/>
      <c r="E202" s="83"/>
      <c r="F202" s="83"/>
      <c r="G202" s="83"/>
      <c r="H202" s="83"/>
      <c r="I202" s="83"/>
      <c r="J202" s="83"/>
      <c r="K202" s="218"/>
      <c r="L202" s="218"/>
      <c r="M202" s="83"/>
      <c r="N202" s="83"/>
      <c r="O202" s="83"/>
      <c r="P202" s="83"/>
      <c r="Q202" s="83"/>
      <c r="R202" s="83"/>
      <c r="S202" s="83"/>
      <c r="T202" s="83"/>
      <c r="U202" s="83"/>
    </row>
    <row r="203" spans="1:21">
      <c r="A203" s="83"/>
      <c r="B203" s="83"/>
      <c r="C203" s="83"/>
      <c r="D203" s="83"/>
      <c r="E203" s="83"/>
      <c r="F203" s="83"/>
      <c r="G203" s="83"/>
      <c r="H203" s="83"/>
      <c r="I203" s="83"/>
      <c r="J203" s="83"/>
      <c r="K203" s="218"/>
      <c r="L203" s="218"/>
      <c r="M203" s="83"/>
      <c r="N203" s="83"/>
      <c r="O203" s="83"/>
      <c r="P203" s="83"/>
      <c r="Q203" s="83"/>
      <c r="R203" s="83"/>
      <c r="S203" s="83"/>
      <c r="T203" s="83"/>
      <c r="U203" s="83"/>
    </row>
    <row r="204" spans="1:21">
      <c r="A204" s="83"/>
      <c r="B204" s="83"/>
      <c r="C204" s="83"/>
      <c r="D204" s="83"/>
      <c r="E204" s="83"/>
      <c r="F204" s="83"/>
      <c r="G204" s="83"/>
      <c r="H204" s="83"/>
      <c r="I204" s="83"/>
      <c r="J204" s="83"/>
      <c r="K204" s="218"/>
      <c r="L204" s="218"/>
      <c r="M204" s="83"/>
      <c r="N204" s="83"/>
      <c r="O204" s="83"/>
      <c r="P204" s="83"/>
      <c r="Q204" s="83"/>
      <c r="R204" s="83"/>
      <c r="S204" s="83"/>
      <c r="T204" s="83"/>
      <c r="U204" s="83"/>
    </row>
    <row r="205" spans="1:21">
      <c r="A205" s="83"/>
      <c r="B205" s="83"/>
      <c r="C205" s="83"/>
      <c r="D205" s="83"/>
      <c r="E205" s="83"/>
      <c r="F205" s="83"/>
      <c r="G205" s="83"/>
      <c r="H205" s="83"/>
      <c r="I205" s="83"/>
      <c r="J205" s="83"/>
      <c r="K205" s="218"/>
      <c r="L205" s="218"/>
      <c r="M205" s="83"/>
      <c r="N205" s="83"/>
      <c r="O205" s="83"/>
      <c r="P205" s="83"/>
      <c r="Q205" s="83"/>
      <c r="R205" s="83"/>
      <c r="S205" s="83"/>
      <c r="T205" s="83"/>
      <c r="U205" s="83"/>
    </row>
    <row r="206" spans="1:21">
      <c r="A206" s="83"/>
      <c r="B206" s="83"/>
      <c r="C206" s="83"/>
      <c r="D206" s="83"/>
      <c r="E206" s="83"/>
      <c r="F206" s="83"/>
      <c r="G206" s="83"/>
      <c r="H206" s="83"/>
      <c r="I206" s="83"/>
      <c r="J206" s="83"/>
      <c r="K206" s="218"/>
      <c r="L206" s="218"/>
      <c r="M206" s="83"/>
      <c r="N206" s="83"/>
      <c r="O206" s="83"/>
      <c r="P206" s="83"/>
      <c r="Q206" s="83"/>
      <c r="R206" s="83"/>
      <c r="S206" s="83"/>
      <c r="T206" s="83"/>
      <c r="U206" s="83"/>
    </row>
    <row r="207" spans="1:21">
      <c r="A207" s="83"/>
      <c r="B207" s="83"/>
      <c r="C207" s="83"/>
      <c r="D207" s="83"/>
      <c r="E207" s="83"/>
      <c r="F207" s="83"/>
      <c r="G207" s="83"/>
      <c r="H207" s="83"/>
      <c r="I207" s="83"/>
      <c r="J207" s="83"/>
      <c r="K207" s="218"/>
      <c r="L207" s="218"/>
      <c r="M207" s="83"/>
      <c r="N207" s="83"/>
      <c r="O207" s="83"/>
      <c r="P207" s="83"/>
      <c r="Q207" s="83"/>
      <c r="R207" s="83"/>
      <c r="S207" s="83"/>
      <c r="T207" s="83"/>
      <c r="U207" s="83"/>
    </row>
    <row r="208" spans="1:21">
      <c r="A208" s="83"/>
      <c r="B208" s="83"/>
      <c r="C208" s="83"/>
      <c r="D208" s="83"/>
      <c r="E208" s="83"/>
      <c r="F208" s="83"/>
      <c r="G208" s="83"/>
      <c r="H208" s="83"/>
      <c r="I208" s="83"/>
      <c r="J208" s="83"/>
      <c r="K208" s="218"/>
      <c r="L208" s="218"/>
      <c r="M208" s="83"/>
      <c r="N208" s="83"/>
      <c r="O208" s="83"/>
      <c r="P208" s="83"/>
      <c r="Q208" s="83"/>
      <c r="R208" s="83"/>
      <c r="S208" s="83"/>
      <c r="T208" s="83"/>
      <c r="U208" s="83"/>
    </row>
    <row r="209" spans="1:21">
      <c r="A209" s="83"/>
      <c r="B209" s="83"/>
      <c r="C209" s="83"/>
      <c r="D209" s="83"/>
      <c r="E209" s="83"/>
      <c r="F209" s="83"/>
      <c r="G209" s="83"/>
      <c r="H209" s="83"/>
      <c r="I209" s="83"/>
      <c r="J209" s="83"/>
      <c r="K209" s="218"/>
      <c r="L209" s="218"/>
      <c r="M209" s="83"/>
      <c r="N209" s="83"/>
      <c r="O209" s="83"/>
      <c r="P209" s="83"/>
      <c r="Q209" s="83"/>
      <c r="R209" s="83"/>
      <c r="S209" s="83"/>
      <c r="T209" s="83"/>
      <c r="U209" s="83"/>
    </row>
    <row r="210" spans="1:21">
      <c r="A210" s="83"/>
      <c r="B210" s="83"/>
      <c r="C210" s="83"/>
      <c r="D210" s="83"/>
      <c r="E210" s="83"/>
      <c r="F210" s="83"/>
      <c r="G210" s="83"/>
      <c r="H210" s="83"/>
      <c r="I210" s="83"/>
      <c r="J210" s="83"/>
      <c r="K210" s="218"/>
      <c r="L210" s="218"/>
      <c r="M210" s="83"/>
      <c r="N210" s="83"/>
      <c r="O210" s="83"/>
      <c r="P210" s="83"/>
      <c r="Q210" s="83"/>
      <c r="R210" s="83"/>
      <c r="S210" s="83"/>
      <c r="T210" s="83"/>
      <c r="U210" s="83"/>
    </row>
    <row r="211" spans="1:21">
      <c r="A211" s="83"/>
      <c r="B211" s="83"/>
      <c r="C211" s="83"/>
      <c r="D211" s="83"/>
      <c r="E211" s="83"/>
      <c r="F211" s="83"/>
      <c r="G211" s="83"/>
      <c r="H211" s="83"/>
      <c r="I211" s="83"/>
      <c r="J211" s="83"/>
      <c r="K211" s="218"/>
      <c r="L211" s="218"/>
      <c r="M211" s="83"/>
      <c r="N211" s="83"/>
      <c r="O211" s="83"/>
      <c r="P211" s="83"/>
      <c r="Q211" s="83"/>
      <c r="R211" s="83"/>
      <c r="S211" s="83"/>
      <c r="T211" s="83"/>
      <c r="U211" s="83"/>
    </row>
    <row r="212" spans="1:21">
      <c r="A212" s="83"/>
      <c r="B212" s="83"/>
      <c r="C212" s="83"/>
      <c r="D212" s="83"/>
      <c r="E212" s="83"/>
      <c r="F212" s="83"/>
      <c r="G212" s="83"/>
      <c r="H212" s="83"/>
      <c r="I212" s="83"/>
      <c r="J212" s="83"/>
      <c r="K212" s="218"/>
      <c r="L212" s="218"/>
      <c r="M212" s="83"/>
      <c r="N212" s="83"/>
      <c r="O212" s="83"/>
      <c r="P212" s="83"/>
      <c r="Q212" s="83"/>
      <c r="R212" s="83"/>
      <c r="S212" s="83"/>
      <c r="T212" s="83"/>
      <c r="U212" s="83"/>
    </row>
    <row r="213" spans="1:21">
      <c r="A213" s="83"/>
      <c r="B213" s="83"/>
      <c r="C213" s="83"/>
      <c r="D213" s="83"/>
      <c r="E213" s="83"/>
      <c r="F213" s="83"/>
      <c r="G213" s="83"/>
      <c r="H213" s="83"/>
      <c r="I213" s="83"/>
      <c r="J213" s="83"/>
      <c r="K213" s="218"/>
      <c r="L213" s="218"/>
      <c r="M213" s="83"/>
      <c r="N213" s="83"/>
      <c r="O213" s="83"/>
      <c r="P213" s="83"/>
      <c r="Q213" s="83"/>
      <c r="R213" s="83"/>
      <c r="S213" s="83"/>
      <c r="T213" s="83"/>
      <c r="U213" s="83"/>
    </row>
    <row r="214" spans="1:21">
      <c r="A214" s="83"/>
      <c r="B214" s="83"/>
      <c r="C214" s="83"/>
      <c r="D214" s="83"/>
      <c r="E214" s="83"/>
      <c r="F214" s="83"/>
      <c r="G214" s="83"/>
      <c r="H214" s="83"/>
      <c r="I214" s="83"/>
      <c r="J214" s="83"/>
      <c r="K214" s="218"/>
      <c r="L214" s="218"/>
      <c r="M214" s="83"/>
      <c r="N214" s="83"/>
      <c r="O214" s="83"/>
      <c r="P214" s="83"/>
      <c r="Q214" s="83"/>
      <c r="R214" s="83"/>
      <c r="S214" s="83"/>
      <c r="T214" s="83"/>
      <c r="U214" s="83"/>
    </row>
    <row r="215" spans="1:21">
      <c r="A215" s="83"/>
      <c r="B215" s="83"/>
      <c r="C215" s="83"/>
      <c r="D215" s="83"/>
      <c r="E215" s="83"/>
      <c r="F215" s="83"/>
      <c r="G215" s="83"/>
      <c r="H215" s="83"/>
      <c r="I215" s="83"/>
      <c r="J215" s="83"/>
      <c r="K215" s="218"/>
      <c r="L215" s="218"/>
      <c r="M215" s="83"/>
      <c r="N215" s="83"/>
      <c r="O215" s="83"/>
      <c r="P215" s="83"/>
      <c r="Q215" s="83"/>
      <c r="R215" s="83"/>
      <c r="S215" s="83"/>
      <c r="T215" s="83"/>
      <c r="U215" s="83"/>
    </row>
    <row r="216" spans="1:21">
      <c r="A216" s="83"/>
      <c r="B216" s="83"/>
      <c r="C216" s="83"/>
      <c r="D216" s="83"/>
      <c r="E216" s="83"/>
      <c r="F216" s="83"/>
      <c r="G216" s="83"/>
      <c r="H216" s="83"/>
      <c r="I216" s="83"/>
      <c r="J216" s="83"/>
      <c r="K216" s="218"/>
      <c r="L216" s="218"/>
      <c r="M216" s="83"/>
      <c r="N216" s="83"/>
      <c r="O216" s="83"/>
      <c r="P216" s="83"/>
      <c r="Q216" s="83"/>
      <c r="R216" s="83"/>
      <c r="S216" s="83"/>
      <c r="T216" s="83"/>
      <c r="U216" s="83"/>
    </row>
    <row r="217" spans="1:21">
      <c r="A217" s="83"/>
      <c r="B217" s="83"/>
      <c r="C217" s="83"/>
      <c r="D217" s="83"/>
      <c r="E217" s="83"/>
      <c r="F217" s="83"/>
      <c r="G217" s="83"/>
      <c r="H217" s="83"/>
      <c r="I217" s="83"/>
      <c r="J217" s="83"/>
      <c r="K217" s="218"/>
      <c r="L217" s="218"/>
      <c r="M217" s="83"/>
      <c r="N217" s="83"/>
      <c r="O217" s="83"/>
      <c r="P217" s="83"/>
      <c r="Q217" s="83"/>
      <c r="R217" s="83"/>
      <c r="S217" s="83"/>
      <c r="T217" s="83"/>
      <c r="U217" s="83"/>
    </row>
    <row r="218" spans="1:21">
      <c r="A218" s="83"/>
      <c r="B218" s="83"/>
      <c r="C218" s="83"/>
      <c r="D218" s="83"/>
      <c r="E218" s="83"/>
      <c r="F218" s="83"/>
      <c r="G218" s="83"/>
      <c r="H218" s="83"/>
      <c r="I218" s="83"/>
      <c r="J218" s="83"/>
      <c r="K218" s="218"/>
      <c r="L218" s="218"/>
      <c r="M218" s="83"/>
      <c r="N218" s="83"/>
      <c r="O218" s="83"/>
      <c r="P218" s="83"/>
      <c r="Q218" s="83"/>
      <c r="R218" s="83"/>
      <c r="S218" s="83"/>
      <c r="T218" s="83"/>
      <c r="U218" s="83"/>
    </row>
    <row r="219" spans="1:21">
      <c r="A219" s="83"/>
      <c r="B219" s="83"/>
      <c r="C219" s="83"/>
      <c r="D219" s="83"/>
      <c r="E219" s="83"/>
      <c r="F219" s="83"/>
      <c r="G219" s="83"/>
      <c r="H219" s="83"/>
      <c r="I219" s="83"/>
      <c r="J219" s="83"/>
      <c r="K219" s="218"/>
      <c r="L219" s="218"/>
      <c r="M219" s="83"/>
      <c r="N219" s="83"/>
      <c r="O219" s="83"/>
      <c r="P219" s="83"/>
      <c r="Q219" s="83"/>
      <c r="R219" s="83"/>
      <c r="S219" s="83"/>
      <c r="T219" s="83"/>
      <c r="U219" s="83"/>
    </row>
    <row r="220" spans="1:21">
      <c r="A220" s="83"/>
      <c r="B220" s="83"/>
      <c r="C220" s="83"/>
      <c r="D220" s="83"/>
      <c r="E220" s="83"/>
      <c r="F220" s="83"/>
      <c r="G220" s="83"/>
      <c r="H220" s="83"/>
      <c r="I220" s="83"/>
      <c r="J220" s="83"/>
      <c r="K220" s="218"/>
      <c r="L220" s="218"/>
      <c r="M220" s="83"/>
      <c r="N220" s="83"/>
      <c r="O220" s="83"/>
      <c r="P220" s="83"/>
      <c r="Q220" s="83"/>
      <c r="R220" s="83"/>
      <c r="S220" s="83"/>
      <c r="T220" s="83"/>
      <c r="U220" s="83"/>
    </row>
    <row r="221" spans="1:21">
      <c r="A221" s="83"/>
      <c r="B221" s="83"/>
      <c r="C221" s="83"/>
      <c r="D221" s="83"/>
      <c r="E221" s="83"/>
      <c r="F221" s="83"/>
      <c r="G221" s="83"/>
      <c r="H221" s="83"/>
      <c r="I221" s="83"/>
      <c r="J221" s="83"/>
      <c r="K221" s="218"/>
      <c r="L221" s="218"/>
      <c r="M221" s="83"/>
      <c r="N221" s="83"/>
      <c r="O221" s="83"/>
      <c r="P221" s="83"/>
      <c r="Q221" s="83"/>
      <c r="R221" s="83"/>
      <c r="S221" s="83"/>
      <c r="T221" s="83"/>
      <c r="U221" s="83"/>
    </row>
    <row r="222" spans="1:21">
      <c r="A222" s="83"/>
      <c r="B222" s="83"/>
      <c r="C222" s="83"/>
      <c r="D222" s="83"/>
      <c r="E222" s="83"/>
      <c r="F222" s="83"/>
      <c r="G222" s="83"/>
      <c r="H222" s="83"/>
      <c r="I222" s="83"/>
      <c r="J222" s="83"/>
      <c r="K222" s="218"/>
      <c r="L222" s="218"/>
      <c r="M222" s="83"/>
      <c r="N222" s="83"/>
      <c r="O222" s="83"/>
      <c r="P222" s="83"/>
      <c r="Q222" s="83"/>
      <c r="R222" s="83"/>
      <c r="S222" s="83"/>
      <c r="T222" s="83"/>
      <c r="U222" s="83"/>
    </row>
    <row r="223" spans="1:21">
      <c r="A223" s="83"/>
      <c r="B223" s="83"/>
      <c r="C223" s="83"/>
      <c r="D223" s="83"/>
      <c r="E223" s="83"/>
      <c r="F223" s="83"/>
      <c r="G223" s="83"/>
      <c r="H223" s="83"/>
      <c r="I223" s="83"/>
      <c r="J223" s="83"/>
      <c r="K223" s="218"/>
      <c r="L223" s="218"/>
      <c r="M223" s="83"/>
      <c r="N223" s="83"/>
      <c r="O223" s="83"/>
      <c r="P223" s="83"/>
      <c r="Q223" s="83"/>
      <c r="R223" s="83"/>
      <c r="S223" s="83"/>
      <c r="T223" s="83"/>
      <c r="U223" s="83"/>
    </row>
    <row r="224" spans="1:21">
      <c r="A224" s="83"/>
      <c r="B224" s="83"/>
      <c r="C224" s="83"/>
      <c r="D224" s="83"/>
      <c r="E224" s="83"/>
      <c r="F224" s="83"/>
      <c r="G224" s="83"/>
      <c r="H224" s="83"/>
      <c r="I224" s="83"/>
      <c r="J224" s="83"/>
      <c r="K224" s="218"/>
      <c r="L224" s="218"/>
      <c r="M224" s="83"/>
      <c r="N224" s="83"/>
      <c r="O224" s="83"/>
      <c r="P224" s="83"/>
      <c r="Q224" s="83"/>
      <c r="R224" s="83"/>
      <c r="S224" s="83"/>
      <c r="T224" s="83"/>
      <c r="U224" s="83"/>
    </row>
    <row r="225" spans="1:21">
      <c r="A225" s="83"/>
      <c r="B225" s="83"/>
      <c r="C225" s="83"/>
      <c r="D225" s="83"/>
      <c r="E225" s="83"/>
      <c r="F225" s="83"/>
      <c r="G225" s="83"/>
      <c r="H225" s="83"/>
      <c r="I225" s="83"/>
      <c r="J225" s="83"/>
      <c r="K225" s="218"/>
      <c r="L225" s="218"/>
      <c r="M225" s="83"/>
      <c r="N225" s="83"/>
      <c r="O225" s="83"/>
      <c r="P225" s="83"/>
      <c r="Q225" s="83"/>
      <c r="R225" s="83"/>
      <c r="S225" s="83"/>
      <c r="T225" s="83"/>
      <c r="U225" s="83"/>
    </row>
    <row r="226" spans="1:21">
      <c r="A226" s="83"/>
      <c r="B226" s="83"/>
      <c r="C226" s="83"/>
      <c r="D226" s="83"/>
      <c r="E226" s="83"/>
      <c r="F226" s="83"/>
      <c r="G226" s="83"/>
      <c r="H226" s="83"/>
      <c r="I226" s="83"/>
      <c r="J226" s="83"/>
      <c r="K226" s="218"/>
      <c r="L226" s="218"/>
      <c r="M226" s="83"/>
      <c r="N226" s="83"/>
      <c r="O226" s="83"/>
      <c r="P226" s="83"/>
      <c r="Q226" s="83"/>
      <c r="R226" s="83"/>
      <c r="S226" s="83"/>
      <c r="T226" s="83"/>
      <c r="U226" s="83"/>
    </row>
    <row r="227" spans="1:21">
      <c r="A227" s="83"/>
      <c r="B227" s="83"/>
      <c r="C227" s="83"/>
      <c r="D227" s="83"/>
      <c r="E227" s="83"/>
      <c r="F227" s="83"/>
      <c r="G227" s="83"/>
      <c r="H227" s="83"/>
      <c r="I227" s="83"/>
      <c r="J227" s="83"/>
      <c r="K227" s="218"/>
      <c r="L227" s="218"/>
      <c r="M227" s="83"/>
      <c r="N227" s="83"/>
      <c r="O227" s="83"/>
      <c r="P227" s="83"/>
      <c r="Q227" s="83"/>
      <c r="R227" s="83"/>
      <c r="S227" s="83"/>
      <c r="T227" s="83"/>
      <c r="U227" s="83"/>
    </row>
    <row r="228" spans="1:21">
      <c r="A228" s="83"/>
      <c r="B228" s="83"/>
      <c r="C228" s="83"/>
      <c r="D228" s="83"/>
      <c r="E228" s="83"/>
      <c r="F228" s="83"/>
      <c r="G228" s="83"/>
      <c r="H228" s="83"/>
      <c r="I228" s="83"/>
      <c r="J228" s="83"/>
      <c r="K228" s="218"/>
      <c r="L228" s="218"/>
      <c r="M228" s="83"/>
      <c r="N228" s="83"/>
      <c r="O228" s="83"/>
      <c r="P228" s="83"/>
      <c r="Q228" s="83"/>
      <c r="R228" s="83"/>
      <c r="S228" s="83"/>
      <c r="T228" s="83"/>
      <c r="U228" s="83"/>
    </row>
    <row r="229" spans="1:21">
      <c r="A229" s="83"/>
      <c r="B229" s="83"/>
      <c r="C229" s="83"/>
      <c r="D229" s="83"/>
      <c r="E229" s="83"/>
      <c r="F229" s="83"/>
      <c r="G229" s="83"/>
      <c r="H229" s="83"/>
      <c r="I229" s="83"/>
      <c r="J229" s="83"/>
      <c r="K229" s="218"/>
      <c r="L229" s="218"/>
      <c r="M229" s="83"/>
      <c r="N229" s="83"/>
      <c r="O229" s="83"/>
      <c r="P229" s="83"/>
      <c r="Q229" s="83"/>
      <c r="R229" s="83"/>
      <c r="S229" s="83"/>
      <c r="T229" s="83"/>
      <c r="U229" s="83"/>
    </row>
    <row r="230" spans="1:21">
      <c r="A230" s="83"/>
      <c r="B230" s="83"/>
      <c r="C230" s="83"/>
      <c r="D230" s="83"/>
      <c r="E230" s="83"/>
      <c r="F230" s="83"/>
      <c r="G230" s="83"/>
      <c r="H230" s="83"/>
      <c r="I230" s="83"/>
      <c r="J230" s="83"/>
      <c r="K230" s="218"/>
      <c r="L230" s="218"/>
      <c r="M230" s="83"/>
      <c r="N230" s="83"/>
      <c r="O230" s="83"/>
      <c r="P230" s="83"/>
      <c r="Q230" s="83"/>
      <c r="R230" s="83"/>
      <c r="S230" s="83"/>
      <c r="T230" s="83"/>
      <c r="U230" s="83"/>
    </row>
    <row r="231" spans="1:21">
      <c r="A231" s="83"/>
      <c r="B231" s="83"/>
      <c r="C231" s="83"/>
      <c r="D231" s="83"/>
      <c r="E231" s="83"/>
      <c r="F231" s="83"/>
      <c r="G231" s="83"/>
      <c r="H231" s="83"/>
      <c r="I231" s="83"/>
      <c r="J231" s="83"/>
      <c r="K231" s="218"/>
      <c r="L231" s="218"/>
      <c r="M231" s="83"/>
      <c r="N231" s="83"/>
      <c r="O231" s="83"/>
      <c r="P231" s="83"/>
      <c r="Q231" s="83"/>
      <c r="R231" s="83"/>
      <c r="S231" s="83"/>
      <c r="T231" s="83"/>
      <c r="U231" s="83"/>
    </row>
    <row r="232" spans="1:21">
      <c r="A232" s="83"/>
      <c r="B232" s="83"/>
      <c r="C232" s="83"/>
      <c r="D232" s="83"/>
      <c r="E232" s="83"/>
      <c r="F232" s="83"/>
      <c r="G232" s="83"/>
      <c r="H232" s="83"/>
      <c r="I232" s="83"/>
      <c r="J232" s="83"/>
      <c r="K232" s="218"/>
      <c r="L232" s="218"/>
      <c r="M232" s="83"/>
      <c r="N232" s="83"/>
      <c r="O232" s="83"/>
      <c r="P232" s="83"/>
      <c r="Q232" s="83"/>
      <c r="R232" s="83"/>
      <c r="S232" s="83"/>
      <c r="T232" s="83"/>
      <c r="U232" s="83"/>
    </row>
    <row r="233" spans="1:21">
      <c r="A233" s="83"/>
      <c r="B233" s="83"/>
      <c r="C233" s="83"/>
      <c r="D233" s="83"/>
      <c r="E233" s="83"/>
      <c r="F233" s="83"/>
      <c r="G233" s="83"/>
      <c r="H233" s="83"/>
      <c r="I233" s="83"/>
      <c r="J233" s="83"/>
      <c r="K233" s="218"/>
      <c r="L233" s="218"/>
      <c r="M233" s="83"/>
      <c r="N233" s="83"/>
      <c r="O233" s="83"/>
      <c r="P233" s="83"/>
      <c r="Q233" s="83"/>
      <c r="R233" s="83"/>
      <c r="S233" s="83"/>
      <c r="T233" s="83"/>
      <c r="U233" s="83"/>
    </row>
    <row r="234" spans="1:21">
      <c r="A234" s="83"/>
      <c r="B234" s="83"/>
      <c r="C234" s="83"/>
      <c r="D234" s="83"/>
      <c r="E234" s="83"/>
      <c r="F234" s="83"/>
      <c r="G234" s="83"/>
      <c r="H234" s="83"/>
      <c r="I234" s="83"/>
      <c r="J234" s="83"/>
      <c r="K234" s="218"/>
      <c r="L234" s="218"/>
      <c r="M234" s="83"/>
      <c r="N234" s="83"/>
      <c r="O234" s="83"/>
      <c r="P234" s="83"/>
      <c r="Q234" s="83"/>
      <c r="R234" s="83"/>
      <c r="S234" s="83"/>
      <c r="T234" s="83"/>
      <c r="U234" s="83"/>
    </row>
    <row r="235" spans="1:21">
      <c r="A235" s="83"/>
      <c r="B235" s="83"/>
      <c r="C235" s="83"/>
      <c r="D235" s="83"/>
      <c r="E235" s="83"/>
      <c r="F235" s="83"/>
      <c r="G235" s="83"/>
      <c r="H235" s="83"/>
      <c r="I235" s="83"/>
      <c r="J235" s="83"/>
      <c r="K235" s="218"/>
      <c r="L235" s="218"/>
      <c r="M235" s="83"/>
      <c r="N235" s="83"/>
      <c r="O235" s="83"/>
      <c r="P235" s="83"/>
      <c r="Q235" s="83"/>
      <c r="R235" s="83"/>
      <c r="S235" s="83"/>
      <c r="T235" s="83"/>
      <c r="U235" s="83"/>
    </row>
    <row r="236" spans="1:21">
      <c r="A236" s="83"/>
      <c r="B236" s="83"/>
      <c r="C236" s="83"/>
      <c r="D236" s="83"/>
      <c r="E236" s="83"/>
      <c r="F236" s="83"/>
      <c r="G236" s="83"/>
      <c r="H236" s="83"/>
      <c r="I236" s="83"/>
      <c r="J236" s="83"/>
      <c r="K236" s="218"/>
      <c r="L236" s="218"/>
      <c r="M236" s="83"/>
      <c r="N236" s="83"/>
      <c r="O236" s="83"/>
      <c r="P236" s="83"/>
      <c r="Q236" s="83"/>
      <c r="R236" s="83"/>
      <c r="S236" s="83"/>
      <c r="T236" s="83"/>
      <c r="U236" s="83"/>
    </row>
    <row r="237" spans="1:21">
      <c r="A237" s="83"/>
      <c r="B237" s="83"/>
      <c r="C237" s="83"/>
      <c r="D237" s="83"/>
      <c r="E237" s="83"/>
      <c r="F237" s="83"/>
      <c r="G237" s="83"/>
      <c r="H237" s="83"/>
      <c r="I237" s="83"/>
      <c r="J237" s="83"/>
      <c r="K237" s="218"/>
      <c r="L237" s="218"/>
      <c r="M237" s="83"/>
      <c r="N237" s="83"/>
      <c r="O237" s="83"/>
      <c r="P237" s="83"/>
      <c r="Q237" s="83"/>
      <c r="R237" s="83"/>
      <c r="S237" s="83"/>
      <c r="T237" s="83"/>
      <c r="U237" s="83"/>
    </row>
  </sheetData>
  <mergeCells count="239">
    <mergeCell ref="K1:L1"/>
    <mergeCell ref="K2:L2"/>
    <mergeCell ref="K3:L3"/>
    <mergeCell ref="K4:L4"/>
    <mergeCell ref="K5:L5"/>
    <mergeCell ref="K6:L6"/>
    <mergeCell ref="K13:L13"/>
    <mergeCell ref="K14:L14"/>
    <mergeCell ref="K15:L15"/>
    <mergeCell ref="K16:L16"/>
    <mergeCell ref="K17:L17"/>
    <mergeCell ref="K18:L18"/>
    <mergeCell ref="K7:L7"/>
    <mergeCell ref="K8:L8"/>
    <mergeCell ref="K9:L9"/>
    <mergeCell ref="K10:L10"/>
    <mergeCell ref="K11:L11"/>
    <mergeCell ref="K12:L12"/>
    <mergeCell ref="M27:U27"/>
    <mergeCell ref="K28:L28"/>
    <mergeCell ref="K29:L29"/>
    <mergeCell ref="K19:L19"/>
    <mergeCell ref="K20:L20"/>
    <mergeCell ref="K21:L21"/>
    <mergeCell ref="A22:C22"/>
    <mergeCell ref="D22:H22"/>
    <mergeCell ref="I22:K22"/>
    <mergeCell ref="L22:N22"/>
    <mergeCell ref="K30:L30"/>
    <mergeCell ref="K31:L31"/>
    <mergeCell ref="K32:L32"/>
    <mergeCell ref="K33:L33"/>
    <mergeCell ref="K34:L34"/>
    <mergeCell ref="K35:L35"/>
    <mergeCell ref="K26:L26"/>
    <mergeCell ref="A27:I27"/>
    <mergeCell ref="K27:L27"/>
    <mergeCell ref="K42:L42"/>
    <mergeCell ref="K43:L43"/>
    <mergeCell ref="K44:L44"/>
    <mergeCell ref="K45:L45"/>
    <mergeCell ref="K46:L46"/>
    <mergeCell ref="K47:L47"/>
    <mergeCell ref="K36:L36"/>
    <mergeCell ref="K37:L37"/>
    <mergeCell ref="K38:L38"/>
    <mergeCell ref="K39:L39"/>
    <mergeCell ref="K40:L40"/>
    <mergeCell ref="K41:L41"/>
    <mergeCell ref="K54:L54"/>
    <mergeCell ref="K55:L55"/>
    <mergeCell ref="K56:L56"/>
    <mergeCell ref="K57:L57"/>
    <mergeCell ref="K58:L58"/>
    <mergeCell ref="K59:L59"/>
    <mergeCell ref="K48:L48"/>
    <mergeCell ref="K49:L49"/>
    <mergeCell ref="K50:L50"/>
    <mergeCell ref="K51:L51"/>
    <mergeCell ref="K52:L52"/>
    <mergeCell ref="K53:L53"/>
    <mergeCell ref="K66:L66"/>
    <mergeCell ref="K67:L67"/>
    <mergeCell ref="K68:L68"/>
    <mergeCell ref="K69:L69"/>
    <mergeCell ref="K70:L70"/>
    <mergeCell ref="K71:L71"/>
    <mergeCell ref="K60:L60"/>
    <mergeCell ref="K61:L61"/>
    <mergeCell ref="K62:L62"/>
    <mergeCell ref="K63:L63"/>
    <mergeCell ref="K64:L64"/>
    <mergeCell ref="K65:L65"/>
    <mergeCell ref="K78:L78"/>
    <mergeCell ref="K79:L79"/>
    <mergeCell ref="K80:L80"/>
    <mergeCell ref="K81:L81"/>
    <mergeCell ref="K82:L82"/>
    <mergeCell ref="K83:L83"/>
    <mergeCell ref="K72:L72"/>
    <mergeCell ref="K73:L73"/>
    <mergeCell ref="K74:L74"/>
    <mergeCell ref="K75:L75"/>
    <mergeCell ref="K76:L76"/>
    <mergeCell ref="K77:L77"/>
    <mergeCell ref="K90:L90"/>
    <mergeCell ref="K91:L91"/>
    <mergeCell ref="K92:L92"/>
    <mergeCell ref="K93:L93"/>
    <mergeCell ref="K94:L94"/>
    <mergeCell ref="K95:L95"/>
    <mergeCell ref="K84:L84"/>
    <mergeCell ref="K85:L85"/>
    <mergeCell ref="K86:L86"/>
    <mergeCell ref="K87:L87"/>
    <mergeCell ref="K88:L88"/>
    <mergeCell ref="K89:L89"/>
    <mergeCell ref="K102:L102"/>
    <mergeCell ref="K103:L103"/>
    <mergeCell ref="K104:L104"/>
    <mergeCell ref="K105:L105"/>
    <mergeCell ref="K106:L106"/>
    <mergeCell ref="K107:L107"/>
    <mergeCell ref="K96:L96"/>
    <mergeCell ref="K97:L97"/>
    <mergeCell ref="K98:L98"/>
    <mergeCell ref="K99:L99"/>
    <mergeCell ref="K100:L100"/>
    <mergeCell ref="K101:L101"/>
    <mergeCell ref="K114:L114"/>
    <mergeCell ref="K115:L115"/>
    <mergeCell ref="K116:L116"/>
    <mergeCell ref="K117:L117"/>
    <mergeCell ref="K118:L118"/>
    <mergeCell ref="K119:L119"/>
    <mergeCell ref="K108:L108"/>
    <mergeCell ref="K109:L109"/>
    <mergeCell ref="K110:L110"/>
    <mergeCell ref="K111:L111"/>
    <mergeCell ref="K112:L112"/>
    <mergeCell ref="K113:L113"/>
    <mergeCell ref="K126:L126"/>
    <mergeCell ref="K127:L127"/>
    <mergeCell ref="K128:L128"/>
    <mergeCell ref="K129:L129"/>
    <mergeCell ref="K130:L130"/>
    <mergeCell ref="K131:L131"/>
    <mergeCell ref="K120:L120"/>
    <mergeCell ref="K121:L121"/>
    <mergeCell ref="K122:L122"/>
    <mergeCell ref="K123:L123"/>
    <mergeCell ref="K124:L124"/>
    <mergeCell ref="K125:L125"/>
    <mergeCell ref="K138:L138"/>
    <mergeCell ref="K139:L139"/>
    <mergeCell ref="K140:L140"/>
    <mergeCell ref="K141:L141"/>
    <mergeCell ref="K142:L142"/>
    <mergeCell ref="K143:L143"/>
    <mergeCell ref="K132:L132"/>
    <mergeCell ref="K133:L133"/>
    <mergeCell ref="K134:L134"/>
    <mergeCell ref="K135:L135"/>
    <mergeCell ref="K136:L136"/>
    <mergeCell ref="K137:L137"/>
    <mergeCell ref="K150:L150"/>
    <mergeCell ref="K151:L151"/>
    <mergeCell ref="K152:L152"/>
    <mergeCell ref="K153:L153"/>
    <mergeCell ref="K154:L154"/>
    <mergeCell ref="K155:L155"/>
    <mergeCell ref="K144:L144"/>
    <mergeCell ref="K145:L145"/>
    <mergeCell ref="K146:L146"/>
    <mergeCell ref="K147:L147"/>
    <mergeCell ref="K148:L148"/>
    <mergeCell ref="K149:L149"/>
    <mergeCell ref="K162:L162"/>
    <mergeCell ref="K163:L163"/>
    <mergeCell ref="K164:L164"/>
    <mergeCell ref="K165:L165"/>
    <mergeCell ref="K166:L166"/>
    <mergeCell ref="K167:L167"/>
    <mergeCell ref="K156:L156"/>
    <mergeCell ref="K157:L157"/>
    <mergeCell ref="K158:L158"/>
    <mergeCell ref="K159:L159"/>
    <mergeCell ref="K160:L160"/>
    <mergeCell ref="K161:L161"/>
    <mergeCell ref="K174:L174"/>
    <mergeCell ref="K175:L175"/>
    <mergeCell ref="K176:L176"/>
    <mergeCell ref="K177:L177"/>
    <mergeCell ref="K178:L178"/>
    <mergeCell ref="K179:L179"/>
    <mergeCell ref="K168:L168"/>
    <mergeCell ref="K169:L169"/>
    <mergeCell ref="K170:L170"/>
    <mergeCell ref="K171:L171"/>
    <mergeCell ref="K172:L172"/>
    <mergeCell ref="K173:L173"/>
    <mergeCell ref="K186:L186"/>
    <mergeCell ref="K187:L187"/>
    <mergeCell ref="K188:L188"/>
    <mergeCell ref="K189:L189"/>
    <mergeCell ref="K190:L190"/>
    <mergeCell ref="K191:L191"/>
    <mergeCell ref="K180:L180"/>
    <mergeCell ref="K181:L181"/>
    <mergeCell ref="K182:L182"/>
    <mergeCell ref="K183:L183"/>
    <mergeCell ref="K184:L184"/>
    <mergeCell ref="K185:L185"/>
    <mergeCell ref="K198:L198"/>
    <mergeCell ref="K199:L199"/>
    <mergeCell ref="K200:L200"/>
    <mergeCell ref="K201:L201"/>
    <mergeCell ref="K202:L202"/>
    <mergeCell ref="K203:L203"/>
    <mergeCell ref="K192:L192"/>
    <mergeCell ref="K193:L193"/>
    <mergeCell ref="K194:L194"/>
    <mergeCell ref="K195:L195"/>
    <mergeCell ref="K196:L196"/>
    <mergeCell ref="K197:L197"/>
    <mergeCell ref="K210:L210"/>
    <mergeCell ref="K211:L211"/>
    <mergeCell ref="K212:L212"/>
    <mergeCell ref="K213:L213"/>
    <mergeCell ref="K214:L214"/>
    <mergeCell ref="K215:L215"/>
    <mergeCell ref="K204:L204"/>
    <mergeCell ref="K205:L205"/>
    <mergeCell ref="K206:L206"/>
    <mergeCell ref="K207:L207"/>
    <mergeCell ref="K208:L208"/>
    <mergeCell ref="K209:L209"/>
    <mergeCell ref="K222:L222"/>
    <mergeCell ref="K223:L223"/>
    <mergeCell ref="K224:L224"/>
    <mergeCell ref="K225:L225"/>
    <mergeCell ref="K226:L226"/>
    <mergeCell ref="K227:L227"/>
    <mergeCell ref="K216:L216"/>
    <mergeCell ref="K217:L217"/>
    <mergeCell ref="K218:L218"/>
    <mergeCell ref="K219:L219"/>
    <mergeCell ref="K220:L220"/>
    <mergeCell ref="K221:L221"/>
    <mergeCell ref="K234:L234"/>
    <mergeCell ref="K235:L235"/>
    <mergeCell ref="K236:L236"/>
    <mergeCell ref="K237:L237"/>
    <mergeCell ref="K228:L228"/>
    <mergeCell ref="K229:L229"/>
    <mergeCell ref="K230:L230"/>
    <mergeCell ref="K231:L231"/>
    <mergeCell ref="K232:L232"/>
    <mergeCell ref="K233:L23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AL1288"/>
  <sheetViews>
    <sheetView topLeftCell="AI1" workbookViewId="0">
      <selection activeCell="W11" sqref="W11"/>
    </sheetView>
  </sheetViews>
  <sheetFormatPr defaultColWidth="8.81640625" defaultRowHeight="14.5"/>
  <sheetData>
    <row r="2" spans="21:38">
      <c r="U2" t="s">
        <v>18</v>
      </c>
      <c r="V2" t="s">
        <v>12</v>
      </c>
      <c r="W2" t="s">
        <v>1</v>
      </c>
      <c r="X2" t="s">
        <v>19</v>
      </c>
      <c r="Y2" t="s">
        <v>2</v>
      </c>
      <c r="Z2" t="s">
        <v>3</v>
      </c>
      <c r="AA2" t="s">
        <v>20</v>
      </c>
      <c r="AB2" t="s">
        <v>22</v>
      </c>
      <c r="AC2" t="s">
        <v>21</v>
      </c>
      <c r="AD2" t="s">
        <v>5</v>
      </c>
      <c r="AE2" t="s">
        <v>6</v>
      </c>
      <c r="AF2" t="s">
        <v>7</v>
      </c>
      <c r="AG2" t="s">
        <v>8</v>
      </c>
      <c r="AH2" t="s">
        <v>9</v>
      </c>
      <c r="AI2" t="s">
        <v>10</v>
      </c>
      <c r="AJ2" t="s">
        <v>11</v>
      </c>
      <c r="AK2" t="s">
        <v>73</v>
      </c>
      <c r="AL2" t="s">
        <v>72</v>
      </c>
    </row>
    <row r="3" spans="21:38">
      <c r="U3">
        <v>7.4688796680497951E-2</v>
      </c>
      <c r="V3">
        <v>5.98</v>
      </c>
      <c r="W3">
        <v>5.8</v>
      </c>
      <c r="X3">
        <f>(V3-W3)/AVERAGE(V3:W3)</f>
        <v>3.0560271646859184E-2</v>
      </c>
      <c r="Y3">
        <v>150500</v>
      </c>
      <c r="Z3">
        <v>12600000</v>
      </c>
      <c r="AA3">
        <v>878920</v>
      </c>
      <c r="AB3">
        <v>67783446</v>
      </c>
      <c r="AC3">
        <v>2.2203061201698125E-3</v>
      </c>
      <c r="AD3">
        <v>75983.039999999994</v>
      </c>
      <c r="AE3">
        <v>0.2157</v>
      </c>
      <c r="AF3">
        <v>131800000</v>
      </c>
      <c r="AG3">
        <v>2790000</v>
      </c>
      <c r="AH3">
        <v>290000</v>
      </c>
      <c r="AI3">
        <v>8210000</v>
      </c>
      <c r="AJ3">
        <v>8550000</v>
      </c>
      <c r="AK3">
        <v>3.0340266084133583E-8</v>
      </c>
      <c r="AL3">
        <v>6.4871016691957509E-2</v>
      </c>
    </row>
    <row r="4" spans="21:38">
      <c r="U4">
        <v>9.2050209205020897E-2</v>
      </c>
      <c r="V4">
        <v>6.1</v>
      </c>
      <c r="W4">
        <v>6.01</v>
      </c>
      <c r="X4">
        <f t="shared" ref="X4:X67" si="0">(V4-W4)/AVERAGE(V4:W4)</f>
        <v>1.4863748967795187E-2</v>
      </c>
      <c r="Y4">
        <v>301000</v>
      </c>
      <c r="Z4">
        <v>12600000</v>
      </c>
      <c r="AA4">
        <v>1806000</v>
      </c>
      <c r="AB4">
        <v>67783446</v>
      </c>
      <c r="AC4">
        <v>4.440612240339625E-3</v>
      </c>
      <c r="AD4">
        <v>75114.47</v>
      </c>
      <c r="AE4">
        <v>0.2157</v>
      </c>
      <c r="AF4">
        <v>131800000</v>
      </c>
      <c r="AG4">
        <v>2790000</v>
      </c>
      <c r="AH4">
        <v>290000</v>
      </c>
      <c r="AI4">
        <v>8210000</v>
      </c>
      <c r="AJ4">
        <v>8550000</v>
      </c>
      <c r="AK4">
        <v>2.8121866593743761E-8</v>
      </c>
      <c r="AL4">
        <v>6.4871016691957509E-2</v>
      </c>
    </row>
    <row r="5" spans="21:38">
      <c r="U5">
        <v>6.8493150684931572E-2</v>
      </c>
      <c r="V5">
        <v>5.78</v>
      </c>
      <c r="W5">
        <v>5.64</v>
      </c>
      <c r="X5">
        <f t="shared" si="0"/>
        <v>2.4518388791593796E-2</v>
      </c>
      <c r="Y5">
        <v>343500</v>
      </c>
      <c r="Z5">
        <v>12600000</v>
      </c>
      <c r="AA5">
        <v>1961385</v>
      </c>
      <c r="AB5">
        <v>67783446</v>
      </c>
      <c r="AC5">
        <v>5.0676089852380772E-3</v>
      </c>
      <c r="AD5">
        <v>74956.67</v>
      </c>
      <c r="AE5">
        <v>0.2157</v>
      </c>
      <c r="AF5">
        <v>131800000</v>
      </c>
      <c r="AG5">
        <v>2790000</v>
      </c>
      <c r="AH5">
        <v>290000</v>
      </c>
      <c r="AI5">
        <v>8210000</v>
      </c>
      <c r="AJ5">
        <v>8550000</v>
      </c>
      <c r="AK5">
        <v>2.2204253003474277E-8</v>
      </c>
      <c r="AL5">
        <v>6.4871016691957509E-2</v>
      </c>
    </row>
    <row r="6" spans="21:38">
      <c r="U6">
        <v>4.7781569965870352E-2</v>
      </c>
      <c r="V6">
        <v>6</v>
      </c>
      <c r="W6">
        <v>5.9</v>
      </c>
      <c r="X6">
        <f t="shared" si="0"/>
        <v>1.6806722689075571E-2</v>
      </c>
      <c r="Y6">
        <v>68500</v>
      </c>
      <c r="Z6">
        <v>12600000</v>
      </c>
      <c r="AA6">
        <v>408945</v>
      </c>
      <c r="AB6">
        <v>67783446</v>
      </c>
      <c r="AC6">
        <v>1.0105712241304462E-3</v>
      </c>
      <c r="AD6">
        <v>75206.77</v>
      </c>
      <c r="AE6">
        <v>0.2157</v>
      </c>
      <c r="AF6">
        <v>131800000</v>
      </c>
      <c r="AG6">
        <v>2790000</v>
      </c>
      <c r="AH6">
        <v>290000</v>
      </c>
      <c r="AI6">
        <v>8210000</v>
      </c>
      <c r="AJ6">
        <v>8550000</v>
      </c>
      <c r="AK6">
        <v>2.4825549313377896E-8</v>
      </c>
      <c r="AL6">
        <v>6.4871016691957509E-2</v>
      </c>
    </row>
    <row r="7" spans="21:38">
      <c r="U7">
        <v>4.123711340206189E-2</v>
      </c>
      <c r="V7">
        <v>5.95</v>
      </c>
      <c r="W7">
        <v>5.91</v>
      </c>
      <c r="X7">
        <f t="shared" si="0"/>
        <v>6.7453625632377806E-3</v>
      </c>
      <c r="Y7">
        <v>81500</v>
      </c>
      <c r="Z7">
        <v>12600000</v>
      </c>
      <c r="AA7">
        <v>481665</v>
      </c>
      <c r="AB7">
        <v>67783446</v>
      </c>
      <c r="AC7">
        <v>1.2023584637464433E-3</v>
      </c>
      <c r="AD7">
        <v>75084</v>
      </c>
      <c r="AE7">
        <v>0.2157</v>
      </c>
      <c r="AF7">
        <v>131800000</v>
      </c>
      <c r="AG7">
        <v>2790000</v>
      </c>
      <c r="AH7">
        <v>290000</v>
      </c>
      <c r="AI7">
        <v>8210000</v>
      </c>
      <c r="AJ7">
        <v>8550000</v>
      </c>
      <c r="AK7">
        <v>7.6489064522350354E-8</v>
      </c>
      <c r="AL7">
        <v>6.4871016691957509E-2</v>
      </c>
    </row>
    <row r="8" spans="21:38">
      <c r="U8">
        <v>8.5324232081911255E-2</v>
      </c>
      <c r="V8">
        <v>5.8</v>
      </c>
      <c r="W8">
        <v>5.72</v>
      </c>
      <c r="X8">
        <f t="shared" si="0"/>
        <v>1.3888888888888902E-2</v>
      </c>
      <c r="Y8">
        <v>107500</v>
      </c>
      <c r="Z8">
        <v>12600000</v>
      </c>
      <c r="AA8">
        <v>612750</v>
      </c>
      <c r="AB8">
        <v>67783446</v>
      </c>
      <c r="AC8">
        <v>1.5859329429784375E-3</v>
      </c>
      <c r="AD8">
        <v>75342.350000000006</v>
      </c>
      <c r="AE8">
        <v>0.2157</v>
      </c>
      <c r="AF8">
        <v>131800000</v>
      </c>
      <c r="AG8">
        <v>2790000</v>
      </c>
      <c r="AH8">
        <v>290000</v>
      </c>
      <c r="AI8">
        <v>8210000</v>
      </c>
      <c r="AJ8">
        <v>8550000</v>
      </c>
      <c r="AK8">
        <v>6.0648163463340876E-8</v>
      </c>
      <c r="AL8">
        <v>6.4871016691957509E-2</v>
      </c>
    </row>
    <row r="9" spans="21:38">
      <c r="U9">
        <v>6.3628546861564939E-2</v>
      </c>
      <c r="V9">
        <v>6.05</v>
      </c>
      <c r="W9">
        <v>5.9</v>
      </c>
      <c r="X9">
        <f t="shared" si="0"/>
        <v>2.5104602510460164E-2</v>
      </c>
      <c r="Y9">
        <v>81000</v>
      </c>
      <c r="Z9">
        <v>12600000</v>
      </c>
      <c r="AA9">
        <v>479520</v>
      </c>
      <c r="AB9">
        <v>67783446</v>
      </c>
      <c r="AC9">
        <v>1.1949820314535204E-3</v>
      </c>
      <c r="AD9">
        <v>74930.7</v>
      </c>
      <c r="AE9">
        <v>0.2157</v>
      </c>
      <c r="AF9">
        <v>131800000</v>
      </c>
      <c r="AG9">
        <v>2790000</v>
      </c>
      <c r="AH9">
        <v>290000</v>
      </c>
      <c r="AI9">
        <v>8210000</v>
      </c>
      <c r="AJ9">
        <v>8550000</v>
      </c>
      <c r="AK9">
        <v>4.6822873535596579E-8</v>
      </c>
      <c r="AL9">
        <v>6.4871016691957509E-2</v>
      </c>
    </row>
    <row r="10" spans="21:38">
      <c r="U10">
        <v>7.2329688814129475E-2</v>
      </c>
      <c r="V10">
        <v>5.89</v>
      </c>
      <c r="W10">
        <v>5.76</v>
      </c>
      <c r="X10">
        <f t="shared" si="0"/>
        <v>2.2317596566523591E-2</v>
      </c>
      <c r="Y10">
        <v>94000</v>
      </c>
      <c r="Z10">
        <v>12600000</v>
      </c>
      <c r="AA10">
        <v>544260</v>
      </c>
      <c r="AB10">
        <v>67783446</v>
      </c>
      <c r="AC10">
        <v>1.3867692710695175E-3</v>
      </c>
      <c r="AD10">
        <v>74663.98</v>
      </c>
      <c r="AE10">
        <v>0.2157</v>
      </c>
      <c r="AF10">
        <v>131800000</v>
      </c>
      <c r="AG10">
        <v>2790000</v>
      </c>
      <c r="AH10">
        <v>290000</v>
      </c>
      <c r="AI10">
        <v>8210000</v>
      </c>
      <c r="AJ10">
        <v>8550000</v>
      </c>
      <c r="AK10">
        <v>5.2407838042270044E-8</v>
      </c>
      <c r="AL10">
        <v>6.4871016691957509E-2</v>
      </c>
    </row>
    <row r="11" spans="21:38">
      <c r="U11">
        <v>5.7823129251700654E-2</v>
      </c>
      <c r="V11">
        <v>5.94</v>
      </c>
      <c r="W11">
        <v>5.81</v>
      </c>
      <c r="X11">
        <f t="shared" si="0"/>
        <v>2.2127659574468217E-2</v>
      </c>
      <c r="Y11">
        <v>69500</v>
      </c>
      <c r="Z11">
        <v>12600000</v>
      </c>
      <c r="AA11">
        <v>414220</v>
      </c>
      <c r="AB11">
        <v>67783446</v>
      </c>
      <c r="AC11">
        <v>1.0253240887162921E-3</v>
      </c>
      <c r="AD11">
        <v>74531.19</v>
      </c>
      <c r="AE11">
        <v>0.21590000000000001</v>
      </c>
      <c r="AF11">
        <v>131800000</v>
      </c>
      <c r="AG11">
        <v>2790000</v>
      </c>
      <c r="AH11">
        <v>290000</v>
      </c>
      <c r="AI11">
        <v>8210000</v>
      </c>
      <c r="AJ11">
        <v>8550000</v>
      </c>
      <c r="AK11">
        <v>7.5181952856237445E-8</v>
      </c>
      <c r="AL11">
        <v>6.4871016691957509E-2</v>
      </c>
    </row>
    <row r="12" spans="21:38">
      <c r="U12">
        <v>2.0761245674740504E-2</v>
      </c>
      <c r="V12">
        <v>5.84</v>
      </c>
      <c r="W12">
        <v>5.74</v>
      </c>
      <c r="X12">
        <f t="shared" si="0"/>
        <v>1.7271157167530162E-2</v>
      </c>
      <c r="Y12">
        <v>48000</v>
      </c>
      <c r="Z12">
        <v>12600000</v>
      </c>
      <c r="AA12">
        <v>277440</v>
      </c>
      <c r="AB12">
        <v>67783446</v>
      </c>
      <c r="AC12">
        <v>7.0813750012060472E-4</v>
      </c>
      <c r="AD12">
        <v>73799.11</v>
      </c>
      <c r="AE12">
        <v>0.21590000000000001</v>
      </c>
      <c r="AF12">
        <v>131800000</v>
      </c>
      <c r="AG12">
        <v>2790000</v>
      </c>
      <c r="AH12">
        <v>290000</v>
      </c>
      <c r="AI12">
        <v>8210000</v>
      </c>
      <c r="AJ12">
        <v>8550000</v>
      </c>
      <c r="AK12">
        <v>1.8611271581630129E-8</v>
      </c>
      <c r="AL12">
        <v>6.4871016691957509E-2</v>
      </c>
    </row>
    <row r="13" spans="21:38">
      <c r="U13">
        <v>6.0396893874029273E-2</v>
      </c>
      <c r="V13">
        <v>5.95</v>
      </c>
      <c r="W13">
        <v>5.74</v>
      </c>
      <c r="X13">
        <f t="shared" si="0"/>
        <v>3.5928143712574842E-2</v>
      </c>
      <c r="Y13">
        <v>78000</v>
      </c>
      <c r="Z13">
        <v>12600000</v>
      </c>
      <c r="AA13">
        <v>453179.99999999994</v>
      </c>
      <c r="AB13">
        <v>67783446</v>
      </c>
      <c r="AC13">
        <v>1.1507234376959825E-3</v>
      </c>
      <c r="AD13">
        <v>73085.5</v>
      </c>
      <c r="AE13">
        <v>0.21590000000000001</v>
      </c>
      <c r="AF13">
        <v>131800000</v>
      </c>
      <c r="AG13">
        <v>2790000</v>
      </c>
      <c r="AH13">
        <v>290000</v>
      </c>
      <c r="AI13">
        <v>8210000</v>
      </c>
      <c r="AJ13">
        <v>8550000</v>
      </c>
      <c r="AK13">
        <v>3.7914582691631587E-9</v>
      </c>
      <c r="AL13">
        <v>6.4871016691957509E-2</v>
      </c>
    </row>
    <row r="14" spans="21:38">
      <c r="U14">
        <v>4.1095890410958943E-2</v>
      </c>
      <c r="V14">
        <v>5.85</v>
      </c>
      <c r="W14">
        <v>5.78</v>
      </c>
      <c r="X14">
        <f t="shared" si="0"/>
        <v>1.2037833190025693E-2</v>
      </c>
      <c r="Y14">
        <v>31000</v>
      </c>
      <c r="Z14">
        <v>12600000</v>
      </c>
      <c r="AA14">
        <v>180420</v>
      </c>
      <c r="AB14">
        <v>67783446</v>
      </c>
      <c r="AC14">
        <v>4.5733880216122384E-4</v>
      </c>
      <c r="AD14">
        <v>72658.05</v>
      </c>
      <c r="AE14">
        <v>0.21590000000000001</v>
      </c>
      <c r="AF14">
        <v>131800000</v>
      </c>
      <c r="AG14">
        <v>2790000</v>
      </c>
      <c r="AH14">
        <v>290000</v>
      </c>
      <c r="AI14">
        <v>8210000</v>
      </c>
      <c r="AJ14">
        <v>8550000</v>
      </c>
      <c r="AK14">
        <v>2.8718252689608192E-8</v>
      </c>
      <c r="AL14">
        <v>6.4871016691957509E-2</v>
      </c>
    </row>
    <row r="15" spans="21:38">
      <c r="U15">
        <v>4.7945205479452101E-2</v>
      </c>
      <c r="V15">
        <v>5.93</v>
      </c>
      <c r="W15">
        <v>5.8</v>
      </c>
      <c r="X15">
        <f t="shared" si="0"/>
        <v>2.2165387894288131E-2</v>
      </c>
      <c r="Y15">
        <v>138000</v>
      </c>
      <c r="Z15">
        <v>12600000</v>
      </c>
      <c r="AA15">
        <v>799020</v>
      </c>
      <c r="AB15">
        <v>67783446</v>
      </c>
      <c r="AC15">
        <v>2.0358953128467383E-3</v>
      </c>
      <c r="AD15">
        <v>72601.820000000007</v>
      </c>
      <c r="AE15">
        <v>0.21590000000000001</v>
      </c>
      <c r="AF15">
        <v>131800000</v>
      </c>
      <c r="AG15">
        <v>2790000</v>
      </c>
      <c r="AH15">
        <v>290000</v>
      </c>
      <c r="AI15">
        <v>8210000</v>
      </c>
      <c r="AJ15">
        <v>8550000</v>
      </c>
      <c r="AK15">
        <v>1.0715180891112123E-8</v>
      </c>
      <c r="AL15">
        <v>6.4871016691957509E-2</v>
      </c>
    </row>
    <row r="16" spans="21:38">
      <c r="U16">
        <v>6.3958513396715655E-2</v>
      </c>
      <c r="V16">
        <v>5.85</v>
      </c>
      <c r="W16">
        <v>5.68</v>
      </c>
      <c r="X16">
        <f t="shared" si="0"/>
        <v>2.9488291413703373E-2</v>
      </c>
      <c r="Y16">
        <v>113000</v>
      </c>
      <c r="Z16">
        <v>12600000</v>
      </c>
      <c r="AA16">
        <v>659920</v>
      </c>
      <c r="AB16">
        <v>67783446</v>
      </c>
      <c r="AC16">
        <v>1.6670736982005903E-3</v>
      </c>
      <c r="AD16">
        <v>72761.2</v>
      </c>
      <c r="AE16">
        <v>0.21590000000000001</v>
      </c>
      <c r="AF16">
        <v>131800000</v>
      </c>
      <c r="AG16">
        <v>2790000</v>
      </c>
      <c r="AH16">
        <v>290000</v>
      </c>
      <c r="AI16">
        <v>8210000</v>
      </c>
      <c r="AJ16">
        <v>8550000</v>
      </c>
      <c r="AK16">
        <v>1.045058753203106E-8</v>
      </c>
      <c r="AL16">
        <v>6.4871016691957509E-2</v>
      </c>
    </row>
    <row r="17" spans="21:38">
      <c r="U17">
        <v>0.13263525305410134</v>
      </c>
      <c r="V17">
        <v>5.98</v>
      </c>
      <c r="W17">
        <v>5.8</v>
      </c>
      <c r="X17">
        <f t="shared" si="0"/>
        <v>3.0560271646859184E-2</v>
      </c>
      <c r="Y17">
        <v>146000</v>
      </c>
      <c r="Z17">
        <v>12600000</v>
      </c>
      <c r="AA17">
        <v>846800</v>
      </c>
      <c r="AB17">
        <v>67783446</v>
      </c>
      <c r="AC17">
        <v>2.1539182295335058E-3</v>
      </c>
      <c r="AD17">
        <v>72764.240000000005</v>
      </c>
      <c r="AE17">
        <v>0.21590000000000001</v>
      </c>
      <c r="AF17">
        <v>131800000</v>
      </c>
      <c r="AG17">
        <v>2790000</v>
      </c>
      <c r="AH17">
        <v>290000</v>
      </c>
      <c r="AI17">
        <v>8210000</v>
      </c>
      <c r="AJ17">
        <v>8550000</v>
      </c>
      <c r="AK17">
        <v>3.9363879703983659E-8</v>
      </c>
      <c r="AL17">
        <v>6.4871016691957509E-2</v>
      </c>
    </row>
    <row r="18" spans="21:38">
      <c r="U18">
        <v>8.6956521739130432E-2</v>
      </c>
      <c r="V18">
        <v>5.96</v>
      </c>
      <c r="W18">
        <v>5.8</v>
      </c>
      <c r="X18">
        <f t="shared" si="0"/>
        <v>2.721088435374152E-2</v>
      </c>
      <c r="Y18">
        <v>79000</v>
      </c>
      <c r="Z18">
        <v>12600000</v>
      </c>
      <c r="AA18">
        <v>474000</v>
      </c>
      <c r="AB18">
        <v>67783446</v>
      </c>
      <c r="AC18">
        <v>1.1654763022818286E-3</v>
      </c>
      <c r="AD18">
        <v>71902.09</v>
      </c>
      <c r="AE18">
        <v>0.21590000000000001</v>
      </c>
      <c r="AF18">
        <v>131800000</v>
      </c>
      <c r="AG18">
        <v>2790000</v>
      </c>
      <c r="AH18">
        <v>290000</v>
      </c>
      <c r="AI18">
        <v>8210000</v>
      </c>
      <c r="AJ18">
        <v>8550000</v>
      </c>
      <c r="AK18">
        <v>1.7105713308244961E-7</v>
      </c>
      <c r="AL18">
        <v>6.4871016691957509E-2</v>
      </c>
    </row>
    <row r="19" spans="21:38">
      <c r="U19">
        <v>7.0921985815602731E-2</v>
      </c>
      <c r="V19">
        <v>5.59</v>
      </c>
      <c r="W19">
        <v>5.55</v>
      </c>
      <c r="X19">
        <f t="shared" si="0"/>
        <v>7.1813285457809758E-3</v>
      </c>
      <c r="Y19">
        <v>96000</v>
      </c>
      <c r="Z19">
        <v>12600000</v>
      </c>
      <c r="AA19">
        <v>532800</v>
      </c>
      <c r="AB19">
        <v>67783446</v>
      </c>
      <c r="AC19">
        <v>1.4162750002412094E-3</v>
      </c>
      <c r="AD19">
        <v>70657.64</v>
      </c>
      <c r="AE19">
        <v>0.21590000000000001</v>
      </c>
      <c r="AF19">
        <v>131800000</v>
      </c>
      <c r="AG19">
        <v>2790000</v>
      </c>
      <c r="AH19">
        <v>290000</v>
      </c>
      <c r="AI19">
        <v>8210000</v>
      </c>
      <c r="AJ19">
        <v>8550000</v>
      </c>
      <c r="AK19">
        <v>9.3201077790118888E-8</v>
      </c>
      <c r="AL19">
        <v>6.4871016691957509E-2</v>
      </c>
    </row>
    <row r="20" spans="21:38">
      <c r="U20">
        <v>5.8823529411764677E-2</v>
      </c>
      <c r="V20">
        <v>5.87</v>
      </c>
      <c r="W20">
        <v>5.75</v>
      </c>
      <c r="X20">
        <f t="shared" si="0"/>
        <v>2.0654044750430308E-2</v>
      </c>
      <c r="Y20">
        <v>88000</v>
      </c>
      <c r="Z20">
        <v>12600000</v>
      </c>
      <c r="AA20">
        <v>513920</v>
      </c>
      <c r="AB20">
        <v>67783446</v>
      </c>
      <c r="AC20">
        <v>1.298252083554442E-3</v>
      </c>
      <c r="AD20">
        <v>71102.55</v>
      </c>
      <c r="AE20">
        <v>0.21590000000000001</v>
      </c>
      <c r="AF20">
        <v>131800000</v>
      </c>
      <c r="AG20">
        <v>2790000</v>
      </c>
      <c r="AH20">
        <v>290000</v>
      </c>
      <c r="AI20">
        <v>8210000</v>
      </c>
      <c r="AJ20">
        <v>8550000</v>
      </c>
      <c r="AK20">
        <v>9.9446072118822704E-9</v>
      </c>
      <c r="AL20">
        <v>6.4871016691957509E-2</v>
      </c>
    </row>
    <row r="21" spans="21:38">
      <c r="U21">
        <v>6.7226890756302574E-2</v>
      </c>
      <c r="V21">
        <v>5.9</v>
      </c>
      <c r="W21">
        <v>5.77</v>
      </c>
      <c r="X21">
        <f t="shared" si="0"/>
        <v>2.2279348757497992E-2</v>
      </c>
      <c r="Y21">
        <v>75500</v>
      </c>
      <c r="Z21">
        <v>12600000</v>
      </c>
      <c r="AA21">
        <v>443185</v>
      </c>
      <c r="AB21">
        <v>67783446</v>
      </c>
      <c r="AC21">
        <v>1.1138412762313678E-3</v>
      </c>
      <c r="AD21">
        <v>71695.03</v>
      </c>
      <c r="AE21">
        <v>0.21640000000000001</v>
      </c>
      <c r="AF21">
        <v>131800000</v>
      </c>
      <c r="AG21">
        <v>2790000</v>
      </c>
      <c r="AH21">
        <v>290000</v>
      </c>
      <c r="AI21">
        <v>8210000</v>
      </c>
      <c r="AJ21">
        <v>8550000</v>
      </c>
      <c r="AK21">
        <v>1.1473190118600374E-8</v>
      </c>
      <c r="AL21">
        <v>6.4871016691957509E-2</v>
      </c>
    </row>
    <row r="22" spans="21:38">
      <c r="U22">
        <v>4.6589018302828661E-2</v>
      </c>
      <c r="V22">
        <v>6.03</v>
      </c>
      <c r="W22">
        <v>5.87</v>
      </c>
      <c r="X22">
        <f t="shared" si="0"/>
        <v>2.6890756302521031E-2</v>
      </c>
      <c r="Y22">
        <v>54000</v>
      </c>
      <c r="Z22">
        <v>12600000</v>
      </c>
      <c r="AA22">
        <v>318600</v>
      </c>
      <c r="AB22">
        <v>67783446</v>
      </c>
      <c r="AC22">
        <v>7.9665468763568021E-4</v>
      </c>
      <c r="AD22">
        <v>72742.75</v>
      </c>
      <c r="AE22">
        <v>0.21640000000000001</v>
      </c>
      <c r="AF22">
        <v>131800000</v>
      </c>
      <c r="AG22">
        <v>2790000</v>
      </c>
      <c r="AH22">
        <v>290000</v>
      </c>
      <c r="AI22">
        <v>8210000</v>
      </c>
      <c r="AJ22">
        <v>8550000</v>
      </c>
      <c r="AK22">
        <v>1.0787785760739238E-7</v>
      </c>
      <c r="AL22">
        <v>6.4871016691957509E-2</v>
      </c>
    </row>
    <row r="23" spans="21:38">
      <c r="U23">
        <v>3.305785123966945E-2</v>
      </c>
      <c r="V23">
        <v>6.16</v>
      </c>
      <c r="W23">
        <v>6.04</v>
      </c>
      <c r="X23">
        <f t="shared" si="0"/>
        <v>1.9672131147541003E-2</v>
      </c>
      <c r="Y23">
        <v>66000</v>
      </c>
      <c r="Z23">
        <v>12600000</v>
      </c>
      <c r="AA23">
        <v>403260</v>
      </c>
      <c r="AB23">
        <v>67783446</v>
      </c>
      <c r="AC23">
        <v>9.7368906266583142E-4</v>
      </c>
      <c r="AD23">
        <v>71971.399999999994</v>
      </c>
      <c r="AE23">
        <v>0.21640000000000001</v>
      </c>
      <c r="AF23">
        <v>131800000</v>
      </c>
      <c r="AG23">
        <v>2790000</v>
      </c>
      <c r="AH23">
        <v>290000</v>
      </c>
      <c r="AI23">
        <v>8210000</v>
      </c>
      <c r="AJ23">
        <v>8550000</v>
      </c>
      <c r="AK23">
        <v>2.0460311170233518E-8</v>
      </c>
      <c r="AL23">
        <v>6.4871016691957509E-2</v>
      </c>
    </row>
    <row r="24" spans="21:38">
      <c r="U24">
        <v>4.5602605863192217E-2</v>
      </c>
      <c r="V24">
        <v>6.09</v>
      </c>
      <c r="W24">
        <v>6.05</v>
      </c>
      <c r="X24">
        <f t="shared" si="0"/>
        <v>6.5897858319604666E-3</v>
      </c>
      <c r="Y24">
        <v>148500</v>
      </c>
      <c r="Z24">
        <v>12600000</v>
      </c>
      <c r="AA24">
        <v>899910</v>
      </c>
      <c r="AB24">
        <v>67783446</v>
      </c>
      <c r="AC24">
        <v>2.1908003909981207E-3</v>
      </c>
      <c r="AD24">
        <v>72051.89</v>
      </c>
      <c r="AE24">
        <v>0.21640000000000001</v>
      </c>
      <c r="AF24">
        <v>131800000</v>
      </c>
      <c r="AG24">
        <v>2790000</v>
      </c>
      <c r="AH24">
        <v>290000</v>
      </c>
      <c r="AI24">
        <v>8210000</v>
      </c>
      <c r="AJ24">
        <v>8550000</v>
      </c>
      <c r="AK24">
        <v>9.0934716312148951E-9</v>
      </c>
      <c r="AL24">
        <v>6.4871016691957509E-2</v>
      </c>
    </row>
    <row r="25" spans="21:38">
      <c r="U25">
        <v>0.23082650781831718</v>
      </c>
      <c r="V25">
        <v>6.27</v>
      </c>
      <c r="W25">
        <v>6.1</v>
      </c>
      <c r="X25">
        <f t="shared" si="0"/>
        <v>2.7485852869846394E-2</v>
      </c>
      <c r="Y25">
        <v>886500</v>
      </c>
      <c r="Z25">
        <v>12600000</v>
      </c>
      <c r="AA25">
        <v>5416515</v>
      </c>
      <c r="AB25">
        <v>67783446</v>
      </c>
      <c r="AC25">
        <v>1.3078414455352417E-2</v>
      </c>
      <c r="AD25">
        <v>71359.41</v>
      </c>
      <c r="AE25">
        <v>0.21640000000000001</v>
      </c>
      <c r="AF25">
        <v>131800000</v>
      </c>
      <c r="AG25">
        <v>2790000</v>
      </c>
      <c r="AH25">
        <v>290000</v>
      </c>
      <c r="AI25">
        <v>8210000</v>
      </c>
      <c r="AJ25">
        <v>8550000</v>
      </c>
      <c r="AK25">
        <v>2.2079979800063974E-8</v>
      </c>
      <c r="AL25">
        <v>6.4871016691957509E-2</v>
      </c>
    </row>
    <row r="26" spans="21:38">
      <c r="U26">
        <v>0.18754925137903866</v>
      </c>
      <c r="V26">
        <v>6.27</v>
      </c>
      <c r="W26">
        <v>6.94</v>
      </c>
      <c r="X26">
        <f t="shared" si="0"/>
        <v>-0.10143830431491306</v>
      </c>
      <c r="Y26">
        <v>771000</v>
      </c>
      <c r="Z26">
        <v>12600000</v>
      </c>
      <c r="AA26">
        <v>5350740</v>
      </c>
      <c r="AB26">
        <v>67783446</v>
      </c>
      <c r="AC26">
        <v>1.1374458595687212E-2</v>
      </c>
      <c r="AD26">
        <v>71433.460000000006</v>
      </c>
      <c r="AE26">
        <v>0.21640000000000001</v>
      </c>
      <c r="AF26">
        <v>131800000</v>
      </c>
      <c r="AG26">
        <v>2790000</v>
      </c>
      <c r="AH26">
        <v>290000</v>
      </c>
      <c r="AI26">
        <v>8210000</v>
      </c>
      <c r="AJ26">
        <v>8550000</v>
      </c>
      <c r="AK26">
        <v>3.1462969299604979E-8</v>
      </c>
      <c r="AL26">
        <v>6.4871016691957509E-2</v>
      </c>
    </row>
    <row r="27" spans="21:38">
      <c r="U27">
        <v>7.5313807531380783E-2</v>
      </c>
      <c r="V27">
        <v>5.99</v>
      </c>
      <c r="W27">
        <v>5.81</v>
      </c>
      <c r="X27">
        <f t="shared" si="0"/>
        <v>3.0508474576271288E-2</v>
      </c>
      <c r="Y27">
        <v>137500</v>
      </c>
      <c r="Z27">
        <v>12600000</v>
      </c>
      <c r="AA27">
        <v>816750</v>
      </c>
      <c r="AB27">
        <v>67783446</v>
      </c>
      <c r="AC27">
        <v>2.0285188805538156E-3</v>
      </c>
      <c r="AD27">
        <v>70909.899999999994</v>
      </c>
      <c r="AE27">
        <v>0.21640000000000001</v>
      </c>
      <c r="AF27">
        <v>131800000</v>
      </c>
      <c r="AG27">
        <v>2790000</v>
      </c>
      <c r="AH27">
        <v>290000</v>
      </c>
      <c r="AI27">
        <v>8210000</v>
      </c>
      <c r="AJ27">
        <v>8550000</v>
      </c>
      <c r="AK27">
        <v>4.5640829492310167E-8</v>
      </c>
      <c r="AL27">
        <v>6.4871016691957509E-2</v>
      </c>
    </row>
    <row r="28" spans="21:38">
      <c r="U28">
        <v>0.15873015873015872</v>
      </c>
      <c r="V28">
        <v>6</v>
      </c>
      <c r="W28">
        <v>5.95</v>
      </c>
      <c r="X28">
        <f t="shared" si="0"/>
        <v>8.3682008368200552E-3</v>
      </c>
      <c r="Y28">
        <v>1217000</v>
      </c>
      <c r="Z28">
        <v>12600000</v>
      </c>
      <c r="AA28">
        <v>7508890</v>
      </c>
      <c r="AB28">
        <v>67783446</v>
      </c>
      <c r="AC28">
        <v>1.7954236200974496E-2</v>
      </c>
      <c r="AD28">
        <v>70290.12</v>
      </c>
      <c r="AE28">
        <v>0.21640000000000001</v>
      </c>
      <c r="AF28">
        <v>131800000</v>
      </c>
      <c r="AG28">
        <v>2790000</v>
      </c>
      <c r="AH28">
        <v>290000</v>
      </c>
      <c r="AI28">
        <v>8210000</v>
      </c>
      <c r="AJ28">
        <v>8550000</v>
      </c>
      <c r="AK28">
        <v>8.4956769173973619E-9</v>
      </c>
      <c r="AL28">
        <v>6.4871016691957509E-2</v>
      </c>
    </row>
    <row r="29" spans="21:38">
      <c r="U29">
        <v>3.2506415739948738E-2</v>
      </c>
      <c r="V29">
        <v>5.76</v>
      </c>
      <c r="W29">
        <v>5.7</v>
      </c>
      <c r="X29">
        <f t="shared" si="0"/>
        <v>1.0471204188481607E-2</v>
      </c>
      <c r="Y29">
        <v>8500</v>
      </c>
      <c r="Z29">
        <v>12600000</v>
      </c>
      <c r="AA29">
        <v>49300</v>
      </c>
      <c r="AB29">
        <v>67783446</v>
      </c>
      <c r="AC29">
        <v>1.2539934897969041E-4</v>
      </c>
      <c r="AD29">
        <v>70333.320000000007</v>
      </c>
      <c r="AE29">
        <v>0.21640000000000001</v>
      </c>
      <c r="AF29">
        <v>131800000</v>
      </c>
      <c r="AG29">
        <v>2790000</v>
      </c>
      <c r="AH29">
        <v>290000</v>
      </c>
      <c r="AI29">
        <v>8210000</v>
      </c>
      <c r="AJ29">
        <v>8550000</v>
      </c>
      <c r="AK29">
        <v>2.0768575760303117E-7</v>
      </c>
      <c r="AL29">
        <v>6.4871016691957509E-2</v>
      </c>
    </row>
    <row r="30" spans="21:38">
      <c r="U30">
        <v>7.0175438596491294E-2</v>
      </c>
      <c r="V30">
        <v>5.9</v>
      </c>
      <c r="W30">
        <v>5.8</v>
      </c>
      <c r="X30">
        <f t="shared" si="0"/>
        <v>1.7094017094017186E-2</v>
      </c>
      <c r="Y30">
        <v>101000</v>
      </c>
      <c r="Z30">
        <v>12600000</v>
      </c>
      <c r="AA30">
        <v>591860</v>
      </c>
      <c r="AB30">
        <v>67783446</v>
      </c>
      <c r="AC30">
        <v>1.4900393231704391E-3</v>
      </c>
      <c r="AD30">
        <v>70483.66</v>
      </c>
      <c r="AE30">
        <v>0.216</v>
      </c>
      <c r="AF30">
        <v>131800000</v>
      </c>
      <c r="AG30">
        <v>2790000</v>
      </c>
      <c r="AH30">
        <v>290000</v>
      </c>
      <c r="AI30">
        <v>8210000</v>
      </c>
      <c r="AJ30">
        <v>8550000</v>
      </c>
      <c r="AK30">
        <v>3.2322567469686667E-8</v>
      </c>
      <c r="AL30">
        <v>6.4871016691957509E-2</v>
      </c>
    </row>
    <row r="31" spans="21:38">
      <c r="U31">
        <v>7.1866783523225258E-2</v>
      </c>
      <c r="V31">
        <v>5.84</v>
      </c>
      <c r="W31">
        <v>5.7</v>
      </c>
      <c r="X31">
        <f t="shared" si="0"/>
        <v>2.4263431542460953E-2</v>
      </c>
      <c r="Y31">
        <v>20500</v>
      </c>
      <c r="Z31">
        <v>12600000</v>
      </c>
      <c r="AA31">
        <v>117875</v>
      </c>
      <c r="AB31">
        <v>67783446</v>
      </c>
      <c r="AC31">
        <v>3.0243372400984156E-4</v>
      </c>
      <c r="AD31">
        <v>70544.58</v>
      </c>
      <c r="AE31">
        <v>0.216</v>
      </c>
      <c r="AF31">
        <v>131800000</v>
      </c>
      <c r="AG31">
        <v>2790000</v>
      </c>
      <c r="AH31">
        <v>290000</v>
      </c>
      <c r="AI31">
        <v>8210000</v>
      </c>
      <c r="AJ31">
        <v>8550000</v>
      </c>
      <c r="AK31">
        <v>2.961104047644101E-8</v>
      </c>
      <c r="AL31">
        <v>6.4871016691957509E-2</v>
      </c>
    </row>
    <row r="32" spans="21:38">
      <c r="U32">
        <v>0.10097431355181567</v>
      </c>
      <c r="V32">
        <v>5.85</v>
      </c>
      <c r="W32">
        <v>5.6</v>
      </c>
      <c r="X32">
        <f t="shared" si="0"/>
        <v>4.3668122270742363E-2</v>
      </c>
      <c r="Y32">
        <v>55000</v>
      </c>
      <c r="Z32">
        <v>12600000</v>
      </c>
      <c r="AA32">
        <v>315150</v>
      </c>
      <c r="AB32">
        <v>67783446</v>
      </c>
      <c r="AC32">
        <v>8.114075522215262E-4</v>
      </c>
      <c r="AD32">
        <v>70314.720000000001</v>
      </c>
      <c r="AE32">
        <v>0.216</v>
      </c>
      <c r="AF32">
        <v>131800000</v>
      </c>
      <c r="AG32">
        <v>2790000</v>
      </c>
      <c r="AH32">
        <v>290000</v>
      </c>
      <c r="AI32">
        <v>8210000</v>
      </c>
      <c r="AJ32">
        <v>8550000</v>
      </c>
      <c r="AK32">
        <v>5.6360429455200665E-8</v>
      </c>
      <c r="AL32">
        <v>6.4871016691957509E-2</v>
      </c>
    </row>
    <row r="33" spans="21:38">
      <c r="U33">
        <v>5.1282051282051294E-2</v>
      </c>
      <c r="V33">
        <v>5.77</v>
      </c>
      <c r="W33">
        <v>5.7</v>
      </c>
      <c r="X33">
        <f t="shared" si="0"/>
        <v>1.2205754141237908E-2</v>
      </c>
      <c r="Y33">
        <v>38500</v>
      </c>
      <c r="Z33">
        <v>12600000</v>
      </c>
      <c r="AA33">
        <v>216755</v>
      </c>
      <c r="AB33">
        <v>67783446</v>
      </c>
      <c r="AC33">
        <v>5.6798528655506832E-4</v>
      </c>
      <c r="AD33">
        <v>69619.990000000005</v>
      </c>
      <c r="AE33">
        <v>0.216</v>
      </c>
      <c r="AF33">
        <v>131800000</v>
      </c>
      <c r="AG33">
        <v>2790000</v>
      </c>
      <c r="AH33">
        <v>290000</v>
      </c>
      <c r="AI33">
        <v>8210000</v>
      </c>
      <c r="AJ33">
        <v>8550000</v>
      </c>
      <c r="AK33">
        <v>1.6589653807104352E-7</v>
      </c>
      <c r="AL33">
        <v>6.4871016691957509E-2</v>
      </c>
    </row>
    <row r="34" spans="21:38">
      <c r="U34">
        <v>5.3866203301477067E-2</v>
      </c>
      <c r="V34">
        <v>5.91</v>
      </c>
      <c r="W34">
        <v>5.7</v>
      </c>
      <c r="X34">
        <f t="shared" si="0"/>
        <v>3.6175710594315243E-2</v>
      </c>
      <c r="Y34">
        <v>31000</v>
      </c>
      <c r="Z34">
        <v>12600000</v>
      </c>
      <c r="AA34">
        <v>181040</v>
      </c>
      <c r="AB34">
        <v>67783446</v>
      </c>
      <c r="AC34">
        <v>4.5733880216122384E-4</v>
      </c>
      <c r="AD34">
        <v>68416.78</v>
      </c>
      <c r="AE34">
        <v>0.216</v>
      </c>
      <c r="AF34">
        <v>131800000</v>
      </c>
      <c r="AG34">
        <v>2790000</v>
      </c>
      <c r="AH34">
        <v>290000</v>
      </c>
      <c r="AI34">
        <v>8210000</v>
      </c>
      <c r="AJ34">
        <v>8550000</v>
      </c>
      <c r="AK34">
        <v>6.701124486981083E-8</v>
      </c>
      <c r="AL34">
        <v>6.4871016691957509E-2</v>
      </c>
    </row>
    <row r="35" spans="21:38">
      <c r="U35">
        <v>5.047867711053091E-2</v>
      </c>
      <c r="V35">
        <v>5.84</v>
      </c>
      <c r="W35">
        <v>5.77</v>
      </c>
      <c r="X35">
        <f t="shared" si="0"/>
        <v>1.2058570198105131E-2</v>
      </c>
      <c r="Y35">
        <v>42000</v>
      </c>
      <c r="Z35">
        <v>12600000</v>
      </c>
      <c r="AA35">
        <v>242339.99999999997</v>
      </c>
      <c r="AB35">
        <v>67783446</v>
      </c>
      <c r="AC35">
        <v>6.1962031260552912E-4</v>
      </c>
      <c r="AD35">
        <v>67756.039999999994</v>
      </c>
      <c r="AE35">
        <v>0.216</v>
      </c>
      <c r="AF35">
        <v>131800000</v>
      </c>
      <c r="AG35">
        <v>2790000</v>
      </c>
      <c r="AH35">
        <v>290000</v>
      </c>
      <c r="AI35">
        <v>8210000</v>
      </c>
      <c r="AJ35">
        <v>8550000</v>
      </c>
      <c r="AK35">
        <v>7.0297000609756557E-8</v>
      </c>
      <c r="AL35">
        <v>6.4871016691957509E-2</v>
      </c>
    </row>
    <row r="36" spans="21:38">
      <c r="U36">
        <v>9.2691622103386898E-2</v>
      </c>
      <c r="V36">
        <v>5.84</v>
      </c>
      <c r="W36">
        <v>5.6</v>
      </c>
      <c r="X36">
        <f t="shared" si="0"/>
        <v>4.1958041958041994E-2</v>
      </c>
      <c r="Y36">
        <v>15500</v>
      </c>
      <c r="Z36">
        <v>12600000</v>
      </c>
      <c r="AA36">
        <v>90985</v>
      </c>
      <c r="AB36">
        <v>67783446</v>
      </c>
      <c r="AC36">
        <v>2.2866940108061192E-4</v>
      </c>
      <c r="AD36">
        <v>66886.259999999995</v>
      </c>
      <c r="AE36">
        <v>0.216</v>
      </c>
      <c r="AF36">
        <v>131800000</v>
      </c>
      <c r="AG36">
        <v>2790000</v>
      </c>
      <c r="AH36">
        <v>290000</v>
      </c>
      <c r="AI36">
        <v>8210000</v>
      </c>
      <c r="AJ36">
        <v>8550000</v>
      </c>
      <c r="AK36">
        <v>4.279612364383699E-7</v>
      </c>
      <c r="AL36">
        <v>6.4871016691957509E-2</v>
      </c>
    </row>
    <row r="37" spans="21:38">
      <c r="U37">
        <v>6.8481123792800649E-2</v>
      </c>
      <c r="V37">
        <v>5.7</v>
      </c>
      <c r="W37">
        <v>5.58</v>
      </c>
      <c r="X37">
        <f t="shared" si="0"/>
        <v>2.1276595744680868E-2</v>
      </c>
      <c r="Y37">
        <v>12500</v>
      </c>
      <c r="Z37">
        <v>12600000</v>
      </c>
      <c r="AA37">
        <v>70625</v>
      </c>
      <c r="AB37">
        <v>67783446</v>
      </c>
      <c r="AC37">
        <v>1.8441080732307412E-4</v>
      </c>
      <c r="AD37">
        <v>66796.320000000007</v>
      </c>
      <c r="AE37">
        <v>0.216</v>
      </c>
      <c r="AF37">
        <v>131800000</v>
      </c>
      <c r="AG37">
        <v>2790000</v>
      </c>
      <c r="AH37">
        <v>290000</v>
      </c>
      <c r="AI37">
        <v>8210000</v>
      </c>
      <c r="AJ37">
        <v>8550000</v>
      </c>
      <c r="AK37">
        <v>7.4784993144707379E-8</v>
      </c>
      <c r="AL37">
        <v>6.4871016691957509E-2</v>
      </c>
    </row>
    <row r="38" spans="21:38">
      <c r="U38">
        <v>6.2827225130890105E-2</v>
      </c>
      <c r="V38">
        <v>5.83</v>
      </c>
      <c r="W38">
        <v>5.6</v>
      </c>
      <c r="X38">
        <f t="shared" si="0"/>
        <v>4.0244969378827725E-2</v>
      </c>
      <c r="Y38">
        <v>75000</v>
      </c>
      <c r="Z38">
        <v>12600000</v>
      </c>
      <c r="AA38">
        <v>426000</v>
      </c>
      <c r="AB38">
        <v>67783446</v>
      </c>
      <c r="AC38">
        <v>1.1064648439384449E-3</v>
      </c>
      <c r="AD38">
        <v>67005.11</v>
      </c>
      <c r="AE38">
        <v>0.216</v>
      </c>
      <c r="AF38">
        <v>131800000</v>
      </c>
      <c r="AG38">
        <v>2790000</v>
      </c>
      <c r="AH38">
        <v>290000</v>
      </c>
      <c r="AI38">
        <v>8210000</v>
      </c>
      <c r="AJ38">
        <v>8550000</v>
      </c>
      <c r="AK38">
        <v>8.3694014682321428E-8</v>
      </c>
      <c r="AL38">
        <v>6.4871016691957509E-2</v>
      </c>
    </row>
    <row r="39" spans="21:38">
      <c r="U39">
        <v>2.0477815699658723E-2</v>
      </c>
      <c r="V39">
        <v>5.9</v>
      </c>
      <c r="W39">
        <v>5.76</v>
      </c>
      <c r="X39">
        <f t="shared" si="0"/>
        <v>2.401372212692977E-2</v>
      </c>
      <c r="Y39">
        <v>49500</v>
      </c>
      <c r="Z39">
        <v>12600000</v>
      </c>
      <c r="AA39">
        <v>291555</v>
      </c>
      <c r="AB39">
        <v>67783446</v>
      </c>
      <c r="AC39">
        <v>7.3026679699937354E-4</v>
      </c>
      <c r="AD39">
        <v>67142.12</v>
      </c>
      <c r="AE39">
        <v>0.216</v>
      </c>
      <c r="AF39">
        <v>131800000</v>
      </c>
      <c r="AG39">
        <v>2790000</v>
      </c>
      <c r="AH39">
        <v>290000</v>
      </c>
      <c r="AI39">
        <v>8210000</v>
      </c>
      <c r="AJ39">
        <v>8550000</v>
      </c>
      <c r="AK39">
        <v>7.7410589578105077E-8</v>
      </c>
      <c r="AL39">
        <v>6.4871016691957509E-2</v>
      </c>
    </row>
    <row r="40" spans="21:38">
      <c r="U40">
        <v>6.5517241379310323E-2</v>
      </c>
      <c r="V40">
        <v>5.82</v>
      </c>
      <c r="W40">
        <v>5.72</v>
      </c>
      <c r="X40">
        <f t="shared" si="0"/>
        <v>1.7331022530329383E-2</v>
      </c>
      <c r="Y40">
        <v>65500</v>
      </c>
      <c r="Z40">
        <v>12600000</v>
      </c>
      <c r="AA40">
        <v>377280</v>
      </c>
      <c r="AB40">
        <v>67783446</v>
      </c>
      <c r="AC40">
        <v>9.6631263037290848E-4</v>
      </c>
      <c r="AD40">
        <v>66547.789999999994</v>
      </c>
      <c r="AE40">
        <v>0.216</v>
      </c>
      <c r="AF40">
        <v>131800000</v>
      </c>
      <c r="AG40">
        <v>2790000</v>
      </c>
      <c r="AH40">
        <v>290000</v>
      </c>
      <c r="AI40">
        <v>8210000</v>
      </c>
      <c r="AJ40">
        <v>8550000</v>
      </c>
      <c r="AK40">
        <v>6.7272876006940558E-8</v>
      </c>
      <c r="AL40">
        <v>6.4871016691957509E-2</v>
      </c>
    </row>
    <row r="41" spans="21:38">
      <c r="U41">
        <v>7.3578595317725815E-2</v>
      </c>
      <c r="V41">
        <v>5.98</v>
      </c>
      <c r="W41">
        <v>5.9</v>
      </c>
      <c r="X41">
        <f t="shared" si="0"/>
        <v>1.346801346801348E-2</v>
      </c>
      <c r="Y41">
        <v>223500</v>
      </c>
      <c r="Z41">
        <v>12600000</v>
      </c>
      <c r="AA41">
        <v>1320885</v>
      </c>
      <c r="AB41">
        <v>67783446</v>
      </c>
      <c r="AC41">
        <v>3.2972652349365656E-3</v>
      </c>
      <c r="AD41">
        <v>65906.28</v>
      </c>
      <c r="AE41">
        <v>0.216</v>
      </c>
      <c r="AF41">
        <v>131800000</v>
      </c>
      <c r="AG41">
        <v>2790000</v>
      </c>
      <c r="AH41">
        <v>290000</v>
      </c>
      <c r="AI41">
        <v>8210000</v>
      </c>
      <c r="AJ41">
        <v>8550000</v>
      </c>
      <c r="AK41">
        <v>1.7518933039415651E-8</v>
      </c>
      <c r="AL41">
        <v>6.4871016691957509E-2</v>
      </c>
    </row>
    <row r="42" spans="21:38">
      <c r="U42">
        <v>0.15568862275449105</v>
      </c>
      <c r="V42">
        <v>6.1</v>
      </c>
      <c r="W42">
        <v>6</v>
      </c>
      <c r="X42">
        <f t="shared" si="0"/>
        <v>1.6528925619834652E-2</v>
      </c>
      <c r="Y42">
        <v>887000</v>
      </c>
      <c r="Z42">
        <v>12600000</v>
      </c>
      <c r="AA42">
        <v>5366350</v>
      </c>
      <c r="AB42">
        <v>67783446</v>
      </c>
      <c r="AC42">
        <v>1.3085790887645341E-2</v>
      </c>
      <c r="AD42">
        <v>65525.65</v>
      </c>
      <c r="AE42">
        <v>0.216</v>
      </c>
      <c r="AF42">
        <v>131800000</v>
      </c>
      <c r="AG42">
        <v>2790000</v>
      </c>
      <c r="AH42">
        <v>290000</v>
      </c>
      <c r="AI42">
        <v>8210000</v>
      </c>
      <c r="AJ42">
        <v>8550000</v>
      </c>
      <c r="AK42">
        <v>0</v>
      </c>
      <c r="AL42">
        <v>6.4871016691957509E-2</v>
      </c>
    </row>
    <row r="43" spans="21:38">
      <c r="U43">
        <v>2.5766871165644276E-2</v>
      </c>
      <c r="V43">
        <v>32.81</v>
      </c>
      <c r="W43">
        <v>32.78</v>
      </c>
      <c r="X43">
        <f t="shared" si="0"/>
        <v>9.147735935356345E-4</v>
      </c>
      <c r="Y43">
        <v>1685863</v>
      </c>
      <c r="Z43">
        <v>880300000</v>
      </c>
      <c r="AA43">
        <v>55330023.660000004</v>
      </c>
      <c r="AB43">
        <v>456360000</v>
      </c>
      <c r="AC43">
        <v>3.6941515470242793E-3</v>
      </c>
      <c r="AD43">
        <v>75983.039999999994</v>
      </c>
      <c r="AE43">
        <v>0.2157</v>
      </c>
      <c r="AF43">
        <v>87356000000</v>
      </c>
      <c r="AG43">
        <v>25906000000</v>
      </c>
      <c r="AH43">
        <v>314300000</v>
      </c>
      <c r="AI43">
        <v>1615700000</v>
      </c>
      <c r="AJ43">
        <v>14261820000</v>
      </c>
      <c r="AK43">
        <v>1.3872712761642406E-10</v>
      </c>
      <c r="AL43">
        <v>0.16326090938229773</v>
      </c>
    </row>
    <row r="44" spans="21:38">
      <c r="U44">
        <v>2.3166023166023165E-2</v>
      </c>
      <c r="V44">
        <v>32.520000000000003</v>
      </c>
      <c r="W44">
        <v>32.5</v>
      </c>
      <c r="X44">
        <f t="shared" si="0"/>
        <v>6.1519532451562978E-4</v>
      </c>
      <c r="Y44">
        <v>1009125</v>
      </c>
      <c r="Z44">
        <v>880300000</v>
      </c>
      <c r="AA44">
        <v>32867201.25</v>
      </c>
      <c r="AB44">
        <v>456360000</v>
      </c>
      <c r="AC44">
        <v>2.2112476991848541E-3</v>
      </c>
      <c r="AD44">
        <v>75114.47</v>
      </c>
      <c r="AE44">
        <v>0.2157</v>
      </c>
      <c r="AF44">
        <v>87356000000</v>
      </c>
      <c r="AG44">
        <v>25906000000</v>
      </c>
      <c r="AH44">
        <v>314300000</v>
      </c>
      <c r="AI44">
        <v>1615700000</v>
      </c>
      <c r="AJ44">
        <v>14261820000</v>
      </c>
      <c r="AK44">
        <v>1.596398044462933E-10</v>
      </c>
      <c r="AL44">
        <v>0.16326090938229773</v>
      </c>
    </row>
    <row r="45" spans="21:38">
      <c r="U45">
        <v>2.907516238787497E-2</v>
      </c>
      <c r="V45">
        <v>32.299999999999997</v>
      </c>
      <c r="W45">
        <v>32.21</v>
      </c>
      <c r="X45">
        <f t="shared" si="0"/>
        <v>2.7902650751820282E-3</v>
      </c>
      <c r="Y45">
        <v>3123401</v>
      </c>
      <c r="Z45">
        <v>880300000</v>
      </c>
      <c r="AA45">
        <v>101198192.39999999</v>
      </c>
      <c r="AB45">
        <v>456360000</v>
      </c>
      <c r="AC45">
        <v>6.8441603120343586E-3</v>
      </c>
      <c r="AD45">
        <v>74956.67</v>
      </c>
      <c r="AE45">
        <v>0.2157</v>
      </c>
      <c r="AF45">
        <v>87356000000</v>
      </c>
      <c r="AG45">
        <v>25906000000</v>
      </c>
      <c r="AH45">
        <v>314300000</v>
      </c>
      <c r="AI45">
        <v>1615700000</v>
      </c>
      <c r="AJ45">
        <v>14261820000</v>
      </c>
      <c r="AK45">
        <v>1.7063986451080447E-10</v>
      </c>
      <c r="AL45">
        <v>0.16326090938229773</v>
      </c>
    </row>
    <row r="46" spans="21:38">
      <c r="U46">
        <v>2.0849540998910787E-2</v>
      </c>
      <c r="V46">
        <v>31.95</v>
      </c>
      <c r="W46">
        <v>31.9</v>
      </c>
      <c r="X46">
        <f t="shared" si="0"/>
        <v>1.5661707126076966E-3</v>
      </c>
      <c r="Y46">
        <v>1287675</v>
      </c>
      <c r="Z46">
        <v>880300000</v>
      </c>
      <c r="AA46">
        <v>41012448.75</v>
      </c>
      <c r="AB46">
        <v>456360000</v>
      </c>
      <c r="AC46">
        <v>2.8216210886142521E-3</v>
      </c>
      <c r="AD46">
        <v>75206.77</v>
      </c>
      <c r="AE46">
        <v>0.2157</v>
      </c>
      <c r="AF46">
        <v>87356000000</v>
      </c>
      <c r="AG46">
        <v>25906000000</v>
      </c>
      <c r="AH46">
        <v>314300000</v>
      </c>
      <c r="AI46">
        <v>1615700000</v>
      </c>
      <c r="AJ46">
        <v>14261820000</v>
      </c>
      <c r="AK46">
        <v>2.1248662821897712E-10</v>
      </c>
      <c r="AL46">
        <v>0.16326090938229773</v>
      </c>
    </row>
    <row r="47" spans="21:38">
      <c r="U47">
        <v>2.4306637581801113E-2</v>
      </c>
      <c r="V47">
        <v>32.14</v>
      </c>
      <c r="W47">
        <v>32</v>
      </c>
      <c r="X47">
        <f t="shared" si="0"/>
        <v>4.3654505768631292E-3</v>
      </c>
      <c r="Y47">
        <v>1075113</v>
      </c>
      <c r="Z47">
        <v>880300000</v>
      </c>
      <c r="AA47">
        <v>34543380.690000005</v>
      </c>
      <c r="AB47">
        <v>456360000</v>
      </c>
      <c r="AC47">
        <v>2.3558440704706811E-3</v>
      </c>
      <c r="AD47">
        <v>75084</v>
      </c>
      <c r="AE47">
        <v>0.2157</v>
      </c>
      <c r="AF47">
        <v>87356000000</v>
      </c>
      <c r="AG47">
        <v>25906000000</v>
      </c>
      <c r="AH47">
        <v>314300000</v>
      </c>
      <c r="AI47">
        <v>1615700000</v>
      </c>
      <c r="AJ47">
        <v>14261820000</v>
      </c>
      <c r="AK47">
        <v>2.7055239544719028E-11</v>
      </c>
      <c r="AL47">
        <v>0.16326090938229773</v>
      </c>
    </row>
    <row r="48" spans="21:38">
      <c r="U48">
        <v>8.7091757387247632E-3</v>
      </c>
      <c r="V48">
        <v>32.15</v>
      </c>
      <c r="W48">
        <v>32.07</v>
      </c>
      <c r="X48">
        <f t="shared" si="0"/>
        <v>2.4914356898162035E-3</v>
      </c>
      <c r="Y48">
        <v>427400</v>
      </c>
      <c r="Z48">
        <v>880300000</v>
      </c>
      <c r="AA48">
        <v>13719540</v>
      </c>
      <c r="AB48">
        <v>456360000</v>
      </c>
      <c r="AC48">
        <v>9.3654132702252607E-4</v>
      </c>
      <c r="AD48">
        <v>75342.350000000006</v>
      </c>
      <c r="AE48">
        <v>0.2157</v>
      </c>
      <c r="AF48">
        <v>87356000000</v>
      </c>
      <c r="AG48">
        <v>25906000000</v>
      </c>
      <c r="AH48">
        <v>314300000</v>
      </c>
      <c r="AI48">
        <v>1615700000</v>
      </c>
      <c r="AJ48">
        <v>14261820000</v>
      </c>
      <c r="AK48">
        <v>2.2777731614908696E-10</v>
      </c>
      <c r="AL48">
        <v>0.16326090938229773</v>
      </c>
    </row>
    <row r="49" spans="21:38">
      <c r="U49">
        <v>2.4922118380062325E-2</v>
      </c>
      <c r="V49">
        <v>32.06</v>
      </c>
      <c r="W49">
        <v>32.01</v>
      </c>
      <c r="X49">
        <f t="shared" si="0"/>
        <v>1.5607928827845877E-3</v>
      </c>
      <c r="Y49">
        <v>1061690</v>
      </c>
      <c r="Z49">
        <v>880300000</v>
      </c>
      <c r="AA49">
        <v>33974080</v>
      </c>
      <c r="AB49">
        <v>456360000</v>
      </c>
      <c r="AC49">
        <v>2.326430887895521E-3</v>
      </c>
      <c r="AD49">
        <v>74930.7</v>
      </c>
      <c r="AE49">
        <v>0.2157</v>
      </c>
      <c r="AF49">
        <v>87356000000</v>
      </c>
      <c r="AG49">
        <v>25906000000</v>
      </c>
      <c r="AH49">
        <v>314300000</v>
      </c>
      <c r="AI49">
        <v>1615700000</v>
      </c>
      <c r="AJ49">
        <v>14261820000</v>
      </c>
      <c r="AK49">
        <v>6.4246781323631566E-11</v>
      </c>
      <c r="AL49">
        <v>0.16326090938229773</v>
      </c>
    </row>
    <row r="50" spans="21:38">
      <c r="U50">
        <v>2.0108275328692915E-2</v>
      </c>
      <c r="V50">
        <v>32.1</v>
      </c>
      <c r="W50">
        <v>32.07</v>
      </c>
      <c r="X50">
        <f t="shared" si="0"/>
        <v>9.3501636278638415E-4</v>
      </c>
      <c r="Y50">
        <v>570346</v>
      </c>
      <c r="Z50">
        <v>880300000</v>
      </c>
      <c r="AA50">
        <v>18290996.219999999</v>
      </c>
      <c r="AB50">
        <v>456360000</v>
      </c>
      <c r="AC50">
        <v>1.2497721097379261E-3</v>
      </c>
      <c r="AD50">
        <v>74663.98</v>
      </c>
      <c r="AE50">
        <v>0.2157</v>
      </c>
      <c r="AF50">
        <v>87356000000</v>
      </c>
      <c r="AG50">
        <v>25906000000</v>
      </c>
      <c r="AH50">
        <v>314300000</v>
      </c>
      <c r="AI50">
        <v>1615700000</v>
      </c>
      <c r="AJ50">
        <v>14261820000</v>
      </c>
      <c r="AK50">
        <v>8.8883451268115112E-10</v>
      </c>
      <c r="AL50">
        <v>0.16326090938229773</v>
      </c>
    </row>
    <row r="51" spans="21:38">
      <c r="U51">
        <v>4.5763760049474231E-2</v>
      </c>
      <c r="V51">
        <v>32.619999999999997</v>
      </c>
      <c r="W51">
        <v>32.6</v>
      </c>
      <c r="X51">
        <f t="shared" si="0"/>
        <v>6.1330880098117203E-4</v>
      </c>
      <c r="Y51">
        <v>2489638</v>
      </c>
      <c r="Z51">
        <v>880300000</v>
      </c>
      <c r="AA51">
        <v>81162198.799999997</v>
      </c>
      <c r="AB51">
        <v>456360000</v>
      </c>
      <c r="AC51">
        <v>5.4554255412393726E-3</v>
      </c>
      <c r="AD51">
        <v>74531.19</v>
      </c>
      <c r="AE51">
        <v>0.21590000000000001</v>
      </c>
      <c r="AF51">
        <v>87356000000</v>
      </c>
      <c r="AG51">
        <v>25906000000</v>
      </c>
      <c r="AH51">
        <v>314300000</v>
      </c>
      <c r="AI51">
        <v>1615700000</v>
      </c>
      <c r="AJ51">
        <v>14261820000</v>
      </c>
      <c r="AK51">
        <v>3.0161583253663877E-11</v>
      </c>
      <c r="AL51">
        <v>0.16326090938229773</v>
      </c>
    </row>
    <row r="52" spans="21:38">
      <c r="U52">
        <v>2.9995455234055512E-2</v>
      </c>
      <c r="V52">
        <v>32.89</v>
      </c>
      <c r="W52">
        <v>32.76</v>
      </c>
      <c r="X52">
        <f t="shared" si="0"/>
        <v>3.9603960396040376E-3</v>
      </c>
      <c r="Y52">
        <v>3100234</v>
      </c>
      <c r="Z52">
        <v>880300000</v>
      </c>
      <c r="AA52">
        <v>101315647.12</v>
      </c>
      <c r="AB52">
        <v>456360000</v>
      </c>
      <c r="AC52">
        <v>6.7933955649048996E-3</v>
      </c>
      <c r="AD52">
        <v>73799.11</v>
      </c>
      <c r="AE52">
        <v>0.21590000000000001</v>
      </c>
      <c r="AF52">
        <v>87356000000</v>
      </c>
      <c r="AG52">
        <v>25906000000</v>
      </c>
      <c r="AH52">
        <v>314300000</v>
      </c>
      <c r="AI52">
        <v>1615700000</v>
      </c>
      <c r="AJ52">
        <v>14261820000</v>
      </c>
      <c r="AK52">
        <v>6.6000961167086655E-11</v>
      </c>
      <c r="AL52">
        <v>0.16326090938229773</v>
      </c>
    </row>
    <row r="53" spans="21:38">
      <c r="U53">
        <v>2.1421028812792304E-2</v>
      </c>
      <c r="V53">
        <v>32.89</v>
      </c>
      <c r="W53">
        <v>32.83</v>
      </c>
      <c r="X53">
        <f t="shared" si="0"/>
        <v>1.8259281801583163E-3</v>
      </c>
      <c r="Y53">
        <v>3602625</v>
      </c>
      <c r="Z53">
        <v>880300000</v>
      </c>
      <c r="AA53">
        <v>118526362.5</v>
      </c>
      <c r="AB53">
        <v>456360000</v>
      </c>
      <c r="AC53">
        <v>7.8942611096502763E-3</v>
      </c>
      <c r="AD53">
        <v>73085.5</v>
      </c>
      <c r="AE53">
        <v>0.21590000000000001</v>
      </c>
      <c r="AF53">
        <v>87356000000</v>
      </c>
      <c r="AG53">
        <v>25906000000</v>
      </c>
      <c r="AH53">
        <v>314300000</v>
      </c>
      <c r="AI53">
        <v>1615700000</v>
      </c>
      <c r="AJ53">
        <v>14261820000</v>
      </c>
      <c r="AK53">
        <v>1.0634800352374581E-10</v>
      </c>
      <c r="AL53">
        <v>0.16326090938229773</v>
      </c>
    </row>
    <row r="54" spans="21:38">
      <c r="U54">
        <v>3.1486527399333913E-2</v>
      </c>
      <c r="V54">
        <v>33.450000000000003</v>
      </c>
      <c r="W54">
        <v>33.299999999999997</v>
      </c>
      <c r="X54">
        <f t="shared" si="0"/>
        <v>4.4943820224720805E-3</v>
      </c>
      <c r="Y54">
        <v>5108525</v>
      </c>
      <c r="Z54">
        <v>880300000</v>
      </c>
      <c r="AA54">
        <v>170216053</v>
      </c>
      <c r="AB54">
        <v>456360000</v>
      </c>
      <c r="AC54">
        <v>1.1194068279428522E-2</v>
      </c>
      <c r="AD54">
        <v>72658.05</v>
      </c>
      <c r="AE54">
        <v>0.21590000000000001</v>
      </c>
      <c r="AF54">
        <v>87356000000</v>
      </c>
      <c r="AG54">
        <v>25906000000</v>
      </c>
      <c r="AH54">
        <v>314300000</v>
      </c>
      <c r="AI54">
        <v>1615700000</v>
      </c>
      <c r="AJ54">
        <v>14261820000</v>
      </c>
      <c r="AK54">
        <v>2.8346859097046694E-11</v>
      </c>
      <c r="AL54">
        <v>0.16326090938229773</v>
      </c>
    </row>
    <row r="55" spans="21:38">
      <c r="U55">
        <v>6.9724770642201978E-2</v>
      </c>
      <c r="V55">
        <v>33.01</v>
      </c>
      <c r="W55">
        <v>32.92</v>
      </c>
      <c r="X55">
        <f t="shared" si="0"/>
        <v>2.7301683603821111E-3</v>
      </c>
      <c r="Y55">
        <v>19153892</v>
      </c>
      <c r="Z55">
        <v>880300000</v>
      </c>
      <c r="AA55">
        <v>635143058.71999991</v>
      </c>
      <c r="AB55">
        <v>456360000</v>
      </c>
      <c r="AC55">
        <v>4.1971014111666226E-2</v>
      </c>
      <c r="AD55">
        <v>72601.820000000007</v>
      </c>
      <c r="AE55">
        <v>0.21590000000000001</v>
      </c>
      <c r="AF55">
        <v>87356000000</v>
      </c>
      <c r="AG55">
        <v>25906000000</v>
      </c>
      <c r="AH55">
        <v>314300000</v>
      </c>
      <c r="AI55">
        <v>1615700000</v>
      </c>
      <c r="AJ55">
        <v>14261820000</v>
      </c>
      <c r="AK55">
        <v>1.4374148903067698E-11</v>
      </c>
      <c r="AL55">
        <v>0.16326090938229773</v>
      </c>
    </row>
    <row r="56" spans="21:38">
      <c r="U56">
        <v>4.9906425452276908E-2</v>
      </c>
      <c r="V56">
        <v>33.01</v>
      </c>
      <c r="W56">
        <v>32.86</v>
      </c>
      <c r="X56">
        <f t="shared" si="0"/>
        <v>4.5544253833307595E-3</v>
      </c>
      <c r="Y56">
        <v>6103484</v>
      </c>
      <c r="Z56">
        <v>880300000</v>
      </c>
      <c r="AA56">
        <v>200560484.24000001</v>
      </c>
      <c r="AB56">
        <v>456360000</v>
      </c>
      <c r="AC56">
        <v>1.33742746954159E-2</v>
      </c>
      <c r="AD56">
        <v>72761.2</v>
      </c>
      <c r="AE56">
        <v>0.21590000000000001</v>
      </c>
      <c r="AF56">
        <v>87356000000</v>
      </c>
      <c r="AG56">
        <v>25906000000</v>
      </c>
      <c r="AH56">
        <v>314300000</v>
      </c>
      <c r="AI56">
        <v>1615700000</v>
      </c>
      <c r="AJ56">
        <v>14261820000</v>
      </c>
      <c r="AK56">
        <v>3.7350349850427551E-10</v>
      </c>
      <c r="AL56">
        <v>0.16326090938229773</v>
      </c>
    </row>
    <row r="57" spans="21:38">
      <c r="U57">
        <v>7.3596744107173193E-2</v>
      </c>
      <c r="V57">
        <v>33.01</v>
      </c>
      <c r="W57">
        <v>30.57</v>
      </c>
      <c r="X57">
        <f t="shared" si="0"/>
        <v>7.6753696130858695E-2</v>
      </c>
      <c r="Y57">
        <v>7753162</v>
      </c>
      <c r="Z57">
        <v>880300000</v>
      </c>
      <c r="AA57">
        <v>237014162.34</v>
      </c>
      <c r="AB57">
        <v>456360000</v>
      </c>
      <c r="AC57">
        <v>1.6989135770006134E-2</v>
      </c>
      <c r="AD57">
        <v>72764.240000000005</v>
      </c>
      <c r="AE57">
        <v>0.21590000000000001</v>
      </c>
      <c r="AF57">
        <v>87356000000</v>
      </c>
      <c r="AG57">
        <v>25906000000</v>
      </c>
      <c r="AH57">
        <v>314300000</v>
      </c>
      <c r="AI57">
        <v>1615700000</v>
      </c>
      <c r="AJ57">
        <v>14261820000</v>
      </c>
      <c r="AK57">
        <v>3.1599172820945296E-10</v>
      </c>
      <c r="AL57">
        <v>0.16326090938229773</v>
      </c>
    </row>
    <row r="58" spans="21:38">
      <c r="U58">
        <v>3.9999999999999911E-2</v>
      </c>
      <c r="V58">
        <v>28.44</v>
      </c>
      <c r="W58">
        <v>28.43</v>
      </c>
      <c r="X58">
        <f t="shared" si="0"/>
        <v>3.5167926850717643E-4</v>
      </c>
      <c r="Y58">
        <v>2681321</v>
      </c>
      <c r="Z58">
        <v>880300000</v>
      </c>
      <c r="AA58">
        <v>76256769.24000001</v>
      </c>
      <c r="AB58">
        <v>456360000</v>
      </c>
      <c r="AC58">
        <v>5.8754513980191075E-3</v>
      </c>
      <c r="AD58">
        <v>71902.09</v>
      </c>
      <c r="AE58">
        <v>0.21590000000000001</v>
      </c>
      <c r="AF58">
        <v>87356000000</v>
      </c>
      <c r="AG58">
        <v>25906000000</v>
      </c>
      <c r="AH58">
        <v>314300000</v>
      </c>
      <c r="AI58">
        <v>1615700000</v>
      </c>
      <c r="AJ58">
        <v>14261820000</v>
      </c>
      <c r="AK58">
        <v>4.6305723395834876E-10</v>
      </c>
      <c r="AL58">
        <v>0.16326090938229773</v>
      </c>
    </row>
    <row r="59" spans="21:38">
      <c r="U59">
        <v>1.8315018315018316E-2</v>
      </c>
      <c r="V59">
        <v>27.53</v>
      </c>
      <c r="W59">
        <v>27.5</v>
      </c>
      <c r="X59">
        <f t="shared" si="0"/>
        <v>1.0903143739778717E-3</v>
      </c>
      <c r="Y59">
        <v>1234555</v>
      </c>
      <c r="Z59">
        <v>880300000</v>
      </c>
      <c r="AA59">
        <v>33913225.850000001</v>
      </c>
      <c r="AB59">
        <v>456360000</v>
      </c>
      <c r="AC59">
        <v>2.7052217547550179E-3</v>
      </c>
      <c r="AD59">
        <v>70657.64</v>
      </c>
      <c r="AE59">
        <v>0.21590000000000001</v>
      </c>
      <c r="AF59">
        <v>87356000000</v>
      </c>
      <c r="AG59">
        <v>25906000000</v>
      </c>
      <c r="AH59">
        <v>314300000</v>
      </c>
      <c r="AI59">
        <v>1615700000</v>
      </c>
      <c r="AJ59">
        <v>14261820000</v>
      </c>
      <c r="AK59">
        <v>3.2237996629309488E-11</v>
      </c>
      <c r="AL59">
        <v>0.16326090938229773</v>
      </c>
    </row>
    <row r="60" spans="21:38">
      <c r="U60">
        <v>3.5472664106783652E-2</v>
      </c>
      <c r="V60">
        <v>27.49</v>
      </c>
      <c r="W60">
        <v>27.4</v>
      </c>
      <c r="X60">
        <f t="shared" si="0"/>
        <v>3.2792858444160998E-3</v>
      </c>
      <c r="Y60">
        <v>2093913</v>
      </c>
      <c r="Z60">
        <v>880300000</v>
      </c>
      <c r="AA60">
        <v>57456972.720000006</v>
      </c>
      <c r="AB60">
        <v>456360000</v>
      </c>
      <c r="AC60">
        <v>4.5882921377859587E-3</v>
      </c>
      <c r="AD60">
        <v>71102.55</v>
      </c>
      <c r="AE60">
        <v>0.21590000000000001</v>
      </c>
      <c r="AF60">
        <v>87356000000</v>
      </c>
      <c r="AG60">
        <v>25906000000</v>
      </c>
      <c r="AH60">
        <v>314300000</v>
      </c>
      <c r="AI60">
        <v>1615700000</v>
      </c>
      <c r="AJ60">
        <v>14261820000</v>
      </c>
      <c r="AK60">
        <v>3.8906843551924044E-10</v>
      </c>
      <c r="AL60">
        <v>0.16326090938229773</v>
      </c>
    </row>
    <row r="61" spans="21:38">
      <c r="U61">
        <v>1.5549796371714112E-2</v>
      </c>
      <c r="V61">
        <v>26.9</v>
      </c>
      <c r="W61">
        <v>26.86</v>
      </c>
      <c r="X61">
        <f t="shared" si="0"/>
        <v>1.4880952380952064E-3</v>
      </c>
      <c r="Y61">
        <v>1958340</v>
      </c>
      <c r="Z61">
        <v>880300000</v>
      </c>
      <c r="AA61">
        <v>52561845.600000001</v>
      </c>
      <c r="AB61">
        <v>456360000</v>
      </c>
      <c r="AC61">
        <v>4.2912174599000789E-3</v>
      </c>
      <c r="AD61">
        <v>71695.03</v>
      </c>
      <c r="AE61">
        <v>0.21640000000000001</v>
      </c>
      <c r="AF61">
        <v>87356000000</v>
      </c>
      <c r="AG61">
        <v>25906000000</v>
      </c>
      <c r="AH61">
        <v>314300000</v>
      </c>
      <c r="AI61">
        <v>1615700000</v>
      </c>
      <c r="AJ61">
        <v>14261820000</v>
      </c>
      <c r="AK61">
        <v>1.3373249559284294E-10</v>
      </c>
      <c r="AL61">
        <v>0.16326090938229773</v>
      </c>
    </row>
    <row r="62" spans="21:38">
      <c r="U62">
        <v>1.1466617347882459E-2</v>
      </c>
      <c r="V62">
        <v>27.09</v>
      </c>
      <c r="W62">
        <v>27.01</v>
      </c>
      <c r="X62">
        <f t="shared" si="0"/>
        <v>2.9574861367836708E-3</v>
      </c>
      <c r="Y62">
        <v>1187043</v>
      </c>
      <c r="Z62">
        <v>880300000</v>
      </c>
      <c r="AA62">
        <v>32085772.290000003</v>
      </c>
      <c r="AB62">
        <v>456360000</v>
      </c>
      <c r="AC62">
        <v>2.6011109650276097E-3</v>
      </c>
      <c r="AD62">
        <v>72742.75</v>
      </c>
      <c r="AE62">
        <v>0.21640000000000001</v>
      </c>
      <c r="AF62">
        <v>87356000000</v>
      </c>
      <c r="AG62">
        <v>25906000000</v>
      </c>
      <c r="AH62">
        <v>314300000</v>
      </c>
      <c r="AI62">
        <v>1615700000</v>
      </c>
      <c r="AJ62">
        <v>14261820000</v>
      </c>
      <c r="AK62">
        <v>2.30777207791228E-11</v>
      </c>
      <c r="AL62">
        <v>0.16326090938229773</v>
      </c>
    </row>
    <row r="63" spans="21:38">
      <c r="U63">
        <v>9.5834869148544617E-3</v>
      </c>
      <c r="V63">
        <v>27</v>
      </c>
      <c r="W63">
        <v>26.99</v>
      </c>
      <c r="X63">
        <f t="shared" si="0"/>
        <v>3.7043897017972086E-4</v>
      </c>
      <c r="Y63">
        <v>980419</v>
      </c>
      <c r="Z63">
        <v>880300000</v>
      </c>
      <c r="AA63">
        <v>26481117.190000001</v>
      </c>
      <c r="AB63">
        <v>456360000</v>
      </c>
      <c r="AC63">
        <v>2.1483456043474452E-3</v>
      </c>
      <c r="AD63">
        <v>71971.399999999994</v>
      </c>
      <c r="AE63">
        <v>0.21640000000000001</v>
      </c>
      <c r="AF63">
        <v>87356000000</v>
      </c>
      <c r="AG63">
        <v>25906000000</v>
      </c>
      <c r="AH63">
        <v>314300000</v>
      </c>
      <c r="AI63">
        <v>1615700000</v>
      </c>
      <c r="AJ63">
        <v>14261820000</v>
      </c>
      <c r="AK63">
        <v>2.2237913724935096E-10</v>
      </c>
      <c r="AL63">
        <v>0.16326090938229773</v>
      </c>
    </row>
    <row r="64" spans="21:38">
      <c r="U64">
        <v>1.8382352941176471E-2</v>
      </c>
      <c r="V64">
        <v>27.21</v>
      </c>
      <c r="W64">
        <v>27.2</v>
      </c>
      <c r="X64">
        <f t="shared" si="0"/>
        <v>3.6757948906456769E-4</v>
      </c>
      <c r="Y64">
        <v>2931085</v>
      </c>
      <c r="Z64">
        <v>880300000</v>
      </c>
      <c r="AA64">
        <v>79637579.450000003</v>
      </c>
      <c r="AB64">
        <v>456360000</v>
      </c>
      <c r="AC64">
        <v>6.4227473924095011E-3</v>
      </c>
      <c r="AD64">
        <v>72051.89</v>
      </c>
      <c r="AE64">
        <v>0.21640000000000001</v>
      </c>
      <c r="AF64">
        <v>87356000000</v>
      </c>
      <c r="AG64">
        <v>25906000000</v>
      </c>
      <c r="AH64">
        <v>314300000</v>
      </c>
      <c r="AI64">
        <v>1615700000</v>
      </c>
      <c r="AJ64">
        <v>14261820000</v>
      </c>
      <c r="AK64">
        <v>3.2268062199460479E-11</v>
      </c>
      <c r="AL64">
        <v>0.16326090938229773</v>
      </c>
    </row>
    <row r="65" spans="21:38">
      <c r="U65">
        <v>3.0110647560312058E-2</v>
      </c>
      <c r="V65">
        <v>27.25</v>
      </c>
      <c r="W65">
        <v>27.24</v>
      </c>
      <c r="X65">
        <f t="shared" si="0"/>
        <v>3.6703982382094196E-4</v>
      </c>
      <c r="Y65">
        <v>1475991</v>
      </c>
      <c r="Z65">
        <v>880300000</v>
      </c>
      <c r="AA65">
        <v>40205994.839999996</v>
      </c>
      <c r="AB65">
        <v>456360000</v>
      </c>
      <c r="AC65">
        <v>3.2342689981593479E-3</v>
      </c>
      <c r="AD65">
        <v>71359.41</v>
      </c>
      <c r="AE65">
        <v>0.21640000000000001</v>
      </c>
      <c r="AF65">
        <v>87356000000</v>
      </c>
      <c r="AG65">
        <v>25906000000</v>
      </c>
      <c r="AH65">
        <v>314300000</v>
      </c>
      <c r="AI65">
        <v>1615700000</v>
      </c>
      <c r="AJ65">
        <v>14261820000</v>
      </c>
      <c r="AK65">
        <v>4.659003849343027E-10</v>
      </c>
      <c r="AL65">
        <v>0.16326090938229773</v>
      </c>
    </row>
    <row r="66" spans="21:38">
      <c r="U66">
        <v>1.5815959741193306E-2</v>
      </c>
      <c r="V66">
        <v>27.9</v>
      </c>
      <c r="W66">
        <v>27.88</v>
      </c>
      <c r="X66">
        <f t="shared" si="0"/>
        <v>7.1710290426674694E-4</v>
      </c>
      <c r="Y66">
        <v>2439268</v>
      </c>
      <c r="Z66">
        <v>880300000</v>
      </c>
      <c r="AA66">
        <v>67714079.680000007</v>
      </c>
      <c r="AB66">
        <v>456360000</v>
      </c>
      <c r="AC66">
        <v>5.3450521518099746E-3</v>
      </c>
      <c r="AD66">
        <v>71433.460000000006</v>
      </c>
      <c r="AE66">
        <v>0.21640000000000001</v>
      </c>
      <c r="AF66">
        <v>87356000000</v>
      </c>
      <c r="AG66">
        <v>25906000000</v>
      </c>
      <c r="AH66">
        <v>314300000</v>
      </c>
      <c r="AI66">
        <v>1615700000</v>
      </c>
      <c r="AJ66">
        <v>14261820000</v>
      </c>
      <c r="AK66">
        <v>2.0460075294327447E-10</v>
      </c>
      <c r="AL66">
        <v>0.16326090938229773</v>
      </c>
    </row>
    <row r="67" spans="21:38">
      <c r="U67">
        <v>2.7812004928709704E-2</v>
      </c>
      <c r="V67">
        <v>28.24</v>
      </c>
      <c r="W67">
        <v>28.2</v>
      </c>
      <c r="X67">
        <f t="shared" si="0"/>
        <v>1.4174344436569508E-3</v>
      </c>
      <c r="Y67">
        <v>1979315</v>
      </c>
      <c r="Z67">
        <v>880300000</v>
      </c>
      <c r="AA67">
        <v>55717717.25</v>
      </c>
      <c r="AB67">
        <v>456360000</v>
      </c>
      <c r="AC67">
        <v>4.3371789815058286E-3</v>
      </c>
      <c r="AD67">
        <v>70909.899999999994</v>
      </c>
      <c r="AE67">
        <v>0.21640000000000001</v>
      </c>
      <c r="AF67">
        <v>87356000000</v>
      </c>
      <c r="AG67">
        <v>25906000000</v>
      </c>
      <c r="AH67">
        <v>314300000</v>
      </c>
      <c r="AI67">
        <v>1615700000</v>
      </c>
      <c r="AJ67">
        <v>14261820000</v>
      </c>
      <c r="AK67">
        <v>3.4394379403980549E-10</v>
      </c>
      <c r="AL67">
        <v>0.16326090938229773</v>
      </c>
    </row>
    <row r="68" spans="21:38">
      <c r="U68">
        <v>2.4297119055883346E-2</v>
      </c>
      <c r="V68">
        <v>28.84</v>
      </c>
      <c r="W68">
        <v>28.8</v>
      </c>
      <c r="X68">
        <f t="shared" ref="X68:X131" si="1">(V68-W68)/AVERAGE(V68:W68)</f>
        <v>1.3879250520471599E-3</v>
      </c>
      <c r="Y68">
        <v>1029393</v>
      </c>
      <c r="Z68">
        <v>880300000</v>
      </c>
      <c r="AA68">
        <v>29543579.099999998</v>
      </c>
      <c r="AB68">
        <v>456360000</v>
      </c>
      <c r="AC68">
        <v>2.2556600052590059E-3</v>
      </c>
      <c r="AD68">
        <v>70290.12</v>
      </c>
      <c r="AE68">
        <v>0.21640000000000001</v>
      </c>
      <c r="AF68">
        <v>87356000000</v>
      </c>
      <c r="AG68">
        <v>25906000000</v>
      </c>
      <c r="AH68">
        <v>314300000</v>
      </c>
      <c r="AI68">
        <v>1615700000</v>
      </c>
      <c r="AJ68">
        <v>14261820000</v>
      </c>
      <c r="AK68">
        <v>2.3753194681984546E-10</v>
      </c>
      <c r="AL68">
        <v>0.16326090938229773</v>
      </c>
    </row>
    <row r="69" spans="21:38">
      <c r="U69">
        <v>1.4434078507305057E-2</v>
      </c>
      <c r="V69">
        <v>28.58</v>
      </c>
      <c r="W69">
        <v>28.46</v>
      </c>
      <c r="X69">
        <f t="shared" si="1"/>
        <v>4.20757363253848E-3</v>
      </c>
      <c r="Y69">
        <v>843130</v>
      </c>
      <c r="Z69">
        <v>880300000</v>
      </c>
      <c r="AA69">
        <v>24029205</v>
      </c>
      <c r="AB69">
        <v>456360000</v>
      </c>
      <c r="AC69">
        <v>1.8475107371373478E-3</v>
      </c>
      <c r="AD69">
        <v>70333.320000000007</v>
      </c>
      <c r="AE69">
        <v>0.21640000000000001</v>
      </c>
      <c r="AF69">
        <v>87356000000</v>
      </c>
      <c r="AG69">
        <v>25906000000</v>
      </c>
      <c r="AH69">
        <v>314300000</v>
      </c>
      <c r="AI69">
        <v>1615700000</v>
      </c>
      <c r="AJ69">
        <v>14261820000</v>
      </c>
      <c r="AK69">
        <v>1.3100532581125711E-10</v>
      </c>
      <c r="AL69">
        <v>0.16326090938229773</v>
      </c>
    </row>
    <row r="70" spans="21:38">
      <c r="U70">
        <v>3.273040482342806E-2</v>
      </c>
      <c r="V70">
        <v>28.59</v>
      </c>
      <c r="W70">
        <v>28.56</v>
      </c>
      <c r="X70">
        <f t="shared" si="1"/>
        <v>1.0498687664042394E-3</v>
      </c>
      <c r="Y70">
        <v>996438</v>
      </c>
      <c r="Z70">
        <v>880300000</v>
      </c>
      <c r="AA70">
        <v>28488162.419999998</v>
      </c>
      <c r="AB70">
        <v>456360000</v>
      </c>
      <c r="AC70">
        <v>2.1834472784643703E-3</v>
      </c>
      <c r="AD70">
        <v>70483.66</v>
      </c>
      <c r="AE70">
        <v>0.216</v>
      </c>
      <c r="AF70">
        <v>87356000000</v>
      </c>
      <c r="AG70">
        <v>25906000000</v>
      </c>
      <c r="AH70">
        <v>314300000</v>
      </c>
      <c r="AI70">
        <v>1615700000</v>
      </c>
      <c r="AJ70">
        <v>14261820000</v>
      </c>
      <c r="AK70">
        <v>6.7434948658031753E-10</v>
      </c>
      <c r="AL70">
        <v>0.16326090938229773</v>
      </c>
    </row>
    <row r="71" spans="21:38">
      <c r="U71">
        <v>6.0711793440335032E-2</v>
      </c>
      <c r="V71">
        <v>28.93</v>
      </c>
      <c r="W71">
        <v>28.9</v>
      </c>
      <c r="X71">
        <f t="shared" si="1"/>
        <v>1.0375237765865861E-3</v>
      </c>
      <c r="Y71">
        <v>1668055</v>
      </c>
      <c r="Z71">
        <v>880300000</v>
      </c>
      <c r="AA71">
        <v>48623803.25</v>
      </c>
      <c r="AB71">
        <v>456360000</v>
      </c>
      <c r="AC71">
        <v>3.6551297221491803E-3</v>
      </c>
      <c r="AD71">
        <v>70544.58</v>
      </c>
      <c r="AE71">
        <v>0.216</v>
      </c>
      <c r="AF71">
        <v>87356000000</v>
      </c>
      <c r="AG71">
        <v>25906000000</v>
      </c>
      <c r="AH71">
        <v>314300000</v>
      </c>
      <c r="AI71">
        <v>1615700000</v>
      </c>
      <c r="AJ71">
        <v>14261820000</v>
      </c>
      <c r="AK71">
        <v>9.1371956272548911E-10</v>
      </c>
      <c r="AL71">
        <v>0.16326090938229773</v>
      </c>
    </row>
    <row r="72" spans="21:38">
      <c r="U72">
        <v>1.9480519480519449E-2</v>
      </c>
      <c r="V72">
        <v>27.98</v>
      </c>
      <c r="W72">
        <v>27.9</v>
      </c>
      <c r="X72">
        <f t="shared" si="1"/>
        <v>2.8632784538297012E-3</v>
      </c>
      <c r="Y72">
        <v>1095307</v>
      </c>
      <c r="Z72">
        <v>880300000</v>
      </c>
      <c r="AA72">
        <v>30570018.370000001</v>
      </c>
      <c r="AB72">
        <v>456360000</v>
      </c>
      <c r="AC72">
        <v>2.4000942238583574E-3</v>
      </c>
      <c r="AD72">
        <v>70314.720000000001</v>
      </c>
      <c r="AE72">
        <v>0.216</v>
      </c>
      <c r="AF72">
        <v>87356000000</v>
      </c>
      <c r="AG72">
        <v>25906000000</v>
      </c>
      <c r="AH72">
        <v>314300000</v>
      </c>
      <c r="AI72">
        <v>1615700000</v>
      </c>
      <c r="AJ72">
        <v>14261820000</v>
      </c>
      <c r="AK72">
        <v>5.9671268343670812E-10</v>
      </c>
      <c r="AL72">
        <v>0.16326090938229773</v>
      </c>
    </row>
    <row r="73" spans="21:38">
      <c r="U73">
        <v>1.2785388127853934E-2</v>
      </c>
      <c r="V73">
        <v>27.45</v>
      </c>
      <c r="W73">
        <v>27.41</v>
      </c>
      <c r="X73">
        <f t="shared" si="1"/>
        <v>1.4582573824279675E-3</v>
      </c>
      <c r="Y73">
        <v>394312</v>
      </c>
      <c r="Z73">
        <v>880300000</v>
      </c>
      <c r="AA73">
        <v>10808091.92</v>
      </c>
      <c r="AB73">
        <v>456360000</v>
      </c>
      <c r="AC73">
        <v>8.6403716364273815E-4</v>
      </c>
      <c r="AD73">
        <v>69619.990000000005</v>
      </c>
      <c r="AE73">
        <v>0.216</v>
      </c>
      <c r="AF73">
        <v>87356000000</v>
      </c>
      <c r="AG73">
        <v>25906000000</v>
      </c>
      <c r="AH73">
        <v>314300000</v>
      </c>
      <c r="AI73">
        <v>1615700000</v>
      </c>
      <c r="AJ73">
        <v>14261820000</v>
      </c>
      <c r="AK73">
        <v>1.0115517787356501E-10</v>
      </c>
      <c r="AL73">
        <v>0.16326090938229773</v>
      </c>
    </row>
    <row r="74" spans="21:38">
      <c r="U74">
        <v>9.1324200913242004E-3</v>
      </c>
      <c r="V74">
        <v>27.45</v>
      </c>
      <c r="W74">
        <v>27.42</v>
      </c>
      <c r="X74">
        <f t="shared" si="1"/>
        <v>1.0934937124110655E-3</v>
      </c>
      <c r="Y74">
        <v>363646</v>
      </c>
      <c r="Z74">
        <v>880300000</v>
      </c>
      <c r="AA74">
        <v>9978446.2400000002</v>
      </c>
      <c r="AB74">
        <v>456360000</v>
      </c>
      <c r="AC74">
        <v>7.9684021386624594E-4</v>
      </c>
      <c r="AD74">
        <v>68416.78</v>
      </c>
      <c r="AE74">
        <v>0.216</v>
      </c>
      <c r="AF74">
        <v>87356000000</v>
      </c>
      <c r="AG74">
        <v>25906000000</v>
      </c>
      <c r="AH74">
        <v>314300000</v>
      </c>
      <c r="AI74">
        <v>1615700000</v>
      </c>
      <c r="AJ74">
        <v>14261820000</v>
      </c>
      <c r="AK74">
        <v>2.1961140212136187E-10</v>
      </c>
      <c r="AL74">
        <v>0.16326090938229773</v>
      </c>
    </row>
    <row r="75" spans="21:38">
      <c r="U75">
        <v>2.1167883211678902E-2</v>
      </c>
      <c r="V75">
        <v>27.39</v>
      </c>
      <c r="W75">
        <v>27.27</v>
      </c>
      <c r="X75">
        <f t="shared" si="1"/>
        <v>4.3907793633370289E-3</v>
      </c>
      <c r="Y75">
        <v>561204</v>
      </c>
      <c r="Z75">
        <v>880300000</v>
      </c>
      <c r="AA75">
        <v>15365765.52</v>
      </c>
      <c r="AB75">
        <v>456360000</v>
      </c>
      <c r="AC75">
        <v>1.2297396792006312E-3</v>
      </c>
      <c r="AD75">
        <v>67756.039999999994</v>
      </c>
      <c r="AE75">
        <v>0.216</v>
      </c>
      <c r="AF75">
        <v>87356000000</v>
      </c>
      <c r="AG75">
        <v>25906000000</v>
      </c>
      <c r="AH75">
        <v>314300000</v>
      </c>
      <c r="AI75">
        <v>1615700000</v>
      </c>
      <c r="AJ75">
        <v>14261820000</v>
      </c>
      <c r="AK75">
        <v>3.5850021140328932E-10</v>
      </c>
      <c r="AL75">
        <v>0.16326090938229773</v>
      </c>
    </row>
    <row r="76" spans="21:38">
      <c r="U76">
        <v>1.1782032400589112E-2</v>
      </c>
      <c r="V76">
        <v>27.26</v>
      </c>
      <c r="W76">
        <v>27.19</v>
      </c>
      <c r="X76">
        <f t="shared" si="1"/>
        <v>2.5711662075298541E-3</v>
      </c>
      <c r="Y76">
        <v>477637</v>
      </c>
      <c r="Z76">
        <v>880300000</v>
      </c>
      <c r="AA76">
        <v>13006055.51</v>
      </c>
      <c r="AB76">
        <v>456360000</v>
      </c>
      <c r="AC76">
        <v>1.0466232798667719E-3</v>
      </c>
      <c r="AD76">
        <v>66886.259999999995</v>
      </c>
      <c r="AE76">
        <v>0.216</v>
      </c>
      <c r="AF76">
        <v>87356000000</v>
      </c>
      <c r="AG76">
        <v>25906000000</v>
      </c>
      <c r="AH76">
        <v>314300000</v>
      </c>
      <c r="AI76">
        <v>1615700000</v>
      </c>
      <c r="AJ76">
        <v>14261820000</v>
      </c>
      <c r="AK76">
        <v>0</v>
      </c>
      <c r="AL76">
        <v>0.16326090938229773</v>
      </c>
    </row>
    <row r="77" spans="21:38">
      <c r="U77">
        <v>1.7614678899082453E-2</v>
      </c>
      <c r="V77">
        <v>27.27</v>
      </c>
      <c r="W77">
        <v>27.26</v>
      </c>
      <c r="X77">
        <f t="shared" si="1"/>
        <v>3.667705849990101E-4</v>
      </c>
      <c r="Y77">
        <v>295264</v>
      </c>
      <c r="Z77">
        <v>880300000</v>
      </c>
      <c r="AA77">
        <v>8040038.7199999997</v>
      </c>
      <c r="AB77">
        <v>456360000</v>
      </c>
      <c r="AC77">
        <v>6.4699798404768162E-4</v>
      </c>
      <c r="AD77">
        <v>66796.320000000007</v>
      </c>
      <c r="AE77">
        <v>0.216</v>
      </c>
      <c r="AF77">
        <v>87356000000</v>
      </c>
      <c r="AG77">
        <v>25906000000</v>
      </c>
      <c r="AH77">
        <v>314300000</v>
      </c>
      <c r="AI77">
        <v>1615700000</v>
      </c>
      <c r="AJ77">
        <v>14261820000</v>
      </c>
      <c r="AK77">
        <v>1.8297537397652663E-10</v>
      </c>
      <c r="AL77">
        <v>0.16326090938229773</v>
      </c>
    </row>
    <row r="78" spans="21:38">
      <c r="U78">
        <v>1.3550631752426202E-2</v>
      </c>
      <c r="V78">
        <v>27.28</v>
      </c>
      <c r="W78">
        <v>27.25</v>
      </c>
      <c r="X78">
        <f t="shared" si="1"/>
        <v>1.1003117549972909E-3</v>
      </c>
      <c r="Y78">
        <v>406418</v>
      </c>
      <c r="Z78">
        <v>880300000</v>
      </c>
      <c r="AA78">
        <v>11050505.42</v>
      </c>
      <c r="AB78">
        <v>456360000</v>
      </c>
      <c r="AC78">
        <v>8.905644666491367E-4</v>
      </c>
      <c r="AD78">
        <v>67005.11</v>
      </c>
      <c r="AE78">
        <v>0.216</v>
      </c>
      <c r="AF78">
        <v>87356000000</v>
      </c>
      <c r="AG78">
        <v>25906000000</v>
      </c>
      <c r="AH78">
        <v>314300000</v>
      </c>
      <c r="AI78">
        <v>1615700000</v>
      </c>
      <c r="AJ78">
        <v>14261820000</v>
      </c>
      <c r="AK78">
        <v>6.6612880704227399E-11</v>
      </c>
      <c r="AL78">
        <v>0.16326090938229773</v>
      </c>
    </row>
    <row r="79" spans="21:38">
      <c r="U79">
        <v>1.5390252839868147E-2</v>
      </c>
      <c r="V79">
        <v>27.2</v>
      </c>
      <c r="W79">
        <v>27.17</v>
      </c>
      <c r="X79">
        <f t="shared" si="1"/>
        <v>1.103549751701217E-3</v>
      </c>
      <c r="Y79">
        <v>600144</v>
      </c>
      <c r="Z79">
        <v>880300000</v>
      </c>
      <c r="AA79">
        <v>16305912.48</v>
      </c>
      <c r="AB79">
        <v>456360000</v>
      </c>
      <c r="AC79">
        <v>1.3150670523271102E-3</v>
      </c>
      <c r="AD79">
        <v>67142.12</v>
      </c>
      <c r="AE79">
        <v>0.216</v>
      </c>
      <c r="AF79">
        <v>87356000000</v>
      </c>
      <c r="AG79">
        <v>25906000000</v>
      </c>
      <c r="AH79">
        <v>314300000</v>
      </c>
      <c r="AI79">
        <v>1615700000</v>
      </c>
      <c r="AJ79">
        <v>14261820000</v>
      </c>
      <c r="AK79">
        <v>2.0247506682325796E-10</v>
      </c>
      <c r="AL79">
        <v>0.16326090938229773</v>
      </c>
    </row>
    <row r="80" spans="21:38">
      <c r="U80">
        <v>2.9520295202952053E-2</v>
      </c>
      <c r="V80">
        <v>27.33</v>
      </c>
      <c r="W80">
        <v>27.31</v>
      </c>
      <c r="X80">
        <f t="shared" si="1"/>
        <v>7.3206442166909129E-4</v>
      </c>
      <c r="Y80">
        <v>389522</v>
      </c>
      <c r="Z80">
        <v>880300000</v>
      </c>
      <c r="AA80">
        <v>10618369.720000001</v>
      </c>
      <c r="AB80">
        <v>456360000</v>
      </c>
      <c r="AC80">
        <v>8.5354106407222363E-4</v>
      </c>
      <c r="AD80">
        <v>66547.789999999994</v>
      </c>
      <c r="AE80">
        <v>0.216</v>
      </c>
      <c r="AF80">
        <v>87356000000</v>
      </c>
      <c r="AG80">
        <v>25906000000</v>
      </c>
      <c r="AH80">
        <v>314300000</v>
      </c>
      <c r="AI80">
        <v>1615700000</v>
      </c>
      <c r="AJ80">
        <v>14261820000</v>
      </c>
      <c r="AK80">
        <v>1.6522178179648932E-9</v>
      </c>
      <c r="AL80">
        <v>0.16326090938229773</v>
      </c>
    </row>
    <row r="81" spans="21:38">
      <c r="U81">
        <v>9.3023255813953487E-3</v>
      </c>
      <c r="V81">
        <v>26.89</v>
      </c>
      <c r="W81">
        <v>26.8</v>
      </c>
      <c r="X81">
        <f t="shared" si="1"/>
        <v>3.3525796237660593E-3</v>
      </c>
      <c r="Y81">
        <v>431317</v>
      </c>
      <c r="Z81">
        <v>880300000</v>
      </c>
      <c r="AA81">
        <v>11554982.43</v>
      </c>
      <c r="AB81">
        <v>456360000</v>
      </c>
      <c r="AC81">
        <v>9.4512446314313266E-4</v>
      </c>
      <c r="AD81">
        <v>65906.28</v>
      </c>
      <c r="AE81">
        <v>0.216</v>
      </c>
      <c r="AF81">
        <v>87356000000</v>
      </c>
      <c r="AG81">
        <v>25906000000</v>
      </c>
      <c r="AH81">
        <v>314300000</v>
      </c>
      <c r="AI81">
        <v>1615700000</v>
      </c>
      <c r="AJ81">
        <v>14261820000</v>
      </c>
      <c r="AK81">
        <v>4.8186388549206376E-10</v>
      </c>
      <c r="AL81">
        <v>0.16326090938229773</v>
      </c>
    </row>
    <row r="82" spans="21:38">
      <c r="U82">
        <v>7.04878501205718E-3</v>
      </c>
      <c r="V82">
        <v>26.98</v>
      </c>
      <c r="W82">
        <v>26.95</v>
      </c>
      <c r="X82">
        <f t="shared" si="1"/>
        <v>1.112553309846139E-3</v>
      </c>
      <c r="Y82">
        <v>433351</v>
      </c>
      <c r="Z82">
        <v>880300000</v>
      </c>
      <c r="AA82">
        <v>11674475.940000001</v>
      </c>
      <c r="AB82">
        <v>456360000</v>
      </c>
      <c r="AC82">
        <v>9.4958147076869141E-4</v>
      </c>
      <c r="AD82">
        <v>65525.65</v>
      </c>
      <c r="AE82">
        <v>0.216</v>
      </c>
      <c r="AF82">
        <v>87356000000</v>
      </c>
      <c r="AG82">
        <v>25906000000</v>
      </c>
      <c r="AH82">
        <v>314300000</v>
      </c>
      <c r="AI82">
        <v>1615700000</v>
      </c>
      <c r="AJ82">
        <v>14261820000</v>
      </c>
      <c r="AK82">
        <v>0</v>
      </c>
      <c r="AL82">
        <v>0.16326090938229773</v>
      </c>
    </row>
    <row r="83" spans="21:38">
      <c r="U83">
        <v>6.8463219227967914E-2</v>
      </c>
      <c r="V83">
        <v>26.52</v>
      </c>
      <c r="W83">
        <v>26.46</v>
      </c>
      <c r="X83">
        <f t="shared" si="1"/>
        <v>2.2650056625141079E-3</v>
      </c>
      <c r="Y83">
        <v>11312305</v>
      </c>
      <c r="Z83">
        <v>379800000</v>
      </c>
      <c r="AA83">
        <v>300002328.60000002</v>
      </c>
      <c r="AB83">
        <v>151930000</v>
      </c>
      <c r="AC83">
        <v>7.4457348779042976E-2</v>
      </c>
      <c r="AD83">
        <v>75983.039999999994</v>
      </c>
      <c r="AE83">
        <v>0.2157</v>
      </c>
      <c r="AF83">
        <v>26240000000</v>
      </c>
      <c r="AG83">
        <v>8953420000</v>
      </c>
      <c r="AH83">
        <v>2084330000</v>
      </c>
      <c r="AI83">
        <v>9060000</v>
      </c>
      <c r="AJ83">
        <v>8020750000</v>
      </c>
      <c r="AK83">
        <v>2.4996899335304446E-10</v>
      </c>
      <c r="AL83">
        <v>0.30566882621951219</v>
      </c>
    </row>
    <row r="84" spans="21:38">
      <c r="U84">
        <v>0.11764705882352933</v>
      </c>
      <c r="V84">
        <v>28.59</v>
      </c>
      <c r="W84">
        <v>28.52</v>
      </c>
      <c r="X84">
        <f t="shared" si="1"/>
        <v>2.451409560497296E-3</v>
      </c>
      <c r="Y84">
        <v>11827538</v>
      </c>
      <c r="Z84">
        <v>379800000</v>
      </c>
      <c r="AA84">
        <v>339095514.46000004</v>
      </c>
      <c r="AB84">
        <v>151930000</v>
      </c>
      <c r="AC84">
        <v>7.7848601329559661E-2</v>
      </c>
      <c r="AD84">
        <v>75114.47</v>
      </c>
      <c r="AE84">
        <v>0.2157</v>
      </c>
      <c r="AF84">
        <v>26240000000</v>
      </c>
      <c r="AG84">
        <v>8953420000</v>
      </c>
      <c r="AH84">
        <v>2084330000</v>
      </c>
      <c r="AI84">
        <v>9060000</v>
      </c>
      <c r="AJ84">
        <v>8020750000</v>
      </c>
      <c r="AK84">
        <v>6.5183365354944931E-11</v>
      </c>
      <c r="AL84">
        <v>0.30566882621951219</v>
      </c>
    </row>
    <row r="85" spans="21:38">
      <c r="U85">
        <v>4.5578851412944391E-2</v>
      </c>
      <c r="V85">
        <v>28.1</v>
      </c>
      <c r="W85">
        <v>28.05</v>
      </c>
      <c r="X85">
        <f t="shared" si="1"/>
        <v>1.7809439002671667E-3</v>
      </c>
      <c r="Y85">
        <v>5153950</v>
      </c>
      <c r="Z85">
        <v>379800000</v>
      </c>
      <c r="AA85">
        <v>144568297.5</v>
      </c>
      <c r="AB85">
        <v>151930000</v>
      </c>
      <c r="AC85">
        <v>3.392318831040611E-2</v>
      </c>
      <c r="AD85">
        <v>74956.67</v>
      </c>
      <c r="AE85">
        <v>0.2157</v>
      </c>
      <c r="AF85">
        <v>26240000000</v>
      </c>
      <c r="AG85">
        <v>8953420000</v>
      </c>
      <c r="AH85">
        <v>2084330000</v>
      </c>
      <c r="AI85">
        <v>9060000</v>
      </c>
      <c r="AJ85">
        <v>8020750000</v>
      </c>
      <c r="AK85">
        <v>5.1964759978104242E-10</v>
      </c>
      <c r="AL85">
        <v>0.30566882621951219</v>
      </c>
    </row>
    <row r="86" spans="21:38">
      <c r="U86">
        <v>6.807003737950032E-2</v>
      </c>
      <c r="V86">
        <v>26.32</v>
      </c>
      <c r="W86">
        <v>26.28</v>
      </c>
      <c r="X86">
        <f t="shared" si="1"/>
        <v>1.5209125475284847E-3</v>
      </c>
      <c r="Y86">
        <v>3666914</v>
      </c>
      <c r="Z86">
        <v>379800000</v>
      </c>
      <c r="AA86">
        <v>95669786.260000005</v>
      </c>
      <c r="AB86">
        <v>151930000</v>
      </c>
      <c r="AC86">
        <v>2.4135549266109394E-2</v>
      </c>
      <c r="AD86">
        <v>75206.77</v>
      </c>
      <c r="AE86">
        <v>0.2157</v>
      </c>
      <c r="AF86">
        <v>26240000000</v>
      </c>
      <c r="AG86">
        <v>8953420000</v>
      </c>
      <c r="AH86">
        <v>2084330000</v>
      </c>
      <c r="AI86">
        <v>9060000</v>
      </c>
      <c r="AJ86">
        <v>8020750000</v>
      </c>
      <c r="AK86">
        <v>7.011164887458473E-10</v>
      </c>
      <c r="AL86">
        <v>0.30566882621951219</v>
      </c>
    </row>
    <row r="87" spans="21:38">
      <c r="U87">
        <v>4.9281314168377791E-2</v>
      </c>
      <c r="V87">
        <v>24.48</v>
      </c>
      <c r="W87">
        <v>24.42</v>
      </c>
      <c r="X87">
        <f t="shared" si="1"/>
        <v>2.4539877300612969E-3</v>
      </c>
      <c r="Y87">
        <v>3741403</v>
      </c>
      <c r="Z87">
        <v>379800000</v>
      </c>
      <c r="AA87">
        <v>91477303.349999994</v>
      </c>
      <c r="AB87">
        <v>151930000</v>
      </c>
      <c r="AC87">
        <v>2.4625834265780293E-2</v>
      </c>
      <c r="AD87">
        <v>75084</v>
      </c>
      <c r="AE87">
        <v>0.2157</v>
      </c>
      <c r="AF87">
        <v>26240000000</v>
      </c>
      <c r="AG87">
        <v>8953420000</v>
      </c>
      <c r="AH87">
        <v>2084330000</v>
      </c>
      <c r="AI87">
        <v>9060000</v>
      </c>
      <c r="AJ87">
        <v>8020750000</v>
      </c>
      <c r="AK87">
        <v>5.3462495192856962E-10</v>
      </c>
      <c r="AL87">
        <v>0.30566882621951219</v>
      </c>
    </row>
    <row r="88" spans="21:38">
      <c r="U88">
        <v>2.7867095391211086E-2</v>
      </c>
      <c r="V88">
        <v>23.29</v>
      </c>
      <c r="W88">
        <v>23.26</v>
      </c>
      <c r="X88">
        <f t="shared" si="1"/>
        <v>1.2889366272823882E-3</v>
      </c>
      <c r="Y88">
        <v>926467</v>
      </c>
      <c r="Z88">
        <v>379800000</v>
      </c>
      <c r="AA88">
        <v>21595945.77</v>
      </c>
      <c r="AB88">
        <v>151930000</v>
      </c>
      <c r="AC88">
        <v>6.0979859145659189E-3</v>
      </c>
      <c r="AD88">
        <v>75342.350000000006</v>
      </c>
      <c r="AE88">
        <v>0.2157</v>
      </c>
      <c r="AF88">
        <v>26240000000</v>
      </c>
      <c r="AG88">
        <v>8953420000</v>
      </c>
      <c r="AH88">
        <v>2084330000</v>
      </c>
      <c r="AI88">
        <v>9060000</v>
      </c>
      <c r="AJ88">
        <v>8020750000</v>
      </c>
      <c r="AK88">
        <v>4.0073550453934864E-10</v>
      </c>
      <c r="AL88">
        <v>0.30566882621951219</v>
      </c>
    </row>
    <row r="89" spans="21:38">
      <c r="U89">
        <v>1.1221406991799807E-2</v>
      </c>
      <c r="V89">
        <v>23.18</v>
      </c>
      <c r="W89">
        <v>23.11</v>
      </c>
      <c r="X89">
        <f t="shared" si="1"/>
        <v>3.0244113199395239E-3</v>
      </c>
      <c r="Y89">
        <v>450395</v>
      </c>
      <c r="Z89">
        <v>379800000</v>
      </c>
      <c r="AA89">
        <v>10408628.449999999</v>
      </c>
      <c r="AB89">
        <v>151930000</v>
      </c>
      <c r="AC89">
        <v>2.9644902257618638E-3</v>
      </c>
      <c r="AD89">
        <v>74930.7</v>
      </c>
      <c r="AE89">
        <v>0.2157</v>
      </c>
      <c r="AF89">
        <v>26240000000</v>
      </c>
      <c r="AG89">
        <v>8953420000</v>
      </c>
      <c r="AH89">
        <v>2084330000</v>
      </c>
      <c r="AI89">
        <v>9060000</v>
      </c>
      <c r="AJ89">
        <v>8020750000</v>
      </c>
      <c r="AK89">
        <v>5.3741987366018708E-10</v>
      </c>
      <c r="AL89">
        <v>0.30566882621951219</v>
      </c>
    </row>
    <row r="90" spans="21:38">
      <c r="U90">
        <v>2.2771213748657256E-2</v>
      </c>
      <c r="V90">
        <v>23.25</v>
      </c>
      <c r="W90">
        <v>23.2</v>
      </c>
      <c r="X90">
        <f t="shared" si="1"/>
        <v>2.1528525296017529E-3</v>
      </c>
      <c r="Y90">
        <v>581597</v>
      </c>
      <c r="Z90">
        <v>379800000</v>
      </c>
      <c r="AA90">
        <v>13516314.279999999</v>
      </c>
      <c r="AB90">
        <v>151930000</v>
      </c>
      <c r="AC90">
        <v>3.8280589745277429E-3</v>
      </c>
      <c r="AD90">
        <v>74663.98</v>
      </c>
      <c r="AE90">
        <v>0.2157</v>
      </c>
      <c r="AF90">
        <v>26240000000</v>
      </c>
      <c r="AG90">
        <v>8953420000</v>
      </c>
      <c r="AH90">
        <v>2084330000</v>
      </c>
      <c r="AI90">
        <v>9060000</v>
      </c>
      <c r="AJ90">
        <v>8020750000</v>
      </c>
      <c r="AK90">
        <v>6.3724949337429378E-11</v>
      </c>
      <c r="AL90">
        <v>0.30566882621951219</v>
      </c>
    </row>
    <row r="91" spans="21:38">
      <c r="U91">
        <v>2.7700831024930688E-2</v>
      </c>
      <c r="V91">
        <v>23.28</v>
      </c>
      <c r="W91">
        <v>23.2</v>
      </c>
      <c r="X91">
        <f t="shared" si="1"/>
        <v>3.4423407917384611E-3</v>
      </c>
      <c r="Y91">
        <v>649863</v>
      </c>
      <c r="Z91">
        <v>379800000</v>
      </c>
      <c r="AA91">
        <v>15089818.859999999</v>
      </c>
      <c r="AB91">
        <v>151930000</v>
      </c>
      <c r="AC91">
        <v>4.2773843217271115E-3</v>
      </c>
      <c r="AD91">
        <v>74531.19</v>
      </c>
      <c r="AE91">
        <v>0.21590000000000001</v>
      </c>
      <c r="AF91">
        <v>26240000000</v>
      </c>
      <c r="AG91">
        <v>8953420000</v>
      </c>
      <c r="AH91">
        <v>2084330000</v>
      </c>
      <c r="AI91">
        <v>9060000</v>
      </c>
      <c r="AJ91">
        <v>8020750000</v>
      </c>
      <c r="AK91">
        <v>2.8552282573981399E-11</v>
      </c>
      <c r="AL91">
        <v>0.30566882621951219</v>
      </c>
    </row>
    <row r="92" spans="21:38">
      <c r="U92">
        <v>4.17124039517014E-2</v>
      </c>
      <c r="V92">
        <v>23.25</v>
      </c>
      <c r="W92">
        <v>23.2</v>
      </c>
      <c r="X92">
        <f t="shared" si="1"/>
        <v>2.1528525296017529E-3</v>
      </c>
      <c r="Y92">
        <v>817250</v>
      </c>
      <c r="Z92">
        <v>379800000</v>
      </c>
      <c r="AA92">
        <v>18968372.5</v>
      </c>
      <c r="AB92">
        <v>151930000</v>
      </c>
      <c r="AC92">
        <v>5.3791219640623973E-3</v>
      </c>
      <c r="AD92">
        <v>73799.11</v>
      </c>
      <c r="AE92">
        <v>0.21590000000000001</v>
      </c>
      <c r="AF92">
        <v>26240000000</v>
      </c>
      <c r="AG92">
        <v>8953420000</v>
      </c>
      <c r="AH92">
        <v>2084330000</v>
      </c>
      <c r="AI92">
        <v>9060000</v>
      </c>
      <c r="AJ92">
        <v>8020750000</v>
      </c>
      <c r="AK92">
        <v>5.5083328687432758E-10</v>
      </c>
      <c r="AL92">
        <v>0.30566882621951219</v>
      </c>
    </row>
    <row r="93" spans="21:38">
      <c r="U93">
        <v>4.8458149779735747E-2</v>
      </c>
      <c r="V93">
        <v>23</v>
      </c>
      <c r="W93">
        <v>22.9</v>
      </c>
      <c r="X93">
        <f t="shared" si="1"/>
        <v>4.3572984749455958E-3</v>
      </c>
      <c r="Y93">
        <v>2505004</v>
      </c>
      <c r="Z93">
        <v>379800000</v>
      </c>
      <c r="AA93">
        <v>57539941.879999995</v>
      </c>
      <c r="AB93">
        <v>151930000</v>
      </c>
      <c r="AC93">
        <v>1.6487882577502798E-2</v>
      </c>
      <c r="AD93">
        <v>73085.5</v>
      </c>
      <c r="AE93">
        <v>0.21590000000000001</v>
      </c>
      <c r="AF93">
        <v>26240000000</v>
      </c>
      <c r="AG93">
        <v>8953420000</v>
      </c>
      <c r="AH93">
        <v>2084330000</v>
      </c>
      <c r="AI93">
        <v>9060000</v>
      </c>
      <c r="AJ93">
        <v>8020750000</v>
      </c>
      <c r="AK93">
        <v>4.9810606757317059E-10</v>
      </c>
      <c r="AL93">
        <v>0.30566882621951219</v>
      </c>
    </row>
    <row r="94" spans="21:38">
      <c r="U94">
        <v>2.3381294964028757E-2</v>
      </c>
      <c r="V94">
        <v>22.31</v>
      </c>
      <c r="W94">
        <v>22.27</v>
      </c>
      <c r="X94">
        <f t="shared" si="1"/>
        <v>1.7945266935845288E-3</v>
      </c>
      <c r="Y94">
        <v>884998</v>
      </c>
      <c r="Z94">
        <v>379800000</v>
      </c>
      <c r="AA94">
        <v>19762005.34</v>
      </c>
      <c r="AB94">
        <v>151930000</v>
      </c>
      <c r="AC94">
        <v>5.8250378463766206E-3</v>
      </c>
      <c r="AD94">
        <v>72658.05</v>
      </c>
      <c r="AE94">
        <v>0.21590000000000001</v>
      </c>
      <c r="AF94">
        <v>26240000000</v>
      </c>
      <c r="AG94">
        <v>8953420000</v>
      </c>
      <c r="AH94">
        <v>2084330000</v>
      </c>
      <c r="AI94">
        <v>9060000</v>
      </c>
      <c r="AJ94">
        <v>8020750000</v>
      </c>
      <c r="AK94">
        <v>7.5903228148808524E-10</v>
      </c>
      <c r="AL94">
        <v>0.30566882621951219</v>
      </c>
    </row>
    <row r="95" spans="21:38">
      <c r="U95">
        <v>2.9299075952220061E-2</v>
      </c>
      <c r="V95">
        <v>22.05</v>
      </c>
      <c r="W95">
        <v>22.04</v>
      </c>
      <c r="X95">
        <f t="shared" si="1"/>
        <v>4.5361760036296498E-4</v>
      </c>
      <c r="Y95">
        <v>857168</v>
      </c>
      <c r="Z95">
        <v>379800000</v>
      </c>
      <c r="AA95">
        <v>18857696</v>
      </c>
      <c r="AB95">
        <v>151930000</v>
      </c>
      <c r="AC95">
        <v>5.64186138353189E-3</v>
      </c>
      <c r="AD95">
        <v>72601.820000000007</v>
      </c>
      <c r="AE95">
        <v>0.21590000000000001</v>
      </c>
      <c r="AF95">
        <v>26240000000</v>
      </c>
      <c r="AG95">
        <v>8953420000</v>
      </c>
      <c r="AH95">
        <v>2084330000</v>
      </c>
      <c r="AI95">
        <v>9060000</v>
      </c>
      <c r="AJ95">
        <v>8020750000</v>
      </c>
      <c r="AK95">
        <v>2.1605193647957497E-10</v>
      </c>
      <c r="AL95">
        <v>0.30566882621951219</v>
      </c>
    </row>
    <row r="96" spans="21:38">
      <c r="U96">
        <v>6.6079295154185022E-2</v>
      </c>
      <c r="V96">
        <v>22</v>
      </c>
      <c r="W96">
        <v>21.95</v>
      </c>
      <c r="X96">
        <f t="shared" si="1"/>
        <v>2.2753128555176656E-3</v>
      </c>
      <c r="Y96">
        <v>2451299</v>
      </c>
      <c r="Z96">
        <v>379800000</v>
      </c>
      <c r="AA96">
        <v>54149194.909999996</v>
      </c>
      <c r="AB96">
        <v>151930000</v>
      </c>
      <c r="AC96">
        <v>1.6134397419864412E-2</v>
      </c>
      <c r="AD96">
        <v>72761.2</v>
      </c>
      <c r="AE96">
        <v>0.21590000000000001</v>
      </c>
      <c r="AF96">
        <v>26240000000</v>
      </c>
      <c r="AG96">
        <v>8953420000</v>
      </c>
      <c r="AH96">
        <v>2084330000</v>
      </c>
      <c r="AI96">
        <v>9060000</v>
      </c>
      <c r="AJ96">
        <v>8020750000</v>
      </c>
      <c r="AK96">
        <v>1.8165985127252471E-9</v>
      </c>
      <c r="AL96">
        <v>0.30566882621951219</v>
      </c>
    </row>
    <row r="97" spans="21:38">
      <c r="U97">
        <v>3.0352748154224708E-2</v>
      </c>
      <c r="V97">
        <v>24.65</v>
      </c>
      <c r="W97">
        <v>24.64</v>
      </c>
      <c r="X97">
        <f t="shared" si="1"/>
        <v>4.0576181781286309E-4</v>
      </c>
      <c r="Y97">
        <v>5636326</v>
      </c>
      <c r="Z97">
        <v>379800000</v>
      </c>
      <c r="AA97">
        <v>138089987</v>
      </c>
      <c r="AB97">
        <v>151930000</v>
      </c>
      <c r="AC97">
        <v>3.709817679194366E-2</v>
      </c>
      <c r="AD97">
        <v>72764.240000000005</v>
      </c>
      <c r="AE97">
        <v>0.21590000000000001</v>
      </c>
      <c r="AF97">
        <v>26240000000</v>
      </c>
      <c r="AG97">
        <v>8953420000</v>
      </c>
      <c r="AH97">
        <v>2084330000</v>
      </c>
      <c r="AI97">
        <v>9060000</v>
      </c>
      <c r="AJ97">
        <v>8020750000</v>
      </c>
      <c r="AK97">
        <v>1.5086780573984219E-10</v>
      </c>
      <c r="AL97">
        <v>0.30566882621951219</v>
      </c>
    </row>
    <row r="98" spans="21:38">
      <c r="U98">
        <v>3.9134054954204738E-2</v>
      </c>
      <c r="V98">
        <v>24.03</v>
      </c>
      <c r="W98">
        <v>24</v>
      </c>
      <c r="X98">
        <f t="shared" si="1"/>
        <v>1.2492192379763122E-3</v>
      </c>
      <c r="Y98">
        <v>3163120</v>
      </c>
      <c r="Z98">
        <v>379800000</v>
      </c>
      <c r="AA98">
        <v>75914880</v>
      </c>
      <c r="AB98">
        <v>151930000</v>
      </c>
      <c r="AC98">
        <v>2.0819587968143222E-2</v>
      </c>
      <c r="AD98">
        <v>71902.09</v>
      </c>
      <c r="AE98">
        <v>0.21590000000000001</v>
      </c>
      <c r="AF98">
        <v>26240000000</v>
      </c>
      <c r="AG98">
        <v>8953420000</v>
      </c>
      <c r="AH98">
        <v>2084330000</v>
      </c>
      <c r="AI98">
        <v>9060000</v>
      </c>
      <c r="AJ98">
        <v>8020750000</v>
      </c>
      <c r="AK98">
        <v>1.6674238104705291E-10</v>
      </c>
      <c r="AL98">
        <v>0.30566882621951219</v>
      </c>
    </row>
    <row r="99" spans="21:38">
      <c r="U99">
        <v>1.6877637130801627E-2</v>
      </c>
      <c r="V99">
        <v>23.79</v>
      </c>
      <c r="W99">
        <v>23.76</v>
      </c>
      <c r="X99">
        <f t="shared" si="1"/>
        <v>1.2618296529967438E-3</v>
      </c>
      <c r="Y99">
        <v>2134414</v>
      </c>
      <c r="Z99">
        <v>379800000</v>
      </c>
      <c r="AA99">
        <v>50585611.799999997</v>
      </c>
      <c r="AB99">
        <v>151930000</v>
      </c>
      <c r="AC99">
        <v>1.4048667149345093E-2</v>
      </c>
      <c r="AD99">
        <v>70657.64</v>
      </c>
      <c r="AE99">
        <v>0.21590000000000001</v>
      </c>
      <c r="AF99">
        <v>26240000000</v>
      </c>
      <c r="AG99">
        <v>8953420000</v>
      </c>
      <c r="AH99">
        <v>2084330000</v>
      </c>
      <c r="AI99">
        <v>9060000</v>
      </c>
      <c r="AJ99">
        <v>8020750000</v>
      </c>
      <c r="AK99">
        <v>7.5356291163540945E-11</v>
      </c>
      <c r="AL99">
        <v>0.30566882621951219</v>
      </c>
    </row>
    <row r="100" spans="21:38">
      <c r="U100">
        <v>3.5175879396984917E-2</v>
      </c>
      <c r="V100">
        <v>23.72</v>
      </c>
      <c r="W100">
        <v>23.7</v>
      </c>
      <c r="X100">
        <f t="shared" si="1"/>
        <v>8.4352593842258847E-4</v>
      </c>
      <c r="Y100">
        <v>4098616</v>
      </c>
      <c r="Z100">
        <v>379800000</v>
      </c>
      <c r="AA100">
        <v>96768323.75999999</v>
      </c>
      <c r="AB100">
        <v>151930000</v>
      </c>
      <c r="AC100">
        <v>2.6977002566971633E-2</v>
      </c>
      <c r="AD100">
        <v>71102.55</v>
      </c>
      <c r="AE100">
        <v>0.21590000000000001</v>
      </c>
      <c r="AF100">
        <v>26240000000</v>
      </c>
      <c r="AG100">
        <v>8953420000</v>
      </c>
      <c r="AH100">
        <v>2084330000</v>
      </c>
      <c r="AI100">
        <v>9060000</v>
      </c>
      <c r="AJ100">
        <v>8020750000</v>
      </c>
      <c r="AK100">
        <v>7.0508896438800051E-11</v>
      </c>
      <c r="AL100">
        <v>0.30566882621951219</v>
      </c>
    </row>
    <row r="101" spans="21:38">
      <c r="U101">
        <v>2.3295944779982706E-2</v>
      </c>
      <c r="V101">
        <v>23.48</v>
      </c>
      <c r="W101">
        <v>23.45</v>
      </c>
      <c r="X101">
        <f t="shared" si="1"/>
        <v>1.2784998934583906E-3</v>
      </c>
      <c r="Y101">
        <v>6442170</v>
      </c>
      <c r="Z101">
        <v>379800000</v>
      </c>
      <c r="AA101">
        <v>151068886.5</v>
      </c>
      <c r="AB101">
        <v>151930000</v>
      </c>
      <c r="AC101">
        <v>4.2402224708747452E-2</v>
      </c>
      <c r="AD101">
        <v>71695.03</v>
      </c>
      <c r="AE101">
        <v>0.21640000000000001</v>
      </c>
      <c r="AF101">
        <v>26240000000</v>
      </c>
      <c r="AG101">
        <v>8953420000</v>
      </c>
      <c r="AH101">
        <v>2084330000</v>
      </c>
      <c r="AI101">
        <v>9060000</v>
      </c>
      <c r="AJ101">
        <v>8020750000</v>
      </c>
      <c r="AK101">
        <v>4.9775216117015965E-10</v>
      </c>
      <c r="AL101">
        <v>0.30566882621951219</v>
      </c>
    </row>
    <row r="102" spans="21:38">
      <c r="U102">
        <v>7.8132444020962213E-2</v>
      </c>
      <c r="V102">
        <v>21.86</v>
      </c>
      <c r="W102">
        <v>21.81</v>
      </c>
      <c r="X102">
        <f t="shared" si="1"/>
        <v>2.2899015342340602E-3</v>
      </c>
      <c r="Y102">
        <v>4425251</v>
      </c>
      <c r="Z102">
        <v>379800000</v>
      </c>
      <c r="AA102">
        <v>96514724.309999987</v>
      </c>
      <c r="AB102">
        <v>151930000</v>
      </c>
      <c r="AC102">
        <v>2.9126907128282763E-2</v>
      </c>
      <c r="AD102">
        <v>72742.75</v>
      </c>
      <c r="AE102">
        <v>0.21640000000000001</v>
      </c>
      <c r="AF102">
        <v>26240000000</v>
      </c>
      <c r="AG102">
        <v>8953420000</v>
      </c>
      <c r="AH102">
        <v>2084330000</v>
      </c>
      <c r="AI102">
        <v>9060000</v>
      </c>
      <c r="AJ102">
        <v>8020750000</v>
      </c>
      <c r="AK102">
        <v>7.7618986275553309E-10</v>
      </c>
      <c r="AL102">
        <v>0.30566882621951219</v>
      </c>
    </row>
    <row r="103" spans="21:38">
      <c r="U103">
        <v>2.4191557640088786E-2</v>
      </c>
      <c r="V103">
        <v>20.350000000000001</v>
      </c>
      <c r="W103">
        <v>20.3</v>
      </c>
      <c r="X103">
        <f t="shared" si="1"/>
        <v>2.4600246002460372E-3</v>
      </c>
      <c r="Y103">
        <v>831320</v>
      </c>
      <c r="Z103">
        <v>379800000</v>
      </c>
      <c r="AA103">
        <v>16867482.800000001</v>
      </c>
      <c r="AB103">
        <v>151930000</v>
      </c>
      <c r="AC103">
        <v>5.4717304021588888E-3</v>
      </c>
      <c r="AD103">
        <v>71971.399999999994</v>
      </c>
      <c r="AE103">
        <v>0.21640000000000001</v>
      </c>
      <c r="AF103">
        <v>26240000000</v>
      </c>
      <c r="AG103">
        <v>8953420000</v>
      </c>
      <c r="AH103">
        <v>2084330000</v>
      </c>
      <c r="AI103">
        <v>9060000</v>
      </c>
      <c r="AJ103">
        <v>8020750000</v>
      </c>
      <c r="AK103">
        <v>5.0092264952244131E-10</v>
      </c>
      <c r="AL103">
        <v>0.30566882621951219</v>
      </c>
    </row>
    <row r="104" spans="21:38">
      <c r="U104">
        <v>1.5380798809228415E-2</v>
      </c>
      <c r="V104">
        <v>20.14</v>
      </c>
      <c r="W104">
        <v>20.09</v>
      </c>
      <c r="X104">
        <f t="shared" si="1"/>
        <v>2.485707183693796E-3</v>
      </c>
      <c r="Y104">
        <v>1471274</v>
      </c>
      <c r="Z104">
        <v>379800000</v>
      </c>
      <c r="AA104">
        <v>29602032.880000003</v>
      </c>
      <c r="AB104">
        <v>151930000</v>
      </c>
      <c r="AC104">
        <v>9.6838938985058902E-3</v>
      </c>
      <c r="AD104">
        <v>72051.89</v>
      </c>
      <c r="AE104">
        <v>0.21640000000000001</v>
      </c>
      <c r="AF104">
        <v>26240000000</v>
      </c>
      <c r="AG104">
        <v>8953420000</v>
      </c>
      <c r="AH104">
        <v>2084330000</v>
      </c>
      <c r="AI104">
        <v>9060000</v>
      </c>
      <c r="AJ104">
        <v>8020750000</v>
      </c>
      <c r="AK104">
        <v>8.4159102460478828E-11</v>
      </c>
      <c r="AL104">
        <v>0.30566882621951219</v>
      </c>
    </row>
    <row r="105" spans="21:38">
      <c r="U105">
        <v>1.1422895455674221E-2</v>
      </c>
      <c r="V105">
        <v>20.149999999999999</v>
      </c>
      <c r="W105">
        <v>20.100000000000001</v>
      </c>
      <c r="X105">
        <f t="shared" si="1"/>
        <v>2.4844720496892997E-3</v>
      </c>
      <c r="Y105">
        <v>380456</v>
      </c>
      <c r="Z105">
        <v>379800000</v>
      </c>
      <c r="AA105">
        <v>7635751.9199999999</v>
      </c>
      <c r="AB105">
        <v>151930000</v>
      </c>
      <c r="AC105">
        <v>2.5041532284604752E-3</v>
      </c>
      <c r="AD105">
        <v>71359.41</v>
      </c>
      <c r="AE105">
        <v>0.21640000000000001</v>
      </c>
      <c r="AF105">
        <v>26240000000</v>
      </c>
      <c r="AG105">
        <v>8953420000</v>
      </c>
      <c r="AH105">
        <v>2084330000</v>
      </c>
      <c r="AI105">
        <v>9060000</v>
      </c>
      <c r="AJ105">
        <v>8020750000</v>
      </c>
      <c r="AK105">
        <v>0</v>
      </c>
      <c r="AL105">
        <v>0.30566882621951219</v>
      </c>
    </row>
    <row r="106" spans="21:38">
      <c r="U106">
        <v>1.9801980198019733E-2</v>
      </c>
      <c r="V106">
        <v>20.11</v>
      </c>
      <c r="W106">
        <v>20.059999999999999</v>
      </c>
      <c r="X106">
        <f t="shared" si="1"/>
        <v>2.4894199651481559E-3</v>
      </c>
      <c r="Y106">
        <v>927754</v>
      </c>
      <c r="Z106">
        <v>379800000</v>
      </c>
      <c r="AA106">
        <v>18620022.780000001</v>
      </c>
      <c r="AB106">
        <v>151930000</v>
      </c>
      <c r="AC106">
        <v>6.106456920950438E-3</v>
      </c>
      <c r="AD106">
        <v>71433.460000000006</v>
      </c>
      <c r="AE106">
        <v>0.21640000000000001</v>
      </c>
      <c r="AF106">
        <v>26240000000</v>
      </c>
      <c r="AG106">
        <v>8953420000</v>
      </c>
      <c r="AH106">
        <v>2084330000</v>
      </c>
      <c r="AI106">
        <v>9060000</v>
      </c>
      <c r="AJ106">
        <v>8020750000</v>
      </c>
      <c r="AK106">
        <v>3.7203304274509327E-10</v>
      </c>
      <c r="AL106">
        <v>0.30566882621951219</v>
      </c>
    </row>
    <row r="107" spans="21:38">
      <c r="U107">
        <v>1.3409485969704475E-2</v>
      </c>
      <c r="V107">
        <v>20.25</v>
      </c>
      <c r="W107">
        <v>20.2</v>
      </c>
      <c r="X107">
        <f t="shared" si="1"/>
        <v>2.4721878862793921E-3</v>
      </c>
      <c r="Y107">
        <v>257261</v>
      </c>
      <c r="Z107">
        <v>379800000</v>
      </c>
      <c r="AA107">
        <v>5199244.8100000005</v>
      </c>
      <c r="AB107">
        <v>151930000</v>
      </c>
      <c r="AC107">
        <v>1.6932863818863951E-3</v>
      </c>
      <c r="AD107">
        <v>70909.899999999994</v>
      </c>
      <c r="AE107">
        <v>0.21640000000000001</v>
      </c>
      <c r="AF107">
        <v>26240000000</v>
      </c>
      <c r="AG107">
        <v>8953420000</v>
      </c>
      <c r="AH107">
        <v>2084330000</v>
      </c>
      <c r="AI107">
        <v>9060000</v>
      </c>
      <c r="AJ107">
        <v>8020750000</v>
      </c>
      <c r="AK107">
        <v>1.341653587364316E-9</v>
      </c>
      <c r="AL107">
        <v>0.30566882621951219</v>
      </c>
    </row>
    <row r="108" spans="21:38">
      <c r="U108">
        <v>1.3937282229965214E-2</v>
      </c>
      <c r="V108">
        <v>20.100000000000001</v>
      </c>
      <c r="W108">
        <v>20.05</v>
      </c>
      <c r="X108">
        <f t="shared" si="1"/>
        <v>2.4906600249066354E-3</v>
      </c>
      <c r="Y108">
        <v>395099</v>
      </c>
      <c r="Z108">
        <v>379800000</v>
      </c>
      <c r="AA108">
        <v>7929636.9299999997</v>
      </c>
      <c r="AB108">
        <v>151930000</v>
      </c>
      <c r="AC108">
        <v>2.6005331402619626E-3</v>
      </c>
      <c r="AD108">
        <v>70290.12</v>
      </c>
      <c r="AE108">
        <v>0.21640000000000001</v>
      </c>
      <c r="AF108">
        <v>26240000000</v>
      </c>
      <c r="AG108">
        <v>8953420000</v>
      </c>
      <c r="AH108">
        <v>2084330000</v>
      </c>
      <c r="AI108">
        <v>9060000</v>
      </c>
      <c r="AJ108">
        <v>8020750000</v>
      </c>
      <c r="AK108">
        <v>6.2865991336183007E-11</v>
      </c>
      <c r="AL108">
        <v>0.30566882621951219</v>
      </c>
    </row>
    <row r="109" spans="21:38">
      <c r="U109">
        <v>1.2422360248447204E-2</v>
      </c>
      <c r="V109">
        <v>20.100000000000001</v>
      </c>
      <c r="W109">
        <v>20</v>
      </c>
      <c r="X109">
        <f t="shared" si="1"/>
        <v>4.9875311720698964E-3</v>
      </c>
      <c r="Y109">
        <v>530583</v>
      </c>
      <c r="Z109">
        <v>379800000</v>
      </c>
      <c r="AA109">
        <v>10643494.979999999</v>
      </c>
      <c r="AB109">
        <v>151930000</v>
      </c>
      <c r="AC109">
        <v>3.492285921147897E-3</v>
      </c>
      <c r="AD109">
        <v>70333.320000000007</v>
      </c>
      <c r="AE109">
        <v>0.21640000000000001</v>
      </c>
      <c r="AF109">
        <v>26240000000</v>
      </c>
      <c r="AG109">
        <v>8953420000</v>
      </c>
      <c r="AH109">
        <v>2084330000</v>
      </c>
      <c r="AI109">
        <v>9060000</v>
      </c>
      <c r="AJ109">
        <v>8020750000</v>
      </c>
      <c r="AK109">
        <v>9.3766567644488784E-11</v>
      </c>
      <c r="AL109">
        <v>0.30566882621951219</v>
      </c>
    </row>
    <row r="110" spans="21:38">
      <c r="U110">
        <v>2.1377081779766331E-2</v>
      </c>
      <c r="V110">
        <v>20.149999999999999</v>
      </c>
      <c r="W110">
        <v>20.010000000000002</v>
      </c>
      <c r="X110">
        <f t="shared" si="1"/>
        <v>6.9721115537847121E-3</v>
      </c>
      <c r="Y110">
        <v>549730</v>
      </c>
      <c r="Z110">
        <v>379800000</v>
      </c>
      <c r="AA110">
        <v>11016589.199999999</v>
      </c>
      <c r="AB110">
        <v>151930000</v>
      </c>
      <c r="AC110">
        <v>3.6183110643059303E-3</v>
      </c>
      <c r="AD110">
        <v>70483.66</v>
      </c>
      <c r="AE110">
        <v>0.216</v>
      </c>
      <c r="AF110">
        <v>26240000000</v>
      </c>
      <c r="AG110">
        <v>8953420000</v>
      </c>
      <c r="AH110">
        <v>2084330000</v>
      </c>
      <c r="AI110">
        <v>9060000</v>
      </c>
      <c r="AJ110">
        <v>8020750000</v>
      </c>
      <c r="AK110">
        <v>1.8154439306858767E-10</v>
      </c>
      <c r="AL110">
        <v>0.30566882621951219</v>
      </c>
    </row>
    <row r="111" spans="21:38">
      <c r="U111">
        <v>2.0312112955164732E-2</v>
      </c>
      <c r="V111">
        <v>20</v>
      </c>
      <c r="W111">
        <v>19.989999999999998</v>
      </c>
      <c r="X111">
        <f t="shared" si="1"/>
        <v>5.0012503125789268E-4</v>
      </c>
      <c r="Y111">
        <v>1226339</v>
      </c>
      <c r="Z111">
        <v>379800000</v>
      </c>
      <c r="AA111">
        <v>24526780</v>
      </c>
      <c r="AB111">
        <v>151930000</v>
      </c>
      <c r="AC111">
        <v>8.0717369841374325E-3</v>
      </c>
      <c r="AD111">
        <v>70544.58</v>
      </c>
      <c r="AE111">
        <v>0.216</v>
      </c>
      <c r="AF111">
        <v>26240000000</v>
      </c>
      <c r="AG111">
        <v>8953420000</v>
      </c>
      <c r="AH111">
        <v>2084330000</v>
      </c>
      <c r="AI111">
        <v>9060000</v>
      </c>
      <c r="AJ111">
        <v>8020750000</v>
      </c>
      <c r="AK111">
        <v>7.7984240289654756E-10</v>
      </c>
      <c r="AL111">
        <v>0.30566882621951219</v>
      </c>
    </row>
    <row r="112" spans="21:38">
      <c r="U112">
        <v>1.2300123001230012E-2</v>
      </c>
      <c r="V112">
        <v>20.41</v>
      </c>
      <c r="W112">
        <v>20.399999999999999</v>
      </c>
      <c r="X112">
        <f t="shared" si="1"/>
        <v>4.9007596177415161E-4</v>
      </c>
      <c r="Y112">
        <v>404806</v>
      </c>
      <c r="Z112">
        <v>379800000</v>
      </c>
      <c r="AA112">
        <v>8253994.3399999999</v>
      </c>
      <c r="AB112">
        <v>151930000</v>
      </c>
      <c r="AC112">
        <v>2.6644244059764364E-3</v>
      </c>
      <c r="AD112">
        <v>70314.720000000001</v>
      </c>
      <c r="AE112">
        <v>0.216</v>
      </c>
      <c r="AF112">
        <v>26240000000</v>
      </c>
      <c r="AG112">
        <v>8953420000</v>
      </c>
      <c r="AH112">
        <v>2084330000</v>
      </c>
      <c r="AI112">
        <v>9060000</v>
      </c>
      <c r="AJ112">
        <v>8020750000</v>
      </c>
      <c r="AK112">
        <v>3.5756063922572442E-10</v>
      </c>
      <c r="AL112">
        <v>0.30566882621951219</v>
      </c>
    </row>
    <row r="113" spans="21:38">
      <c r="U113">
        <v>1.5794669299111563E-2</v>
      </c>
      <c r="V113">
        <v>20.37</v>
      </c>
      <c r="W113">
        <v>20.36</v>
      </c>
      <c r="X113">
        <f t="shared" si="1"/>
        <v>4.9103854652597894E-4</v>
      </c>
      <c r="Y113">
        <v>579130</v>
      </c>
      <c r="Z113">
        <v>379800000</v>
      </c>
      <c r="AA113">
        <v>11773712.899999999</v>
      </c>
      <c r="AB113">
        <v>151930000</v>
      </c>
      <c r="AC113">
        <v>3.811821233462779E-3</v>
      </c>
      <c r="AD113">
        <v>69619.990000000005</v>
      </c>
      <c r="AE113">
        <v>0.216</v>
      </c>
      <c r="AF113">
        <v>26240000000</v>
      </c>
      <c r="AG113">
        <v>8953420000</v>
      </c>
      <c r="AH113">
        <v>2084330000</v>
      </c>
      <c r="AI113">
        <v>9060000</v>
      </c>
      <c r="AJ113">
        <v>8020750000</v>
      </c>
      <c r="AK113">
        <v>1.4446168678128766E-9</v>
      </c>
      <c r="AL113">
        <v>0.30566882621951219</v>
      </c>
    </row>
    <row r="114" spans="21:38">
      <c r="U114">
        <v>2.0989505247376222E-2</v>
      </c>
      <c r="V114">
        <v>20</v>
      </c>
      <c r="W114">
        <v>19.899999999999999</v>
      </c>
      <c r="X114">
        <f t="shared" si="1"/>
        <v>5.0125313283208737E-3</v>
      </c>
      <c r="Y114">
        <v>693734</v>
      </c>
      <c r="Z114">
        <v>379800000</v>
      </c>
      <c r="AA114">
        <v>13867742.659999998</v>
      </c>
      <c r="AB114">
        <v>151930000</v>
      </c>
      <c r="AC114">
        <v>4.5661423023760942E-3</v>
      </c>
      <c r="AD114">
        <v>68416.78</v>
      </c>
      <c r="AE114">
        <v>0.216</v>
      </c>
      <c r="AF114">
        <v>26240000000</v>
      </c>
      <c r="AG114">
        <v>8953420000</v>
      </c>
      <c r="AH114">
        <v>2084330000</v>
      </c>
      <c r="AI114">
        <v>9060000</v>
      </c>
      <c r="AJ114">
        <v>8020750000</v>
      </c>
      <c r="AK114">
        <v>7.6557410180123783E-10</v>
      </c>
      <c r="AL114">
        <v>0.30566882621951219</v>
      </c>
    </row>
    <row r="115" spans="21:38">
      <c r="U115">
        <v>1.2667848999239929E-2</v>
      </c>
      <c r="V115">
        <v>19.850000000000001</v>
      </c>
      <c r="W115">
        <v>19.8</v>
      </c>
      <c r="X115">
        <f t="shared" si="1"/>
        <v>2.5220680958386232E-3</v>
      </c>
      <c r="Y115">
        <v>196928</v>
      </c>
      <c r="Z115">
        <v>379800000</v>
      </c>
      <c r="AA115">
        <v>3895235.8400000003</v>
      </c>
      <c r="AB115">
        <v>151930000</v>
      </c>
      <c r="AC115">
        <v>1.2961758704666622E-3</v>
      </c>
      <c r="AD115">
        <v>67756.039999999994</v>
      </c>
      <c r="AE115">
        <v>0.216</v>
      </c>
      <c r="AF115">
        <v>26240000000</v>
      </c>
      <c r="AG115">
        <v>8953420000</v>
      </c>
      <c r="AH115">
        <v>2084330000</v>
      </c>
      <c r="AI115">
        <v>9060000</v>
      </c>
      <c r="AJ115">
        <v>8020750000</v>
      </c>
      <c r="AK115">
        <v>5.2021046609452622E-10</v>
      </c>
      <c r="AL115">
        <v>0.30566882621951219</v>
      </c>
    </row>
    <row r="116" spans="21:38">
      <c r="U116">
        <v>1.7743979721165922E-2</v>
      </c>
      <c r="V116">
        <v>19.84</v>
      </c>
      <c r="W116">
        <v>19.68</v>
      </c>
      <c r="X116">
        <f t="shared" si="1"/>
        <v>8.0971659919028428E-3</v>
      </c>
      <c r="Y116">
        <v>294147</v>
      </c>
      <c r="Z116">
        <v>379800000</v>
      </c>
      <c r="AA116">
        <v>5806461.7799999993</v>
      </c>
      <c r="AB116">
        <v>151930000</v>
      </c>
      <c r="AC116">
        <v>1.9360692424142698E-3</v>
      </c>
      <c r="AD116">
        <v>66886.259999999995</v>
      </c>
      <c r="AE116">
        <v>0.216</v>
      </c>
      <c r="AF116">
        <v>26240000000</v>
      </c>
      <c r="AG116">
        <v>8953420000</v>
      </c>
      <c r="AH116">
        <v>2084330000</v>
      </c>
      <c r="AI116">
        <v>9060000</v>
      </c>
      <c r="AJ116">
        <v>8020750000</v>
      </c>
      <c r="AK116">
        <v>9.5437840165142667E-10</v>
      </c>
      <c r="AL116">
        <v>0.30566882621951219</v>
      </c>
    </row>
    <row r="117" spans="21:38">
      <c r="U117">
        <v>7.5662042875156918E-3</v>
      </c>
      <c r="V117">
        <v>19.899999999999999</v>
      </c>
      <c r="W117">
        <v>19.829999999999998</v>
      </c>
      <c r="X117">
        <f t="shared" si="1"/>
        <v>3.5237855524792496E-3</v>
      </c>
      <c r="Y117">
        <v>148583</v>
      </c>
      <c r="Z117">
        <v>379800000</v>
      </c>
      <c r="AA117">
        <v>2949372.5500000003</v>
      </c>
      <c r="AB117">
        <v>151930000</v>
      </c>
      <c r="AC117">
        <v>9.7797011781741586E-4</v>
      </c>
      <c r="AD117">
        <v>66796.320000000007</v>
      </c>
      <c r="AE117">
        <v>0.216</v>
      </c>
      <c r="AF117">
        <v>26240000000</v>
      </c>
      <c r="AG117">
        <v>8953420000</v>
      </c>
      <c r="AH117">
        <v>2084330000</v>
      </c>
      <c r="AI117">
        <v>9060000</v>
      </c>
      <c r="AJ117">
        <v>8020750000</v>
      </c>
      <c r="AK117">
        <v>1.7089474100672527E-10</v>
      </c>
      <c r="AL117">
        <v>0.30566882621951219</v>
      </c>
    </row>
    <row r="118" spans="21:38">
      <c r="U118">
        <v>1.0050251256281372E-2</v>
      </c>
      <c r="V118">
        <v>19.920000000000002</v>
      </c>
      <c r="W118">
        <v>19.809999999999999</v>
      </c>
      <c r="X118">
        <f t="shared" si="1"/>
        <v>5.5373772967532327E-3</v>
      </c>
      <c r="Y118">
        <v>164078</v>
      </c>
      <c r="Z118">
        <v>379800000</v>
      </c>
      <c r="AA118">
        <v>3255307.52</v>
      </c>
      <c r="AB118">
        <v>151930000</v>
      </c>
      <c r="AC118">
        <v>1.0799578753373264E-3</v>
      </c>
      <c r="AD118">
        <v>67005.11</v>
      </c>
      <c r="AE118">
        <v>0.216</v>
      </c>
      <c r="AF118">
        <v>26240000000</v>
      </c>
      <c r="AG118">
        <v>8953420000</v>
      </c>
      <c r="AH118">
        <v>2084330000</v>
      </c>
      <c r="AI118">
        <v>9060000</v>
      </c>
      <c r="AJ118">
        <v>8020750000</v>
      </c>
      <c r="AK118">
        <v>4.6520541119179166E-10</v>
      </c>
      <c r="AL118">
        <v>0.30566882621951219</v>
      </c>
    </row>
    <row r="119" spans="21:38">
      <c r="U119">
        <v>3.6529680365296746E-2</v>
      </c>
      <c r="V119">
        <v>19.89</v>
      </c>
      <c r="W119">
        <v>19.829999999999998</v>
      </c>
      <c r="X119">
        <f t="shared" si="1"/>
        <v>3.0211480362538909E-3</v>
      </c>
      <c r="Y119">
        <v>457529</v>
      </c>
      <c r="Z119">
        <v>379800000</v>
      </c>
      <c r="AA119">
        <v>9063649.4900000002</v>
      </c>
      <c r="AB119">
        <v>151930000</v>
      </c>
      <c r="AC119">
        <v>3.0114460606858423E-3</v>
      </c>
      <c r="AD119">
        <v>67142.12</v>
      </c>
      <c r="AE119">
        <v>0.216</v>
      </c>
      <c r="AF119">
        <v>26240000000</v>
      </c>
      <c r="AG119">
        <v>8953420000</v>
      </c>
      <c r="AH119">
        <v>2084330000</v>
      </c>
      <c r="AI119">
        <v>9060000</v>
      </c>
      <c r="AJ119">
        <v>8020750000</v>
      </c>
      <c r="AK119">
        <v>2.0999181214695734E-9</v>
      </c>
      <c r="AL119">
        <v>0.30566882621951219</v>
      </c>
    </row>
    <row r="120" spans="21:38">
      <c r="U120">
        <v>8.7336244541485596E-3</v>
      </c>
      <c r="V120">
        <v>19.54</v>
      </c>
      <c r="W120">
        <v>19.45</v>
      </c>
      <c r="X120">
        <f t="shared" si="1"/>
        <v>4.6165683508591878E-3</v>
      </c>
      <c r="Y120">
        <v>123626</v>
      </c>
      <c r="Z120">
        <v>379800000</v>
      </c>
      <c r="AA120">
        <v>2403289.44</v>
      </c>
      <c r="AB120">
        <v>151930000</v>
      </c>
      <c r="AC120">
        <v>8.1370367932600543E-4</v>
      </c>
      <c r="AD120">
        <v>66547.789999999994</v>
      </c>
      <c r="AE120">
        <v>0.216</v>
      </c>
      <c r="AF120">
        <v>26240000000</v>
      </c>
      <c r="AG120">
        <v>8953420000</v>
      </c>
      <c r="AH120">
        <v>2084330000</v>
      </c>
      <c r="AI120">
        <v>9060000</v>
      </c>
      <c r="AJ120">
        <v>8020750000</v>
      </c>
      <c r="AK120">
        <v>1.2882240402130922E-9</v>
      </c>
      <c r="AL120">
        <v>0.30566882621951219</v>
      </c>
    </row>
    <row r="121" spans="21:38">
      <c r="U121">
        <v>2.2988505747126398E-2</v>
      </c>
      <c r="V121">
        <v>19.5</v>
      </c>
      <c r="W121">
        <v>19.399999999999999</v>
      </c>
      <c r="X121">
        <f t="shared" si="1"/>
        <v>5.1413881748072713E-3</v>
      </c>
      <c r="Y121">
        <v>389768</v>
      </c>
      <c r="Z121">
        <v>379800000</v>
      </c>
      <c r="AA121">
        <v>7553703.8399999999</v>
      </c>
      <c r="AB121">
        <v>151930000</v>
      </c>
      <c r="AC121">
        <v>2.5654446126505627E-3</v>
      </c>
      <c r="AD121">
        <v>65906.28</v>
      </c>
      <c r="AE121">
        <v>0.216</v>
      </c>
      <c r="AF121">
        <v>26240000000</v>
      </c>
      <c r="AG121">
        <v>8953420000</v>
      </c>
      <c r="AH121">
        <v>2084330000</v>
      </c>
      <c r="AI121">
        <v>9060000</v>
      </c>
      <c r="AJ121">
        <v>8020750000</v>
      </c>
      <c r="AK121">
        <v>2.4801312855270646E-9</v>
      </c>
      <c r="AL121">
        <v>0.30566882621951219</v>
      </c>
    </row>
    <row r="122" spans="21:38">
      <c r="U122">
        <v>1.8843901196842427E-2</v>
      </c>
      <c r="V122">
        <v>19.75</v>
      </c>
      <c r="W122">
        <v>19.649999999999999</v>
      </c>
      <c r="X122">
        <f t="shared" si="1"/>
        <v>5.0761421319797679E-3</v>
      </c>
      <c r="Y122">
        <v>166752</v>
      </c>
      <c r="Z122">
        <v>379800000</v>
      </c>
      <c r="AA122">
        <v>3293352</v>
      </c>
      <c r="AB122">
        <v>151930000</v>
      </c>
      <c r="AC122">
        <v>1.0975580859606399E-3</v>
      </c>
      <c r="AD122">
        <v>65525.65</v>
      </c>
      <c r="AE122">
        <v>0.216</v>
      </c>
      <c r="AF122">
        <v>26240000000</v>
      </c>
      <c r="AG122">
        <v>8953420000</v>
      </c>
      <c r="AH122">
        <v>2084330000</v>
      </c>
      <c r="AI122">
        <v>9060000</v>
      </c>
      <c r="AJ122">
        <v>8020750000</v>
      </c>
      <c r="AK122">
        <v>0</v>
      </c>
      <c r="AL122">
        <v>0.30566882621951219</v>
      </c>
    </row>
    <row r="123" spans="21:38">
      <c r="U123">
        <v>3.6727879799666158E-2</v>
      </c>
      <c r="V123">
        <v>30.2</v>
      </c>
      <c r="W123">
        <v>30.03</v>
      </c>
      <c r="X123">
        <f t="shared" si="1"/>
        <v>5.6450273949858257E-3</v>
      </c>
      <c r="Y123">
        <v>1758434</v>
      </c>
      <c r="Z123">
        <v>367350000</v>
      </c>
      <c r="AA123">
        <v>53051953.780000001</v>
      </c>
      <c r="AB123">
        <v>113870000</v>
      </c>
      <c r="AC123">
        <v>1.5442469482743479E-2</v>
      </c>
      <c r="AD123">
        <v>75983.039999999994</v>
      </c>
      <c r="AE123">
        <v>0.2157</v>
      </c>
      <c r="AF123">
        <v>30319780000</v>
      </c>
      <c r="AG123">
        <v>2209750000</v>
      </c>
      <c r="AH123">
        <v>1594120000</v>
      </c>
      <c r="AI123">
        <v>1134520000</v>
      </c>
      <c r="AJ123">
        <v>320650000</v>
      </c>
      <c r="AK123">
        <v>2.1005611398016143E-10</v>
      </c>
      <c r="AL123">
        <v>1.0575604440401612E-2</v>
      </c>
    </row>
    <row r="124" spans="21:38">
      <c r="U124">
        <v>7.4806393145493477E-2</v>
      </c>
      <c r="V124">
        <v>30.4</v>
      </c>
      <c r="W124">
        <v>30.39</v>
      </c>
      <c r="X124">
        <f t="shared" si="1"/>
        <v>3.2900148050659685E-4</v>
      </c>
      <c r="Y124">
        <v>9477182</v>
      </c>
      <c r="Z124">
        <v>367350000</v>
      </c>
      <c r="AA124">
        <v>289148822.81999999</v>
      </c>
      <c r="AB124">
        <v>113870000</v>
      </c>
      <c r="AC124">
        <v>8.3228084657943263E-2</v>
      </c>
      <c r="AD124">
        <v>75114.47</v>
      </c>
      <c r="AE124">
        <v>0.2157</v>
      </c>
      <c r="AF124">
        <v>30319780000</v>
      </c>
      <c r="AG124">
        <v>2209750000</v>
      </c>
      <c r="AH124">
        <v>1594120000</v>
      </c>
      <c r="AI124">
        <v>1134520000</v>
      </c>
      <c r="AJ124">
        <v>320650000</v>
      </c>
      <c r="AK124">
        <v>3.0337076039289509E-11</v>
      </c>
      <c r="AL124">
        <v>1.0575604440401612E-2</v>
      </c>
    </row>
    <row r="125" spans="21:38">
      <c r="U125">
        <v>8.0081094779523604E-2</v>
      </c>
      <c r="V125">
        <v>30.4</v>
      </c>
      <c r="W125">
        <v>30.78</v>
      </c>
      <c r="X125">
        <f t="shared" si="1"/>
        <v>-1.2422360248447289E-2</v>
      </c>
      <c r="Y125">
        <v>6843104</v>
      </c>
      <c r="Z125">
        <v>367350000</v>
      </c>
      <c r="AA125">
        <v>210630741.12</v>
      </c>
      <c r="AB125">
        <v>113870000</v>
      </c>
      <c r="AC125">
        <v>6.0095758320892242E-2</v>
      </c>
      <c r="AD125">
        <v>74956.67</v>
      </c>
      <c r="AE125">
        <v>0.2157</v>
      </c>
      <c r="AF125">
        <v>30319780000</v>
      </c>
      <c r="AG125">
        <v>2209750000</v>
      </c>
      <c r="AH125">
        <v>1594120000</v>
      </c>
      <c r="AI125">
        <v>1134520000</v>
      </c>
      <c r="AJ125">
        <v>320650000</v>
      </c>
      <c r="AK125">
        <v>3.5652940635279666E-10</v>
      </c>
      <c r="AL125">
        <v>1.0575604440401612E-2</v>
      </c>
    </row>
    <row r="126" spans="21:38">
      <c r="U126">
        <v>2.643171806167401E-2</v>
      </c>
      <c r="V126">
        <v>28.75</v>
      </c>
      <c r="W126">
        <v>28.7</v>
      </c>
      <c r="X126">
        <f t="shared" si="1"/>
        <v>1.7406440382941935E-3</v>
      </c>
      <c r="Y126">
        <v>1250211</v>
      </c>
      <c r="Z126">
        <v>367350000</v>
      </c>
      <c r="AA126">
        <v>35793540.93</v>
      </c>
      <c r="AB126">
        <v>113870000</v>
      </c>
      <c r="AC126">
        <v>1.0979283393343286E-2</v>
      </c>
      <c r="AD126">
        <v>75206.77</v>
      </c>
      <c r="AE126">
        <v>0.2157</v>
      </c>
      <c r="AF126">
        <v>30319780000</v>
      </c>
      <c r="AG126">
        <v>2209750000</v>
      </c>
      <c r="AH126">
        <v>1594120000</v>
      </c>
      <c r="AI126">
        <v>1134520000</v>
      </c>
      <c r="AJ126">
        <v>320650000</v>
      </c>
      <c r="AK126">
        <v>3.5577221570790091E-10</v>
      </c>
      <c r="AL126">
        <v>1.0575604440401612E-2</v>
      </c>
    </row>
    <row r="127" spans="21:38">
      <c r="U127">
        <v>5.0052137643378444E-2</v>
      </c>
      <c r="V127">
        <v>28.25</v>
      </c>
      <c r="W127">
        <v>28.21</v>
      </c>
      <c r="X127">
        <f t="shared" si="1"/>
        <v>1.4169323414806641E-3</v>
      </c>
      <c r="Y127">
        <v>2827582</v>
      </c>
      <c r="Z127">
        <v>367350000</v>
      </c>
      <c r="AA127">
        <v>79935743.140000001</v>
      </c>
      <c r="AB127">
        <v>113870000</v>
      </c>
      <c r="AC127">
        <v>2.4831667691226838E-2</v>
      </c>
      <c r="AD127">
        <v>75084</v>
      </c>
      <c r="AE127">
        <v>0.2157</v>
      </c>
      <c r="AF127">
        <v>30319780000</v>
      </c>
      <c r="AG127">
        <v>2209750000</v>
      </c>
      <c r="AH127">
        <v>1594120000</v>
      </c>
      <c r="AI127">
        <v>1134520000</v>
      </c>
      <c r="AJ127">
        <v>320650000</v>
      </c>
      <c r="AK127">
        <v>4.3565207133169886E-10</v>
      </c>
      <c r="AL127">
        <v>1.0575604440401612E-2</v>
      </c>
    </row>
    <row r="128" spans="21:38">
      <c r="U128">
        <v>1.5053027711255482E-2</v>
      </c>
      <c r="V128">
        <v>29.35</v>
      </c>
      <c r="W128">
        <v>29.31</v>
      </c>
      <c r="X128">
        <f t="shared" si="1"/>
        <v>1.3637913399250836E-3</v>
      </c>
      <c r="Y128">
        <v>827049</v>
      </c>
      <c r="Z128">
        <v>367350000</v>
      </c>
      <c r="AA128">
        <v>24224265.210000001</v>
      </c>
      <c r="AB128">
        <v>113870000</v>
      </c>
      <c r="AC128">
        <v>7.2630982699569682E-3</v>
      </c>
      <c r="AD128">
        <v>75342.350000000006</v>
      </c>
      <c r="AE128">
        <v>0.2157</v>
      </c>
      <c r="AF128">
        <v>30319780000</v>
      </c>
      <c r="AG128">
        <v>2209750000</v>
      </c>
      <c r="AH128">
        <v>1594120000</v>
      </c>
      <c r="AI128">
        <v>1134520000</v>
      </c>
      <c r="AJ128">
        <v>320650000</v>
      </c>
      <c r="AK128">
        <v>8.4736753796023629E-11</v>
      </c>
      <c r="AL128">
        <v>1.0575604440401612E-2</v>
      </c>
    </row>
    <row r="129" spans="21:38">
      <c r="U129">
        <v>2.9335634167385601E-2</v>
      </c>
      <c r="V129">
        <v>29.2</v>
      </c>
      <c r="W129">
        <v>29.05</v>
      </c>
      <c r="X129">
        <f t="shared" si="1"/>
        <v>5.1502145922746297E-3</v>
      </c>
      <c r="Y129">
        <v>1215620</v>
      </c>
      <c r="Z129">
        <v>367350000</v>
      </c>
      <c r="AA129">
        <v>35532572.600000001</v>
      </c>
      <c r="AB129">
        <v>113870000</v>
      </c>
      <c r="AC129">
        <v>1.0675507157284624E-2</v>
      </c>
      <c r="AD129">
        <v>74930.7</v>
      </c>
      <c r="AE129">
        <v>0.2157</v>
      </c>
      <c r="AF129">
        <v>30319780000</v>
      </c>
      <c r="AG129">
        <v>2209750000</v>
      </c>
      <c r="AH129">
        <v>1594120000</v>
      </c>
      <c r="AI129">
        <v>1134520000</v>
      </c>
      <c r="AJ129">
        <v>320650000</v>
      </c>
      <c r="AK129">
        <v>2.329895133710707E-10</v>
      </c>
      <c r="AL129">
        <v>1.0575604440401612E-2</v>
      </c>
    </row>
    <row r="130" spans="21:38">
      <c r="U130">
        <v>3.5470668485675275E-2</v>
      </c>
      <c r="V130">
        <v>29.2</v>
      </c>
      <c r="W130">
        <v>29</v>
      </c>
      <c r="X130">
        <f t="shared" si="1"/>
        <v>6.8728522336769515E-3</v>
      </c>
      <c r="Y130">
        <v>889729</v>
      </c>
      <c r="Z130">
        <v>367350000</v>
      </c>
      <c r="AA130">
        <v>25793243.709999997</v>
      </c>
      <c r="AB130">
        <v>113870000</v>
      </c>
      <c r="AC130">
        <v>7.8135505400895762E-3</v>
      </c>
      <c r="AD130">
        <v>74663.98</v>
      </c>
      <c r="AE130">
        <v>0.2157</v>
      </c>
      <c r="AF130">
        <v>30319780000</v>
      </c>
      <c r="AG130">
        <v>2209750000</v>
      </c>
      <c r="AH130">
        <v>1594120000</v>
      </c>
      <c r="AI130">
        <v>1134520000</v>
      </c>
      <c r="AJ130">
        <v>320650000</v>
      </c>
      <c r="AK130">
        <v>6.4441054603711088E-10</v>
      </c>
      <c r="AL130">
        <v>1.0575604440401612E-2</v>
      </c>
    </row>
    <row r="131" spans="21:38">
      <c r="U131">
        <v>2.5188916876574308E-2</v>
      </c>
      <c r="V131">
        <v>29.5</v>
      </c>
      <c r="W131">
        <v>29.42</v>
      </c>
      <c r="X131">
        <f t="shared" si="1"/>
        <v>2.7155465037338187E-3</v>
      </c>
      <c r="Y131">
        <v>1037148</v>
      </c>
      <c r="Z131">
        <v>367350000</v>
      </c>
      <c r="AA131">
        <v>30575123.039999999</v>
      </c>
      <c r="AB131">
        <v>113870000</v>
      </c>
      <c r="AC131">
        <v>9.1081759901642228E-3</v>
      </c>
      <c r="AD131">
        <v>74531.19</v>
      </c>
      <c r="AE131">
        <v>0.21590000000000001</v>
      </c>
      <c r="AF131">
        <v>30319780000</v>
      </c>
      <c r="AG131">
        <v>2209750000</v>
      </c>
      <c r="AH131">
        <v>1594120000</v>
      </c>
      <c r="AI131">
        <v>1134520000</v>
      </c>
      <c r="AJ131">
        <v>320650000</v>
      </c>
      <c r="AK131">
        <v>5.9901699466777802E-10</v>
      </c>
      <c r="AL131">
        <v>1.0575604440401612E-2</v>
      </c>
    </row>
    <row r="132" spans="21:38">
      <c r="U132">
        <v>3.1459170013386918E-2</v>
      </c>
      <c r="V132">
        <v>30</v>
      </c>
      <c r="W132">
        <v>29.99</v>
      </c>
      <c r="X132">
        <f t="shared" ref="X132:X195" si="2">(V132-W132)/AVERAGE(V132:W132)</f>
        <v>3.3338889814974376E-4</v>
      </c>
      <c r="Y132">
        <v>3001478</v>
      </c>
      <c r="Z132">
        <v>367350000</v>
      </c>
      <c r="AA132">
        <v>90134384.340000004</v>
      </c>
      <c r="AB132">
        <v>113870000</v>
      </c>
      <c r="AC132">
        <v>2.6358812681127601E-2</v>
      </c>
      <c r="AD132">
        <v>73799.11</v>
      </c>
      <c r="AE132">
        <v>0.21590000000000001</v>
      </c>
      <c r="AF132">
        <v>30319780000</v>
      </c>
      <c r="AG132">
        <v>2209750000</v>
      </c>
      <c r="AH132">
        <v>1594120000</v>
      </c>
      <c r="AI132">
        <v>1134520000</v>
      </c>
      <c r="AJ132">
        <v>320650000</v>
      </c>
      <c r="AK132">
        <v>5.1965082845037368E-11</v>
      </c>
      <c r="AL132">
        <v>1.0575604440401612E-2</v>
      </c>
    </row>
    <row r="133" spans="21:38">
      <c r="U133">
        <v>4.0816326530612221E-2</v>
      </c>
      <c r="V133">
        <v>29.95</v>
      </c>
      <c r="W133">
        <v>29.85</v>
      </c>
      <c r="X133">
        <f t="shared" si="2"/>
        <v>3.3444816053510994E-3</v>
      </c>
      <c r="Y133">
        <v>3966075</v>
      </c>
      <c r="Z133">
        <v>367350000</v>
      </c>
      <c r="AA133">
        <v>118545981.75</v>
      </c>
      <c r="AB133">
        <v>113870000</v>
      </c>
      <c r="AC133">
        <v>3.4829849828752084E-2</v>
      </c>
      <c r="AD133">
        <v>73085.5</v>
      </c>
      <c r="AE133">
        <v>0.21590000000000001</v>
      </c>
      <c r="AF133">
        <v>30319780000</v>
      </c>
      <c r="AG133">
        <v>2209750000</v>
      </c>
      <c r="AH133">
        <v>1594120000</v>
      </c>
      <c r="AI133">
        <v>1134520000</v>
      </c>
      <c r="AJ133">
        <v>320650000</v>
      </c>
      <c r="AK133">
        <v>2.9501041412544653E-10</v>
      </c>
      <c r="AL133">
        <v>1.0575604440401612E-2</v>
      </c>
    </row>
    <row r="134" spans="21:38">
      <c r="U134">
        <v>4.1666666666666644E-2</v>
      </c>
      <c r="V134">
        <v>28.96</v>
      </c>
      <c r="W134">
        <v>28.9</v>
      </c>
      <c r="X134">
        <f t="shared" si="2"/>
        <v>2.0739716557207836E-3</v>
      </c>
      <c r="Y134">
        <v>4060415</v>
      </c>
      <c r="Z134">
        <v>367350000</v>
      </c>
      <c r="AA134">
        <v>117264785.2</v>
      </c>
      <c r="AB134">
        <v>113870000</v>
      </c>
      <c r="AC134">
        <v>3.5658338456134191E-2</v>
      </c>
      <c r="AD134">
        <v>72658.05</v>
      </c>
      <c r="AE134">
        <v>0.21590000000000001</v>
      </c>
      <c r="AF134">
        <v>30319780000</v>
      </c>
      <c r="AG134">
        <v>2209750000</v>
      </c>
      <c r="AH134">
        <v>1594120000</v>
      </c>
      <c r="AI134">
        <v>1134520000</v>
      </c>
      <c r="AJ134">
        <v>320650000</v>
      </c>
      <c r="AK134">
        <v>4.7508129837673798E-11</v>
      </c>
      <c r="AL134">
        <v>1.0575604440401612E-2</v>
      </c>
    </row>
    <row r="135" spans="21:38">
      <c r="U135">
        <v>5.9244126659856948E-2</v>
      </c>
      <c r="V135">
        <v>28.69</v>
      </c>
      <c r="W135">
        <v>28.6</v>
      </c>
      <c r="X135">
        <f t="shared" si="2"/>
        <v>3.1419095828242225E-3</v>
      </c>
      <c r="Y135">
        <v>2540380</v>
      </c>
      <c r="Z135">
        <v>367350000</v>
      </c>
      <c r="AA135">
        <v>72959713.599999994</v>
      </c>
      <c r="AB135">
        <v>113870000</v>
      </c>
      <c r="AC135">
        <v>2.2309475717923948E-2</v>
      </c>
      <c r="AD135">
        <v>72601.820000000007</v>
      </c>
      <c r="AE135">
        <v>0.21590000000000001</v>
      </c>
      <c r="AF135">
        <v>30319780000</v>
      </c>
      <c r="AG135">
        <v>2209750000</v>
      </c>
      <c r="AH135">
        <v>1594120000</v>
      </c>
      <c r="AI135">
        <v>1134520000</v>
      </c>
      <c r="AJ135">
        <v>320650000</v>
      </c>
      <c r="AK135">
        <v>3.3325237608859169E-11</v>
      </c>
      <c r="AL135">
        <v>1.0575604440401612E-2</v>
      </c>
    </row>
    <row r="136" spans="21:38">
      <c r="U136">
        <v>4.2364195421933787E-2</v>
      </c>
      <c r="V136">
        <v>28.89</v>
      </c>
      <c r="W136">
        <v>28.85</v>
      </c>
      <c r="X136">
        <f t="shared" si="2"/>
        <v>1.3855213023899946E-3</v>
      </c>
      <c r="Y136">
        <v>2117800</v>
      </c>
      <c r="Z136">
        <v>367350000</v>
      </c>
      <c r="AA136">
        <v>60971462</v>
      </c>
      <c r="AB136">
        <v>113870000</v>
      </c>
      <c r="AC136">
        <v>1.859840168613331E-2</v>
      </c>
      <c r="AD136">
        <v>72761.2</v>
      </c>
      <c r="AE136">
        <v>0.21590000000000001</v>
      </c>
      <c r="AF136">
        <v>30319780000</v>
      </c>
      <c r="AG136">
        <v>2209750000</v>
      </c>
      <c r="AH136">
        <v>1594120000</v>
      </c>
      <c r="AI136">
        <v>1134520000</v>
      </c>
      <c r="AJ136">
        <v>320650000</v>
      </c>
      <c r="AK136">
        <v>5.132246823830611E-10</v>
      </c>
      <c r="AL136">
        <v>1.0575604440401612E-2</v>
      </c>
    </row>
    <row r="137" spans="21:38">
      <c r="U137">
        <v>4.5958009588361728E-2</v>
      </c>
      <c r="V137">
        <v>29.7</v>
      </c>
      <c r="W137">
        <v>29.69</v>
      </c>
      <c r="X137">
        <f t="shared" si="2"/>
        <v>3.3675702980293012E-4</v>
      </c>
      <c r="Y137">
        <v>6873998</v>
      </c>
      <c r="Z137">
        <v>367350000</v>
      </c>
      <c r="AA137">
        <v>204295220.56</v>
      </c>
      <c r="AB137">
        <v>113870000</v>
      </c>
      <c r="AC137">
        <v>6.0367067708790724E-2</v>
      </c>
      <c r="AD137">
        <v>72764.240000000005</v>
      </c>
      <c r="AE137">
        <v>0.21590000000000001</v>
      </c>
      <c r="AF137">
        <v>30319780000</v>
      </c>
      <c r="AG137">
        <v>2209750000</v>
      </c>
      <c r="AH137">
        <v>1594120000</v>
      </c>
      <c r="AI137">
        <v>1134520000</v>
      </c>
      <c r="AJ137">
        <v>320650000</v>
      </c>
      <c r="AK137">
        <v>1.5987437418048294E-10</v>
      </c>
      <c r="AL137">
        <v>1.0575604440401612E-2</v>
      </c>
    </row>
    <row r="138" spans="21:38">
      <c r="U138">
        <v>6.3822158479741889E-2</v>
      </c>
      <c r="V138">
        <v>29.7</v>
      </c>
      <c r="W138">
        <v>28.78</v>
      </c>
      <c r="X138">
        <f t="shared" si="2"/>
        <v>3.1463748290013617E-2</v>
      </c>
      <c r="Y138">
        <v>3664296</v>
      </c>
      <c r="Z138">
        <v>367350000</v>
      </c>
      <c r="AA138">
        <v>105458438.88000001</v>
      </c>
      <c r="AB138">
        <v>113870000</v>
      </c>
      <c r="AC138">
        <v>3.2179643453060507E-2</v>
      </c>
      <c r="AD138">
        <v>71902.09</v>
      </c>
      <c r="AE138">
        <v>0.21590000000000001</v>
      </c>
      <c r="AF138">
        <v>30319780000</v>
      </c>
      <c r="AG138">
        <v>2209750000</v>
      </c>
      <c r="AH138">
        <v>1594120000</v>
      </c>
      <c r="AI138">
        <v>1134520000</v>
      </c>
      <c r="AJ138">
        <v>320650000</v>
      </c>
      <c r="AK138">
        <v>7.1197762935183662E-10</v>
      </c>
      <c r="AL138">
        <v>1.0575604440401612E-2</v>
      </c>
    </row>
    <row r="139" spans="21:38">
      <c r="U139">
        <v>3.3195020746887932E-2</v>
      </c>
      <c r="V139">
        <v>26.92</v>
      </c>
      <c r="W139">
        <v>26.86</v>
      </c>
      <c r="X139">
        <f t="shared" si="2"/>
        <v>2.2313127556713376E-3</v>
      </c>
      <c r="Y139">
        <v>1541625</v>
      </c>
      <c r="Z139">
        <v>367350000</v>
      </c>
      <c r="AA139">
        <v>41269301.25</v>
      </c>
      <c r="AB139">
        <v>113870000</v>
      </c>
      <c r="AC139">
        <v>1.3538464916132432E-2</v>
      </c>
      <c r="AD139">
        <v>70657.64</v>
      </c>
      <c r="AE139">
        <v>0.21590000000000001</v>
      </c>
      <c r="AF139">
        <v>30319780000</v>
      </c>
      <c r="AG139">
        <v>2209750000</v>
      </c>
      <c r="AH139">
        <v>1594120000</v>
      </c>
      <c r="AI139">
        <v>1134520000</v>
      </c>
      <c r="AJ139">
        <v>320650000</v>
      </c>
      <c r="AK139">
        <v>6.6972676137203741E-10</v>
      </c>
      <c r="AL139">
        <v>1.0575604440401612E-2</v>
      </c>
    </row>
    <row r="140" spans="21:38">
      <c r="U140">
        <v>2.2644406064095179E-2</v>
      </c>
      <c r="V140">
        <v>26.08</v>
      </c>
      <c r="W140">
        <v>26.05</v>
      </c>
      <c r="X140">
        <f t="shared" si="2"/>
        <v>1.150968732016021E-3</v>
      </c>
      <c r="Y140">
        <v>894078</v>
      </c>
      <c r="Z140">
        <v>367350000</v>
      </c>
      <c r="AA140">
        <v>23290731.900000002</v>
      </c>
      <c r="AB140">
        <v>113870000</v>
      </c>
      <c r="AC140">
        <v>7.8517432159480108E-3</v>
      </c>
      <c r="AD140">
        <v>71102.55</v>
      </c>
      <c r="AE140">
        <v>0.21590000000000001</v>
      </c>
      <c r="AF140">
        <v>30319780000</v>
      </c>
      <c r="AG140">
        <v>2209750000</v>
      </c>
      <c r="AH140">
        <v>1594120000</v>
      </c>
      <c r="AI140">
        <v>1134520000</v>
      </c>
      <c r="AJ140">
        <v>320650000</v>
      </c>
      <c r="AK140">
        <v>0</v>
      </c>
      <c r="AL140">
        <v>1.0575604440401612E-2</v>
      </c>
    </row>
    <row r="141" spans="21:38">
      <c r="U141">
        <v>7.9096045197740161E-2</v>
      </c>
      <c r="V141">
        <v>26.16</v>
      </c>
      <c r="W141">
        <v>26.15</v>
      </c>
      <c r="X141">
        <f t="shared" si="2"/>
        <v>3.8233607340858584E-4</v>
      </c>
      <c r="Y141">
        <v>6353469</v>
      </c>
      <c r="Z141">
        <v>367350000</v>
      </c>
      <c r="AA141">
        <v>165507867.45000002</v>
      </c>
      <c r="AB141">
        <v>113870000</v>
      </c>
      <c r="AC141">
        <v>5.5795811012558177E-2</v>
      </c>
      <c r="AD141">
        <v>71695.03</v>
      </c>
      <c r="AE141">
        <v>0.21640000000000001</v>
      </c>
      <c r="AF141">
        <v>30319780000</v>
      </c>
      <c r="AG141">
        <v>2209750000</v>
      </c>
      <c r="AH141">
        <v>1594120000</v>
      </c>
      <c r="AI141">
        <v>1134520000</v>
      </c>
      <c r="AJ141">
        <v>320650000</v>
      </c>
      <c r="AK141">
        <v>1.6689386149860313E-10</v>
      </c>
      <c r="AL141">
        <v>1.0575604440401612E-2</v>
      </c>
    </row>
    <row r="142" spans="21:38">
      <c r="U142">
        <v>4.3585370475649129E-2</v>
      </c>
      <c r="V142">
        <v>26.7</v>
      </c>
      <c r="W142">
        <v>26.66</v>
      </c>
      <c r="X142">
        <f t="shared" si="2"/>
        <v>1.4992503748125618E-3</v>
      </c>
      <c r="Y142">
        <v>2307358</v>
      </c>
      <c r="Z142">
        <v>367350000</v>
      </c>
      <c r="AA142">
        <v>61814120.82</v>
      </c>
      <c r="AB142">
        <v>113870000</v>
      </c>
      <c r="AC142">
        <v>2.0263089488012646E-2</v>
      </c>
      <c r="AD142">
        <v>72742.75</v>
      </c>
      <c r="AE142">
        <v>0.21640000000000001</v>
      </c>
      <c r="AF142">
        <v>30319780000</v>
      </c>
      <c r="AG142">
        <v>2209750000</v>
      </c>
      <c r="AH142">
        <v>1594120000</v>
      </c>
      <c r="AI142">
        <v>1134520000</v>
      </c>
      <c r="AJ142">
        <v>320650000</v>
      </c>
      <c r="AK142">
        <v>4.9154812818731193E-10</v>
      </c>
      <c r="AL142">
        <v>1.0575604440401612E-2</v>
      </c>
    </row>
    <row r="143" spans="21:38">
      <c r="U143">
        <v>2.5913749758267324E-2</v>
      </c>
      <c r="V143">
        <v>26.04</v>
      </c>
      <c r="W143">
        <v>25.95</v>
      </c>
      <c r="X143">
        <f t="shared" si="2"/>
        <v>3.4622042700519278E-3</v>
      </c>
      <c r="Y143">
        <v>930289</v>
      </c>
      <c r="Z143">
        <v>367350000</v>
      </c>
      <c r="AA143">
        <v>24187514</v>
      </c>
      <c r="AB143">
        <v>113870000</v>
      </c>
      <c r="AC143">
        <v>8.1697462018090802E-3</v>
      </c>
      <c r="AD143">
        <v>71971.399999999994</v>
      </c>
      <c r="AE143">
        <v>0.21640000000000001</v>
      </c>
      <c r="AF143">
        <v>30319780000</v>
      </c>
      <c r="AG143">
        <v>2209750000</v>
      </c>
      <c r="AH143">
        <v>1594120000</v>
      </c>
      <c r="AI143">
        <v>1134520000</v>
      </c>
      <c r="AJ143">
        <v>320650000</v>
      </c>
      <c r="AK143">
        <v>2.238248393219794E-10</v>
      </c>
      <c r="AL143">
        <v>1.0575604440401612E-2</v>
      </c>
    </row>
    <row r="144" spans="21:38">
      <c r="U144">
        <v>2.6441847097145098E-2</v>
      </c>
      <c r="V144">
        <v>26</v>
      </c>
      <c r="W144">
        <v>25.85</v>
      </c>
      <c r="X144">
        <f t="shared" si="2"/>
        <v>5.785920925747293E-3</v>
      </c>
      <c r="Y144">
        <v>714394</v>
      </c>
      <c r="Z144">
        <v>367350000</v>
      </c>
      <c r="AA144">
        <v>18474228.84</v>
      </c>
      <c r="AB144">
        <v>113870000</v>
      </c>
      <c r="AC144">
        <v>6.2737683323087733E-3</v>
      </c>
      <c r="AD144">
        <v>72051.89</v>
      </c>
      <c r="AE144">
        <v>0.21640000000000001</v>
      </c>
      <c r="AF144">
        <v>30319780000</v>
      </c>
      <c r="AG144">
        <v>2209750000</v>
      </c>
      <c r="AH144">
        <v>1594120000</v>
      </c>
      <c r="AI144">
        <v>1134520000</v>
      </c>
      <c r="AJ144">
        <v>320650000</v>
      </c>
      <c r="AK144">
        <v>1.8773222538936267E-10</v>
      </c>
      <c r="AL144">
        <v>1.0575604440401612E-2</v>
      </c>
    </row>
    <row r="145" spans="21:38">
      <c r="U145">
        <v>2.6666666666666776E-2</v>
      </c>
      <c r="V145">
        <v>25.97</v>
      </c>
      <c r="W145">
        <v>25.93</v>
      </c>
      <c r="X145">
        <f t="shared" si="2"/>
        <v>1.5414258188824336E-3</v>
      </c>
      <c r="Y145">
        <v>1122190</v>
      </c>
      <c r="Z145">
        <v>367350000</v>
      </c>
      <c r="AA145">
        <v>29120830.5</v>
      </c>
      <c r="AB145">
        <v>113870000</v>
      </c>
      <c r="AC145">
        <v>9.855010099235971E-3</v>
      </c>
      <c r="AD145">
        <v>71359.41</v>
      </c>
      <c r="AE145">
        <v>0.21640000000000001</v>
      </c>
      <c r="AF145">
        <v>30319780000</v>
      </c>
      <c r="AG145">
        <v>2209750000</v>
      </c>
      <c r="AH145">
        <v>1594120000</v>
      </c>
      <c r="AI145">
        <v>1134520000</v>
      </c>
      <c r="AJ145">
        <v>320650000</v>
      </c>
      <c r="AK145">
        <v>8.265285891133004E-10</v>
      </c>
      <c r="AL145">
        <v>1.0575604440401612E-2</v>
      </c>
    </row>
    <row r="146" spans="21:38">
      <c r="U146">
        <v>1.4285714285714247E-2</v>
      </c>
      <c r="V146">
        <v>26.59</v>
      </c>
      <c r="W146">
        <v>26.48</v>
      </c>
      <c r="X146">
        <f t="shared" si="2"/>
        <v>4.1454682494817948E-3</v>
      </c>
      <c r="Y146">
        <v>806033</v>
      </c>
      <c r="Z146">
        <v>367350000</v>
      </c>
      <c r="AA146">
        <v>21432417.469999999</v>
      </c>
      <c r="AB146">
        <v>113870000</v>
      </c>
      <c r="AC146">
        <v>7.0785369280758764E-3</v>
      </c>
      <c r="AD146">
        <v>71433.460000000006</v>
      </c>
      <c r="AE146">
        <v>0.21640000000000001</v>
      </c>
      <c r="AF146">
        <v>30319780000</v>
      </c>
      <c r="AG146">
        <v>2209750000</v>
      </c>
      <c r="AH146">
        <v>1594120000</v>
      </c>
      <c r="AI146">
        <v>1134520000</v>
      </c>
      <c r="AJ146">
        <v>320650000</v>
      </c>
      <c r="AK146">
        <v>4.2497116368409911E-10</v>
      </c>
      <c r="AL146">
        <v>1.0575604440401612E-2</v>
      </c>
    </row>
    <row r="147" spans="21:38">
      <c r="U147">
        <v>1.5151515151515233E-2</v>
      </c>
      <c r="V147">
        <v>26.45</v>
      </c>
      <c r="W147">
        <v>26.37</v>
      </c>
      <c r="X147">
        <f t="shared" si="2"/>
        <v>3.0291556228700602E-3</v>
      </c>
      <c r="Y147">
        <v>485597</v>
      </c>
      <c r="Z147">
        <v>367350000</v>
      </c>
      <c r="AA147">
        <v>12795480.950000001</v>
      </c>
      <c r="AB147">
        <v>113870000</v>
      </c>
      <c r="AC147">
        <v>4.2644858171599189E-3</v>
      </c>
      <c r="AD147">
        <v>70909.899999999994</v>
      </c>
      <c r="AE147">
        <v>0.21640000000000001</v>
      </c>
      <c r="AF147">
        <v>30319780000</v>
      </c>
      <c r="AG147">
        <v>2209750000</v>
      </c>
      <c r="AH147">
        <v>1594120000</v>
      </c>
      <c r="AI147">
        <v>1134520000</v>
      </c>
      <c r="AJ147">
        <v>320650000</v>
      </c>
      <c r="AK147">
        <v>1.4801627241211954E-10</v>
      </c>
      <c r="AL147">
        <v>1.0575604440401612E-2</v>
      </c>
    </row>
    <row r="148" spans="21:38">
      <c r="U148">
        <v>2.5983807192619009E-2</v>
      </c>
      <c r="V148">
        <v>26.44</v>
      </c>
      <c r="W148">
        <v>26.4</v>
      </c>
      <c r="X148">
        <f t="shared" si="2"/>
        <v>1.5140045420137282E-3</v>
      </c>
      <c r="Y148">
        <v>259273</v>
      </c>
      <c r="Z148">
        <v>367350000</v>
      </c>
      <c r="AA148">
        <v>6844807.1999999993</v>
      </c>
      <c r="AB148">
        <v>113870000</v>
      </c>
      <c r="AC148">
        <v>2.276921050320541E-3</v>
      </c>
      <c r="AD148">
        <v>70290.12</v>
      </c>
      <c r="AE148">
        <v>0.21640000000000001</v>
      </c>
      <c r="AF148">
        <v>30319780000</v>
      </c>
      <c r="AG148">
        <v>2209750000</v>
      </c>
      <c r="AH148">
        <v>1594120000</v>
      </c>
      <c r="AI148">
        <v>1134520000</v>
      </c>
      <c r="AJ148">
        <v>320650000</v>
      </c>
      <c r="AK148">
        <v>6.6106856564609919E-10</v>
      </c>
      <c r="AL148">
        <v>1.0575604440401612E-2</v>
      </c>
    </row>
    <row r="149" spans="21:38">
      <c r="U149">
        <v>2.5741466144375964E-2</v>
      </c>
      <c r="V149">
        <v>26.79</v>
      </c>
      <c r="W149">
        <v>26.61</v>
      </c>
      <c r="X149">
        <f t="shared" si="2"/>
        <v>6.7415730337078549E-3</v>
      </c>
      <c r="Y149">
        <v>533902</v>
      </c>
      <c r="Z149">
        <v>367350000</v>
      </c>
      <c r="AA149">
        <v>14159081.039999999</v>
      </c>
      <c r="AB149">
        <v>113870000</v>
      </c>
      <c r="AC149">
        <v>4.6886976376569771E-3</v>
      </c>
      <c r="AD149">
        <v>70333.320000000007</v>
      </c>
      <c r="AE149">
        <v>0.21640000000000001</v>
      </c>
      <c r="AF149">
        <v>30319780000</v>
      </c>
      <c r="AG149">
        <v>2209750000</v>
      </c>
      <c r="AH149">
        <v>1594120000</v>
      </c>
      <c r="AI149">
        <v>1134520000</v>
      </c>
      <c r="AJ149">
        <v>320650000</v>
      </c>
      <c r="AK149">
        <v>1.0235659773572726E-9</v>
      </c>
      <c r="AL149">
        <v>1.0575604440401612E-2</v>
      </c>
    </row>
    <row r="150" spans="21:38">
      <c r="U150">
        <v>3.2835270245342212E-2</v>
      </c>
      <c r="V150">
        <v>26.89</v>
      </c>
      <c r="W150">
        <v>26.74</v>
      </c>
      <c r="X150">
        <f t="shared" si="2"/>
        <v>5.5938840201380626E-3</v>
      </c>
      <c r="Y150">
        <v>425376</v>
      </c>
      <c r="Z150">
        <v>367350000</v>
      </c>
      <c r="AA150">
        <v>11446868.16</v>
      </c>
      <c r="AB150">
        <v>113870000</v>
      </c>
      <c r="AC150">
        <v>3.7356283481162727E-3</v>
      </c>
      <c r="AD150">
        <v>70483.66</v>
      </c>
      <c r="AE150">
        <v>0.216</v>
      </c>
      <c r="AF150">
        <v>30319780000</v>
      </c>
      <c r="AG150">
        <v>2209750000</v>
      </c>
      <c r="AH150">
        <v>1594120000</v>
      </c>
      <c r="AI150">
        <v>1134520000</v>
      </c>
      <c r="AJ150">
        <v>320650000</v>
      </c>
      <c r="AK150">
        <v>1.1848699280705677E-9</v>
      </c>
      <c r="AL150">
        <v>1.0575604440401612E-2</v>
      </c>
    </row>
    <row r="151" spans="21:38">
      <c r="U151">
        <v>3.9633027522935717E-2</v>
      </c>
      <c r="V151">
        <v>27.25</v>
      </c>
      <c r="W151">
        <v>27.22</v>
      </c>
      <c r="X151">
        <f t="shared" si="2"/>
        <v>1.1015237745548427E-3</v>
      </c>
      <c r="Y151">
        <v>561526</v>
      </c>
      <c r="Z151">
        <v>367350000</v>
      </c>
      <c r="AA151">
        <v>15318429.280000001</v>
      </c>
      <c r="AB151">
        <v>113870000</v>
      </c>
      <c r="AC151">
        <v>4.931290067620971E-3</v>
      </c>
      <c r="AD151">
        <v>70544.58</v>
      </c>
      <c r="AE151">
        <v>0.216</v>
      </c>
      <c r="AF151">
        <v>30319780000</v>
      </c>
      <c r="AG151">
        <v>2209750000</v>
      </c>
      <c r="AH151">
        <v>1594120000</v>
      </c>
      <c r="AI151">
        <v>1134520000</v>
      </c>
      <c r="AJ151">
        <v>320650000</v>
      </c>
      <c r="AK151">
        <v>2.8590150881288836E-10</v>
      </c>
      <c r="AL151">
        <v>1.0575604440401612E-2</v>
      </c>
    </row>
    <row r="152" spans="21:38">
      <c r="U152">
        <v>3.7735849056603793E-2</v>
      </c>
      <c r="V152">
        <v>27.42</v>
      </c>
      <c r="W152">
        <v>27.4</v>
      </c>
      <c r="X152">
        <f t="shared" si="2"/>
        <v>7.2966070777100058E-4</v>
      </c>
      <c r="Y152">
        <v>765933</v>
      </c>
      <c r="Z152">
        <v>367350000</v>
      </c>
      <c r="AA152">
        <v>20986564.199999999</v>
      </c>
      <c r="AB152">
        <v>113870000</v>
      </c>
      <c r="AC152">
        <v>6.7263809607447092E-3</v>
      </c>
      <c r="AD152">
        <v>70314.720000000001</v>
      </c>
      <c r="AE152">
        <v>0.216</v>
      </c>
      <c r="AF152">
        <v>30319780000</v>
      </c>
      <c r="AG152">
        <v>2209750000</v>
      </c>
      <c r="AH152">
        <v>1594120000</v>
      </c>
      <c r="AI152">
        <v>1134520000</v>
      </c>
      <c r="AJ152">
        <v>320650000</v>
      </c>
      <c r="AK152">
        <v>4.8200395453088161E-10</v>
      </c>
      <c r="AL152">
        <v>1.0575604440401612E-2</v>
      </c>
    </row>
    <row r="153" spans="21:38">
      <c r="U153">
        <v>4.883422067192944E-2</v>
      </c>
      <c r="V153">
        <v>27.69</v>
      </c>
      <c r="W153">
        <v>27.51</v>
      </c>
      <c r="X153">
        <f t="shared" si="2"/>
        <v>6.5217391304347718E-3</v>
      </c>
      <c r="Y153">
        <v>1475050</v>
      </c>
      <c r="Z153">
        <v>367350000</v>
      </c>
      <c r="AA153">
        <v>40829384</v>
      </c>
      <c r="AB153">
        <v>113870000</v>
      </c>
      <c r="AC153">
        <v>1.2953806972863791E-2</v>
      </c>
      <c r="AD153">
        <v>69619.990000000005</v>
      </c>
      <c r="AE153">
        <v>0.216</v>
      </c>
      <c r="AF153">
        <v>30319780000</v>
      </c>
      <c r="AG153">
        <v>2209750000</v>
      </c>
      <c r="AH153">
        <v>1594120000</v>
      </c>
      <c r="AI153">
        <v>1134520000</v>
      </c>
      <c r="AJ153">
        <v>320650000</v>
      </c>
      <c r="AK153">
        <v>9.5615057623791242E-10</v>
      </c>
      <c r="AL153">
        <v>1.0575604440401612E-2</v>
      </c>
    </row>
    <row r="154" spans="21:38">
      <c r="U154">
        <v>2.4597918637653683E-2</v>
      </c>
      <c r="V154">
        <v>26.67</v>
      </c>
      <c r="W154">
        <v>26.6</v>
      </c>
      <c r="X154">
        <f t="shared" si="2"/>
        <v>2.6281208935611143E-3</v>
      </c>
      <c r="Y154">
        <v>383676</v>
      </c>
      <c r="Z154">
        <v>367350000</v>
      </c>
      <c r="AA154">
        <v>10221128.640000001</v>
      </c>
      <c r="AB154">
        <v>113870000</v>
      </c>
      <c r="AC154">
        <v>3.3694212698691492E-3</v>
      </c>
      <c r="AD154">
        <v>68416.78</v>
      </c>
      <c r="AE154">
        <v>0.216</v>
      </c>
      <c r="AF154">
        <v>30319780000</v>
      </c>
      <c r="AG154">
        <v>2209750000</v>
      </c>
      <c r="AH154">
        <v>1594120000</v>
      </c>
      <c r="AI154">
        <v>1134520000</v>
      </c>
      <c r="AJ154">
        <v>320650000</v>
      </c>
      <c r="AK154">
        <v>1.3779796281140983E-9</v>
      </c>
      <c r="AL154">
        <v>1.0575604440401612E-2</v>
      </c>
    </row>
    <row r="155" spans="21:38">
      <c r="U155">
        <v>1.3646702047005285E-2</v>
      </c>
      <c r="V155">
        <v>26.32</v>
      </c>
      <c r="W155">
        <v>26.26</v>
      </c>
      <c r="X155">
        <f t="shared" si="2"/>
        <v>2.2822365918599742E-3</v>
      </c>
      <c r="Y155">
        <v>252673</v>
      </c>
      <c r="Z155">
        <v>367350000</v>
      </c>
      <c r="AA155">
        <v>6637719.71</v>
      </c>
      <c r="AB155">
        <v>113870000</v>
      </c>
      <c r="AC155">
        <v>2.218960217792219E-3</v>
      </c>
      <c r="AD155">
        <v>67756.039999999994</v>
      </c>
      <c r="AE155">
        <v>0.216</v>
      </c>
      <c r="AF155">
        <v>30319780000</v>
      </c>
      <c r="AG155">
        <v>2209750000</v>
      </c>
      <c r="AH155">
        <v>1594120000</v>
      </c>
      <c r="AI155">
        <v>1134520000</v>
      </c>
      <c r="AJ155">
        <v>320650000</v>
      </c>
      <c r="AK155">
        <v>5.7370200631792723E-11</v>
      </c>
      <c r="AL155">
        <v>1.0575604440401612E-2</v>
      </c>
    </row>
    <row r="156" spans="21:38">
      <c r="U156">
        <v>1.7523809523809556E-2</v>
      </c>
      <c r="V156">
        <v>26.3</v>
      </c>
      <c r="W156">
        <v>26.25</v>
      </c>
      <c r="X156">
        <f t="shared" si="2"/>
        <v>1.9029495718363735E-3</v>
      </c>
      <c r="Y156">
        <v>368764</v>
      </c>
      <c r="Z156">
        <v>367350000</v>
      </c>
      <c r="AA156">
        <v>9683742.6400000006</v>
      </c>
      <c r="AB156">
        <v>113870000</v>
      </c>
      <c r="AC156">
        <v>3.2384649161324316E-3</v>
      </c>
      <c r="AD156">
        <v>66886.259999999995</v>
      </c>
      <c r="AE156">
        <v>0.216</v>
      </c>
      <c r="AF156">
        <v>30319780000</v>
      </c>
      <c r="AG156">
        <v>2209750000</v>
      </c>
      <c r="AH156">
        <v>1594120000</v>
      </c>
      <c r="AI156">
        <v>1134520000</v>
      </c>
      <c r="AJ156">
        <v>320650000</v>
      </c>
      <c r="AK156">
        <v>2.3648669951414048E-10</v>
      </c>
      <c r="AL156">
        <v>1.0575604440401612E-2</v>
      </c>
    </row>
    <row r="157" spans="21:38">
      <c r="U157">
        <v>1.9047619047619049E-2</v>
      </c>
      <c r="V157">
        <v>26.28</v>
      </c>
      <c r="W157">
        <v>26.12</v>
      </c>
      <c r="X157">
        <f t="shared" si="2"/>
        <v>6.1068702290076387E-3</v>
      </c>
      <c r="Y157">
        <v>878987</v>
      </c>
      <c r="Z157">
        <v>367350000</v>
      </c>
      <c r="AA157">
        <v>23029459.399999999</v>
      </c>
      <c r="AB157">
        <v>113870000</v>
      </c>
      <c r="AC157">
        <v>7.7192148941775708E-3</v>
      </c>
      <c r="AD157">
        <v>66796.320000000007</v>
      </c>
      <c r="AE157">
        <v>0.216</v>
      </c>
      <c r="AF157">
        <v>30319780000</v>
      </c>
      <c r="AG157">
        <v>2209750000</v>
      </c>
      <c r="AH157">
        <v>1594120000</v>
      </c>
      <c r="AI157">
        <v>1134520000</v>
      </c>
      <c r="AJ157">
        <v>320650000</v>
      </c>
      <c r="AK157">
        <v>1.6567204601351932E-11</v>
      </c>
      <c r="AL157">
        <v>1.0575604440401612E-2</v>
      </c>
    </row>
    <row r="158" spans="21:38">
      <c r="U158">
        <v>9.5510983763132766E-3</v>
      </c>
      <c r="V158">
        <v>26.3</v>
      </c>
      <c r="W158">
        <v>26.25</v>
      </c>
      <c r="X158">
        <f t="shared" si="2"/>
        <v>1.9029495718363735E-3</v>
      </c>
      <c r="Y158">
        <v>478996</v>
      </c>
      <c r="Z158">
        <v>367350000</v>
      </c>
      <c r="AA158">
        <v>12554485.16</v>
      </c>
      <c r="AB158">
        <v>113870000</v>
      </c>
      <c r="AC158">
        <v>4.2065162026872754E-3</v>
      </c>
      <c r="AD158">
        <v>67005.11</v>
      </c>
      <c r="AE158">
        <v>0.216</v>
      </c>
      <c r="AF158">
        <v>30319780000</v>
      </c>
      <c r="AG158">
        <v>2209750000</v>
      </c>
      <c r="AH158">
        <v>1594120000</v>
      </c>
      <c r="AI158">
        <v>1134520000</v>
      </c>
      <c r="AJ158">
        <v>320650000</v>
      </c>
      <c r="AK158">
        <v>2.1216501454976717E-10</v>
      </c>
      <c r="AL158">
        <v>1.0575604440401612E-2</v>
      </c>
    </row>
    <row r="159" spans="21:38">
      <c r="U159">
        <v>1.526717557251903E-2</v>
      </c>
      <c r="V159">
        <v>26.29</v>
      </c>
      <c r="W159">
        <v>26.2</v>
      </c>
      <c r="X159">
        <f t="shared" si="2"/>
        <v>3.429224614212226E-3</v>
      </c>
      <c r="Y159">
        <v>802800</v>
      </c>
      <c r="Z159">
        <v>367350000</v>
      </c>
      <c r="AA159">
        <v>21097584</v>
      </c>
      <c r="AB159">
        <v>113870000</v>
      </c>
      <c r="AC159">
        <v>7.0501449020813206E-3</v>
      </c>
      <c r="AD159">
        <v>67142.12</v>
      </c>
      <c r="AE159">
        <v>0.216</v>
      </c>
      <c r="AF159">
        <v>30319780000</v>
      </c>
      <c r="AG159">
        <v>2209750000</v>
      </c>
      <c r="AH159">
        <v>1594120000</v>
      </c>
      <c r="AI159">
        <v>1134520000</v>
      </c>
      <c r="AJ159">
        <v>320650000</v>
      </c>
      <c r="AK159">
        <v>3.2688822208921739E-10</v>
      </c>
      <c r="AL159">
        <v>1.0575604440401612E-2</v>
      </c>
    </row>
    <row r="160" spans="21:38">
      <c r="U160">
        <v>2.2307692307692244E-2</v>
      </c>
      <c r="V160">
        <v>26.15</v>
      </c>
      <c r="W160">
        <v>26.1</v>
      </c>
      <c r="X160">
        <f t="shared" si="2"/>
        <v>1.9138755980860156E-3</v>
      </c>
      <c r="Y160">
        <v>229305</v>
      </c>
      <c r="Z160">
        <v>367350000</v>
      </c>
      <c r="AA160">
        <v>5984860.5</v>
      </c>
      <c r="AB160">
        <v>113870000</v>
      </c>
      <c r="AC160">
        <v>2.0137437428646701E-3</v>
      </c>
      <c r="AD160">
        <v>66547.789999999994</v>
      </c>
      <c r="AE160">
        <v>0.216</v>
      </c>
      <c r="AF160">
        <v>30319780000</v>
      </c>
      <c r="AG160">
        <v>2209750000</v>
      </c>
      <c r="AH160">
        <v>1594120000</v>
      </c>
      <c r="AI160">
        <v>1134520000</v>
      </c>
      <c r="AJ160">
        <v>320650000</v>
      </c>
      <c r="AK160">
        <v>3.8499601877735924E-10</v>
      </c>
      <c r="AL160">
        <v>1.0575604440401612E-2</v>
      </c>
    </row>
    <row r="161" spans="21:38">
      <c r="U161">
        <v>1.526717557251903E-2</v>
      </c>
      <c r="V161">
        <v>26.25</v>
      </c>
      <c r="W161">
        <v>26.02</v>
      </c>
      <c r="X161">
        <f t="shared" si="2"/>
        <v>8.8004591543906809E-3</v>
      </c>
      <c r="Y161">
        <v>385365</v>
      </c>
      <c r="Z161">
        <v>367350000</v>
      </c>
      <c r="AA161">
        <v>10034904.6</v>
      </c>
      <c r="AB161">
        <v>113870000</v>
      </c>
      <c r="AC161">
        <v>3.3842539738298061E-3</v>
      </c>
      <c r="AD161">
        <v>65906.28</v>
      </c>
      <c r="AE161">
        <v>0.216</v>
      </c>
      <c r="AF161">
        <v>30319780000</v>
      </c>
      <c r="AG161">
        <v>2209750000</v>
      </c>
      <c r="AH161">
        <v>1594120000</v>
      </c>
      <c r="AI161">
        <v>1134520000</v>
      </c>
      <c r="AJ161">
        <v>320650000</v>
      </c>
      <c r="AK161">
        <v>2.2908544389278309E-10</v>
      </c>
      <c r="AL161">
        <v>1.0575604440401612E-2</v>
      </c>
    </row>
    <row r="162" spans="21:38">
      <c r="U162">
        <v>1.8975332068311195E-2</v>
      </c>
      <c r="V162">
        <v>26.29</v>
      </c>
      <c r="W162">
        <v>26.25</v>
      </c>
      <c r="X162">
        <f t="shared" si="2"/>
        <v>1.5226494099733212E-3</v>
      </c>
      <c r="Y162">
        <v>3613515</v>
      </c>
      <c r="Z162">
        <v>367350000</v>
      </c>
      <c r="AA162">
        <v>94312741.5</v>
      </c>
      <c r="AB162">
        <v>113870000</v>
      </c>
      <c r="AC162">
        <v>3.1733687538421006E-2</v>
      </c>
      <c r="AD162">
        <v>65525.65</v>
      </c>
      <c r="AE162">
        <v>0.216</v>
      </c>
      <c r="AF162">
        <v>30319780000</v>
      </c>
      <c r="AG162">
        <v>2209750000</v>
      </c>
      <c r="AH162">
        <v>1594120000</v>
      </c>
      <c r="AI162">
        <v>1134520000</v>
      </c>
      <c r="AJ162">
        <v>320650000</v>
      </c>
      <c r="AK162">
        <v>0</v>
      </c>
      <c r="AL162">
        <v>1.0575604440401612E-2</v>
      </c>
    </row>
    <row r="163" spans="21:38">
      <c r="U163">
        <v>6.1224489795918324E-2</v>
      </c>
      <c r="V163">
        <v>38.299999999999997</v>
      </c>
      <c r="W163">
        <v>38.25</v>
      </c>
      <c r="X163">
        <f t="shared" si="2"/>
        <v>1.3063357282820944E-3</v>
      </c>
      <c r="Y163">
        <v>1083169</v>
      </c>
      <c r="Z163">
        <v>354090000</v>
      </c>
      <c r="AA163">
        <v>41507036.079999998</v>
      </c>
      <c r="AB163">
        <v>173450000</v>
      </c>
      <c r="AC163">
        <v>6.2448486595560676E-3</v>
      </c>
      <c r="AD163">
        <v>75983.039999999994</v>
      </c>
      <c r="AE163">
        <v>0.2157</v>
      </c>
      <c r="AF163">
        <v>35026240000</v>
      </c>
      <c r="AG163">
        <v>3233140000</v>
      </c>
      <c r="AH163">
        <v>1821830000</v>
      </c>
      <c r="AI163">
        <v>1205830000</v>
      </c>
      <c r="AJ163">
        <v>2564980000</v>
      </c>
      <c r="AK163">
        <v>9.5403096037529205E-10</v>
      </c>
      <c r="AL163">
        <v>7.3230241099244447E-2</v>
      </c>
    </row>
    <row r="164" spans="21:38">
      <c r="U164">
        <v>0.10526315789473685</v>
      </c>
      <c r="V164">
        <v>39.75</v>
      </c>
      <c r="W164">
        <v>39.69</v>
      </c>
      <c r="X164">
        <f t="shared" si="2"/>
        <v>1.5105740181269455E-3</v>
      </c>
      <c r="Y164">
        <v>3886444</v>
      </c>
      <c r="Z164">
        <v>354090000</v>
      </c>
      <c r="AA164">
        <v>155069115.59999999</v>
      </c>
      <c r="AB164">
        <v>173450000</v>
      </c>
      <c r="AC164">
        <v>2.2406710867685212E-2</v>
      </c>
      <c r="AD164">
        <v>75114.47</v>
      </c>
      <c r="AE164">
        <v>0.2157</v>
      </c>
      <c r="AF164">
        <v>35026240000</v>
      </c>
      <c r="AG164">
        <v>3233140000</v>
      </c>
      <c r="AH164">
        <v>1821830000</v>
      </c>
      <c r="AI164">
        <v>1205830000</v>
      </c>
      <c r="AJ164">
        <v>2564980000</v>
      </c>
      <c r="AK164">
        <v>1.0345567965993473E-10</v>
      </c>
      <c r="AL164">
        <v>7.3230241099244447E-2</v>
      </c>
    </row>
    <row r="165" spans="21:38">
      <c r="U165">
        <v>6.7658286165591691E-2</v>
      </c>
      <c r="V165">
        <v>39.75</v>
      </c>
      <c r="W165">
        <v>39.270000000000003</v>
      </c>
      <c r="X165">
        <f t="shared" si="2"/>
        <v>1.2148823082763776E-2</v>
      </c>
      <c r="Y165">
        <v>3202406</v>
      </c>
      <c r="Z165">
        <v>354090000</v>
      </c>
      <c r="AA165">
        <v>125758483.62</v>
      </c>
      <c r="AB165">
        <v>173450000</v>
      </c>
      <c r="AC165">
        <v>1.846299221677717E-2</v>
      </c>
      <c r="AD165">
        <v>74956.67</v>
      </c>
      <c r="AE165">
        <v>0.2157</v>
      </c>
      <c r="AF165">
        <v>35026240000</v>
      </c>
      <c r="AG165">
        <v>3233140000</v>
      </c>
      <c r="AH165">
        <v>1821830000</v>
      </c>
      <c r="AI165">
        <v>1205830000</v>
      </c>
      <c r="AJ165">
        <v>2564980000</v>
      </c>
      <c r="AK165">
        <v>5.9643565611655521E-10</v>
      </c>
      <c r="AL165">
        <v>7.3230241099244447E-2</v>
      </c>
    </row>
    <row r="166" spans="21:38">
      <c r="U166">
        <v>5.5555555555555552E-2</v>
      </c>
      <c r="V166">
        <v>37.090000000000003</v>
      </c>
      <c r="W166">
        <v>37</v>
      </c>
      <c r="X166">
        <f t="shared" si="2"/>
        <v>2.4294776623026968E-3</v>
      </c>
      <c r="Y166">
        <v>1063362</v>
      </c>
      <c r="Z166">
        <v>354090000</v>
      </c>
      <c r="AA166">
        <v>38844613.859999999</v>
      </c>
      <c r="AB166">
        <v>173450000</v>
      </c>
      <c r="AC166">
        <v>6.1306543672528108E-3</v>
      </c>
      <c r="AD166">
        <v>75206.77</v>
      </c>
      <c r="AE166">
        <v>0.2157</v>
      </c>
      <c r="AF166">
        <v>35026240000</v>
      </c>
      <c r="AG166">
        <v>3233140000</v>
      </c>
      <c r="AH166">
        <v>1821830000</v>
      </c>
      <c r="AI166">
        <v>1205830000</v>
      </c>
      <c r="AJ166">
        <v>2564980000</v>
      </c>
      <c r="AK166">
        <v>1.9169251517785854E-10</v>
      </c>
      <c r="AL166">
        <v>7.3230241099244447E-2</v>
      </c>
    </row>
    <row r="167" spans="21:38">
      <c r="U167">
        <v>7.0965925091523593E-2</v>
      </c>
      <c r="V167">
        <v>36.049999999999997</v>
      </c>
      <c r="W167">
        <v>36.01</v>
      </c>
      <c r="X167">
        <f t="shared" si="2"/>
        <v>1.110185956147631E-3</v>
      </c>
      <c r="Y167">
        <v>1455169</v>
      </c>
      <c r="Z167">
        <v>354090000</v>
      </c>
      <c r="AA167">
        <v>52764427.939999998</v>
      </c>
      <c r="AB167">
        <v>173450000</v>
      </c>
      <c r="AC167">
        <v>8.3895589507062551E-3</v>
      </c>
      <c r="AD167">
        <v>75084</v>
      </c>
      <c r="AE167">
        <v>0.2157</v>
      </c>
      <c r="AF167">
        <v>35026240000</v>
      </c>
      <c r="AG167">
        <v>3233140000</v>
      </c>
      <c r="AH167">
        <v>1821830000</v>
      </c>
      <c r="AI167">
        <v>1205830000</v>
      </c>
      <c r="AJ167">
        <v>2564980000</v>
      </c>
      <c r="AK167">
        <v>9.6106299504918001E-10</v>
      </c>
      <c r="AL167">
        <v>7.3230241099244447E-2</v>
      </c>
    </row>
    <row r="168" spans="21:38">
      <c r="U168">
        <v>2.7501462843768219E-2</v>
      </c>
      <c r="V168">
        <v>34.549999999999997</v>
      </c>
      <c r="W168">
        <v>34.5</v>
      </c>
      <c r="X168">
        <f t="shared" si="2"/>
        <v>1.4482259232439438E-3</v>
      </c>
      <c r="Y168">
        <v>465409</v>
      </c>
      <c r="Z168">
        <v>354090000</v>
      </c>
      <c r="AA168">
        <v>16061264.59</v>
      </c>
      <c r="AB168">
        <v>173450000</v>
      </c>
      <c r="AC168">
        <v>2.6832458921879506E-3</v>
      </c>
      <c r="AD168">
        <v>75342.350000000006</v>
      </c>
      <c r="AE168">
        <v>0.2157</v>
      </c>
      <c r="AF168">
        <v>35026240000</v>
      </c>
      <c r="AG168">
        <v>3233140000</v>
      </c>
      <c r="AH168">
        <v>1821830000</v>
      </c>
      <c r="AI168">
        <v>1205830000</v>
      </c>
      <c r="AJ168">
        <v>2564980000</v>
      </c>
      <c r="AK168">
        <v>9.7111968699087711E-10</v>
      </c>
      <c r="AL168">
        <v>7.3230241099244447E-2</v>
      </c>
    </row>
    <row r="169" spans="21:38">
      <c r="U169">
        <v>3.1273268801191488E-2</v>
      </c>
      <c r="V169">
        <v>34.08</v>
      </c>
      <c r="W169">
        <v>34</v>
      </c>
      <c r="X169">
        <f t="shared" si="2"/>
        <v>2.3501762632196915E-3</v>
      </c>
      <c r="Y169">
        <v>964005</v>
      </c>
      <c r="Z169">
        <v>354090000</v>
      </c>
      <c r="AA169">
        <v>32756889.899999999</v>
      </c>
      <c r="AB169">
        <v>173450000</v>
      </c>
      <c r="AC169">
        <v>5.5578264629576246E-3</v>
      </c>
      <c r="AD169">
        <v>74930.7</v>
      </c>
      <c r="AE169">
        <v>0.2157</v>
      </c>
      <c r="AF169">
        <v>35026240000</v>
      </c>
      <c r="AG169">
        <v>3233140000</v>
      </c>
      <c r="AH169">
        <v>1821830000</v>
      </c>
      <c r="AI169">
        <v>1205830000</v>
      </c>
      <c r="AJ169">
        <v>2564980000</v>
      </c>
      <c r="AK169">
        <v>1.1724167603468633E-10</v>
      </c>
      <c r="AL169">
        <v>7.3230241099244447E-2</v>
      </c>
    </row>
    <row r="170" spans="21:38">
      <c r="U170">
        <v>3.6067481093659169E-2</v>
      </c>
      <c r="V170">
        <v>33.799999999999997</v>
      </c>
      <c r="W170">
        <v>33.770000000000003</v>
      </c>
      <c r="X170">
        <f t="shared" si="2"/>
        <v>8.8796803315062997E-4</v>
      </c>
      <c r="Y170">
        <v>698995</v>
      </c>
      <c r="Z170">
        <v>354090000</v>
      </c>
      <c r="AA170">
        <v>23660980.75</v>
      </c>
      <c r="AB170">
        <v>173450000</v>
      </c>
      <c r="AC170">
        <v>4.0299509945229172E-3</v>
      </c>
      <c r="AD170">
        <v>74663.98</v>
      </c>
      <c r="AE170">
        <v>0.2157</v>
      </c>
      <c r="AF170">
        <v>35026240000</v>
      </c>
      <c r="AG170">
        <v>3233140000</v>
      </c>
      <c r="AH170">
        <v>1821830000</v>
      </c>
      <c r="AI170">
        <v>1205830000</v>
      </c>
      <c r="AJ170">
        <v>2564980000</v>
      </c>
      <c r="AK170">
        <v>6.8781336779473426E-10</v>
      </c>
      <c r="AL170">
        <v>7.3230241099244447E-2</v>
      </c>
    </row>
    <row r="171" spans="21:38">
      <c r="U171">
        <v>2.1691973969631236E-2</v>
      </c>
      <c r="V171">
        <v>34.47</v>
      </c>
      <c r="W171">
        <v>34.26</v>
      </c>
      <c r="X171">
        <f t="shared" si="2"/>
        <v>6.1108686163247744E-3</v>
      </c>
      <c r="Y171">
        <v>433620</v>
      </c>
      <c r="Z171">
        <v>354090000</v>
      </c>
      <c r="AA171">
        <v>14920864.199999999</v>
      </c>
      <c r="AB171">
        <v>173450000</v>
      </c>
      <c r="AC171">
        <v>2.4999711732487748E-3</v>
      </c>
      <c r="AD171">
        <v>74531.19</v>
      </c>
      <c r="AE171">
        <v>0.21590000000000001</v>
      </c>
      <c r="AF171">
        <v>35026240000</v>
      </c>
      <c r="AG171">
        <v>3233140000</v>
      </c>
      <c r="AH171">
        <v>1821830000</v>
      </c>
      <c r="AI171">
        <v>1205830000</v>
      </c>
      <c r="AJ171">
        <v>2564980000</v>
      </c>
      <c r="AK171">
        <v>6.5573766577612867E-10</v>
      </c>
      <c r="AL171">
        <v>7.3230241099244447E-2</v>
      </c>
    </row>
    <row r="172" spans="21:38">
      <c r="U172">
        <v>3.6984352773826376E-2</v>
      </c>
      <c r="V172">
        <v>34.94</v>
      </c>
      <c r="W172">
        <v>34.81</v>
      </c>
      <c r="X172">
        <f t="shared" si="2"/>
        <v>3.7275985663081132E-3</v>
      </c>
      <c r="Y172">
        <v>592886</v>
      </c>
      <c r="Z172">
        <v>354090000</v>
      </c>
      <c r="AA172">
        <v>20602788.5</v>
      </c>
      <c r="AB172">
        <v>173450000</v>
      </c>
      <c r="AC172">
        <v>3.4181954453733066E-3</v>
      </c>
      <c r="AD172">
        <v>73799.11</v>
      </c>
      <c r="AE172">
        <v>0.21590000000000001</v>
      </c>
      <c r="AF172">
        <v>35026240000</v>
      </c>
      <c r="AG172">
        <v>3233140000</v>
      </c>
      <c r="AH172">
        <v>1821830000</v>
      </c>
      <c r="AI172">
        <v>1205830000</v>
      </c>
      <c r="AJ172">
        <v>2564980000</v>
      </c>
      <c r="AK172">
        <v>1.5417195825396152E-9</v>
      </c>
      <c r="AL172">
        <v>7.3230241099244447E-2</v>
      </c>
    </row>
    <row r="173" spans="21:38">
      <c r="U173">
        <v>3.2462949894142515E-2</v>
      </c>
      <c r="V173">
        <v>35.69</v>
      </c>
      <c r="W173">
        <v>35.35</v>
      </c>
      <c r="X173">
        <f t="shared" si="2"/>
        <v>9.5720720720719691E-3</v>
      </c>
      <c r="Y173">
        <v>1143642</v>
      </c>
      <c r="Z173">
        <v>354090000</v>
      </c>
      <c r="AA173">
        <v>41045311.380000003</v>
      </c>
      <c r="AB173">
        <v>173450000</v>
      </c>
      <c r="AC173">
        <v>6.5934966849236091E-3</v>
      </c>
      <c r="AD173">
        <v>73085.5</v>
      </c>
      <c r="AE173">
        <v>0.21590000000000001</v>
      </c>
      <c r="AF173">
        <v>35026240000</v>
      </c>
      <c r="AG173">
        <v>3233140000</v>
      </c>
      <c r="AH173">
        <v>1821830000</v>
      </c>
      <c r="AI173">
        <v>1205830000</v>
      </c>
      <c r="AJ173">
        <v>2564980000</v>
      </c>
      <c r="AK173">
        <v>6.552652224754523E-10</v>
      </c>
      <c r="AL173">
        <v>7.3230241099244447E-2</v>
      </c>
    </row>
    <row r="174" spans="21:38">
      <c r="U174">
        <v>6.2490831744168855E-2</v>
      </c>
      <c r="V174">
        <v>34.6</v>
      </c>
      <c r="W174">
        <v>34.549999999999997</v>
      </c>
      <c r="X174">
        <f t="shared" si="2"/>
        <v>1.4461315979755389E-3</v>
      </c>
      <c r="Y174">
        <v>2210776</v>
      </c>
      <c r="Z174">
        <v>354090000</v>
      </c>
      <c r="AA174">
        <v>77266621.200000003</v>
      </c>
      <c r="AB174">
        <v>173450000</v>
      </c>
      <c r="AC174">
        <v>1.2745897953300663E-2</v>
      </c>
      <c r="AD174">
        <v>72658.05</v>
      </c>
      <c r="AE174">
        <v>0.21590000000000001</v>
      </c>
      <c r="AF174">
        <v>35026240000</v>
      </c>
      <c r="AG174">
        <v>3233140000</v>
      </c>
      <c r="AH174">
        <v>1821830000</v>
      </c>
      <c r="AI174">
        <v>1205830000</v>
      </c>
      <c r="AJ174">
        <v>2564980000</v>
      </c>
      <c r="AK174">
        <v>6.8629920222393489E-10</v>
      </c>
      <c r="AL174">
        <v>7.3230241099244447E-2</v>
      </c>
    </row>
    <row r="175" spans="21:38">
      <c r="U175">
        <v>1.9347037484885147E-2</v>
      </c>
      <c r="V175">
        <v>33.39</v>
      </c>
      <c r="W175">
        <v>33.29</v>
      </c>
      <c r="X175">
        <f t="shared" si="2"/>
        <v>2.999400119976047E-3</v>
      </c>
      <c r="Y175">
        <v>587694</v>
      </c>
      <c r="Z175">
        <v>354090000</v>
      </c>
      <c r="AA175">
        <v>19505563.859999999</v>
      </c>
      <c r="AB175">
        <v>173450000</v>
      </c>
      <c r="AC175">
        <v>3.3882617469011243E-3</v>
      </c>
      <c r="AD175">
        <v>72601.820000000007</v>
      </c>
      <c r="AE175">
        <v>0.21590000000000001</v>
      </c>
      <c r="AF175">
        <v>35026240000</v>
      </c>
      <c r="AG175">
        <v>3233140000</v>
      </c>
      <c r="AH175">
        <v>1821830000</v>
      </c>
      <c r="AI175">
        <v>1205830000</v>
      </c>
      <c r="AJ175">
        <v>2564980000</v>
      </c>
      <c r="AK175">
        <v>1.0723422908281996E-9</v>
      </c>
      <c r="AL175">
        <v>7.3230241099244447E-2</v>
      </c>
    </row>
    <row r="176" spans="21:38">
      <c r="U176">
        <v>2.3166023166023165E-2</v>
      </c>
      <c r="V176">
        <v>32.5</v>
      </c>
      <c r="W176">
        <v>32.450000000000003</v>
      </c>
      <c r="X176">
        <f t="shared" si="2"/>
        <v>1.5396458814471796E-3</v>
      </c>
      <c r="Y176">
        <v>724519</v>
      </c>
      <c r="Z176">
        <v>354090000</v>
      </c>
      <c r="AA176">
        <v>23554112.689999998</v>
      </c>
      <c r="AB176">
        <v>173450000</v>
      </c>
      <c r="AC176">
        <v>4.1771057941769963E-3</v>
      </c>
      <c r="AD176">
        <v>72761.2</v>
      </c>
      <c r="AE176">
        <v>0.21590000000000001</v>
      </c>
      <c r="AF176">
        <v>35026240000</v>
      </c>
      <c r="AG176">
        <v>3233140000</v>
      </c>
      <c r="AH176">
        <v>1821830000</v>
      </c>
      <c r="AI176">
        <v>1205830000</v>
      </c>
      <c r="AJ176">
        <v>2564980000</v>
      </c>
      <c r="AK176">
        <v>1.0473125067411126E-10</v>
      </c>
      <c r="AL176">
        <v>7.3230241099244447E-2</v>
      </c>
    </row>
    <row r="177" spans="21:38">
      <c r="U177">
        <v>2.7363184079602074E-2</v>
      </c>
      <c r="V177">
        <v>32.6</v>
      </c>
      <c r="W177">
        <v>32.5</v>
      </c>
      <c r="X177">
        <f t="shared" si="2"/>
        <v>3.0721966205837612E-3</v>
      </c>
      <c r="Y177">
        <v>2239632</v>
      </c>
      <c r="Z177">
        <v>354090000</v>
      </c>
      <c r="AA177">
        <v>72631265.760000005</v>
      </c>
      <c r="AB177">
        <v>173450000</v>
      </c>
      <c r="AC177">
        <v>1.2912262899971173E-2</v>
      </c>
      <c r="AD177">
        <v>72764.240000000005</v>
      </c>
      <c r="AE177">
        <v>0.21590000000000001</v>
      </c>
      <c r="AF177">
        <v>35026240000</v>
      </c>
      <c r="AG177">
        <v>3233140000</v>
      </c>
      <c r="AH177">
        <v>1821830000</v>
      </c>
      <c r="AI177">
        <v>1205830000</v>
      </c>
      <c r="AJ177">
        <v>2564980000</v>
      </c>
      <c r="AK177">
        <v>3.2595112003790061E-10</v>
      </c>
      <c r="AL177">
        <v>7.3230241099244447E-2</v>
      </c>
    </row>
    <row r="178" spans="21:38">
      <c r="U178">
        <v>2.7860385036781985E-2</v>
      </c>
      <c r="V178">
        <v>31.75</v>
      </c>
      <c r="W178">
        <v>31.7</v>
      </c>
      <c r="X178">
        <f t="shared" si="2"/>
        <v>1.5760441292356408E-3</v>
      </c>
      <c r="Y178">
        <v>2304091</v>
      </c>
      <c r="Z178">
        <v>354090000</v>
      </c>
      <c r="AA178">
        <v>72993602.879999995</v>
      </c>
      <c r="AB178">
        <v>173450000</v>
      </c>
      <c r="AC178">
        <v>1.3283891611415393E-2</v>
      </c>
      <c r="AD178">
        <v>71902.09</v>
      </c>
      <c r="AE178">
        <v>0.21590000000000001</v>
      </c>
      <c r="AF178">
        <v>35026240000</v>
      </c>
      <c r="AG178">
        <v>3233140000</v>
      </c>
      <c r="AH178">
        <v>1821830000</v>
      </c>
      <c r="AI178">
        <v>1205830000</v>
      </c>
      <c r="AJ178">
        <v>2564980000</v>
      </c>
      <c r="AK178">
        <v>9.3105645381377514E-10</v>
      </c>
      <c r="AL178">
        <v>7.3230241099244447E-2</v>
      </c>
    </row>
    <row r="179" spans="21:38">
      <c r="U179">
        <v>1.7104099085815554E-2</v>
      </c>
      <c r="V179">
        <v>34</v>
      </c>
      <c r="W179">
        <v>33.82</v>
      </c>
      <c r="X179">
        <f t="shared" si="2"/>
        <v>5.3081686818047692E-3</v>
      </c>
      <c r="Y179">
        <v>1528223</v>
      </c>
      <c r="Z179">
        <v>354090000</v>
      </c>
      <c r="AA179">
        <v>51944299.770000003</v>
      </c>
      <c r="AB179">
        <v>173450000</v>
      </c>
      <c r="AC179">
        <v>8.8107408475064861E-3</v>
      </c>
      <c r="AD179">
        <v>70657.64</v>
      </c>
      <c r="AE179">
        <v>0.21590000000000001</v>
      </c>
      <c r="AF179">
        <v>35026240000</v>
      </c>
      <c r="AG179">
        <v>3233140000</v>
      </c>
      <c r="AH179">
        <v>1821830000</v>
      </c>
      <c r="AI179">
        <v>1205830000</v>
      </c>
      <c r="AJ179">
        <v>2564980000</v>
      </c>
      <c r="AK179">
        <v>2.4666561150994363E-10</v>
      </c>
      <c r="AL179">
        <v>7.3230241099244447E-2</v>
      </c>
    </row>
    <row r="180" spans="21:38">
      <c r="U180">
        <v>3.5190615835777206E-2</v>
      </c>
      <c r="V180">
        <v>33.700000000000003</v>
      </c>
      <c r="W180">
        <v>33.65</v>
      </c>
      <c r="X180">
        <f t="shared" si="2"/>
        <v>1.4847809948033933E-3</v>
      </c>
      <c r="Y180">
        <v>1616493</v>
      </c>
      <c r="Z180">
        <v>354090000</v>
      </c>
      <c r="AA180">
        <v>54249505.080000006</v>
      </c>
      <c r="AB180">
        <v>173450000</v>
      </c>
      <c r="AC180">
        <v>9.3196483136350535E-3</v>
      </c>
      <c r="AD180">
        <v>71102.55</v>
      </c>
      <c r="AE180">
        <v>0.21590000000000001</v>
      </c>
      <c r="AF180">
        <v>35026240000</v>
      </c>
      <c r="AG180">
        <v>3233140000</v>
      </c>
      <c r="AH180">
        <v>1821830000</v>
      </c>
      <c r="AI180">
        <v>1205830000</v>
      </c>
      <c r="AJ180">
        <v>2564980000</v>
      </c>
      <c r="AK180">
        <v>3.555233666686264E-10</v>
      </c>
      <c r="AL180">
        <v>7.3230241099244447E-2</v>
      </c>
    </row>
    <row r="181" spans="21:38">
      <c r="U181">
        <v>3.5771411952886335E-2</v>
      </c>
      <c r="V181">
        <v>34.28</v>
      </c>
      <c r="W181">
        <v>34.11</v>
      </c>
      <c r="X181">
        <f t="shared" si="2"/>
        <v>4.9714870595116744E-3</v>
      </c>
      <c r="Y181">
        <v>3838497</v>
      </c>
      <c r="Z181">
        <v>354090000</v>
      </c>
      <c r="AA181">
        <v>131353367.33999999</v>
      </c>
      <c r="AB181">
        <v>173450000</v>
      </c>
      <c r="AC181">
        <v>2.2130279619486885E-2</v>
      </c>
      <c r="AD181">
        <v>71695.03</v>
      </c>
      <c r="AE181">
        <v>0.21640000000000001</v>
      </c>
      <c r="AF181">
        <v>35026240000</v>
      </c>
      <c r="AG181">
        <v>3233140000</v>
      </c>
      <c r="AH181">
        <v>1821830000</v>
      </c>
      <c r="AI181">
        <v>1205830000</v>
      </c>
      <c r="AJ181">
        <v>2564980000</v>
      </c>
      <c r="AK181">
        <v>1.5898378028289767E-10</v>
      </c>
      <c r="AL181">
        <v>7.3230241099244447E-2</v>
      </c>
    </row>
    <row r="182" spans="21:38">
      <c r="U182">
        <v>5.003790750568609E-2</v>
      </c>
      <c r="V182">
        <v>33.590000000000003</v>
      </c>
      <c r="W182">
        <v>33.5</v>
      </c>
      <c r="X182">
        <f t="shared" si="2"/>
        <v>2.6829631837830795E-3</v>
      </c>
      <c r="Y182">
        <v>3219322</v>
      </c>
      <c r="Z182">
        <v>354090000</v>
      </c>
      <c r="AA182">
        <v>107911673.44000001</v>
      </c>
      <c r="AB182">
        <v>173450000</v>
      </c>
      <c r="AC182">
        <v>1.8560518881522051E-2</v>
      </c>
      <c r="AD182">
        <v>72742.75</v>
      </c>
      <c r="AE182">
        <v>0.21640000000000001</v>
      </c>
      <c r="AF182">
        <v>35026240000</v>
      </c>
      <c r="AG182">
        <v>3233140000</v>
      </c>
      <c r="AH182">
        <v>1821830000</v>
      </c>
      <c r="AI182">
        <v>1205830000</v>
      </c>
      <c r="AJ182">
        <v>2564980000</v>
      </c>
      <c r="AK182">
        <v>3.2625680547990419E-10</v>
      </c>
      <c r="AL182">
        <v>7.3230241099244447E-2</v>
      </c>
    </row>
    <row r="183" spans="21:38">
      <c r="U183">
        <v>6.2519537355423677E-2</v>
      </c>
      <c r="V183">
        <v>32.4</v>
      </c>
      <c r="W183">
        <v>32.35</v>
      </c>
      <c r="X183">
        <f t="shared" si="2"/>
        <v>1.5444015444014566E-3</v>
      </c>
      <c r="Y183">
        <v>4549474</v>
      </c>
      <c r="Z183">
        <v>354090000</v>
      </c>
      <c r="AA183">
        <v>147311968.12</v>
      </c>
      <c r="AB183">
        <v>173450000</v>
      </c>
      <c r="AC183">
        <v>2.6229311040645718E-2</v>
      </c>
      <c r="AD183">
        <v>71971.399999999994</v>
      </c>
      <c r="AE183">
        <v>0.21640000000000001</v>
      </c>
      <c r="AF183">
        <v>35026240000</v>
      </c>
      <c r="AG183">
        <v>3233140000</v>
      </c>
      <c r="AH183">
        <v>1821830000</v>
      </c>
      <c r="AI183">
        <v>1205830000</v>
      </c>
      <c r="AJ183">
        <v>2564980000</v>
      </c>
      <c r="AK183">
        <v>1.36878431435313E-10</v>
      </c>
      <c r="AL183">
        <v>7.3230241099244447E-2</v>
      </c>
    </row>
    <row r="184" spans="21:38">
      <c r="U184">
        <v>3.0750116477713883E-2</v>
      </c>
      <c r="V184">
        <v>31.8</v>
      </c>
      <c r="W184">
        <v>31.75</v>
      </c>
      <c r="X184">
        <f t="shared" si="2"/>
        <v>1.5735641227380239E-3</v>
      </c>
      <c r="Y184">
        <v>2359097</v>
      </c>
      <c r="Z184">
        <v>354090000</v>
      </c>
      <c r="AA184">
        <v>74877738.780000001</v>
      </c>
      <c r="AB184">
        <v>173450000</v>
      </c>
      <c r="AC184">
        <v>1.3601020466993369E-2</v>
      </c>
      <c r="AD184">
        <v>72051.89</v>
      </c>
      <c r="AE184">
        <v>0.21640000000000001</v>
      </c>
      <c r="AF184">
        <v>35026240000</v>
      </c>
      <c r="AG184">
        <v>3233140000</v>
      </c>
      <c r="AH184">
        <v>1821830000</v>
      </c>
      <c r="AI184">
        <v>1205830000</v>
      </c>
      <c r="AJ184">
        <v>2564980000</v>
      </c>
      <c r="AK184">
        <v>1.0022592233413278E-10</v>
      </c>
      <c r="AL184">
        <v>7.3230241099244447E-2</v>
      </c>
    </row>
    <row r="185" spans="21:38">
      <c r="U185">
        <v>3.7151702786377687E-2</v>
      </c>
      <c r="V185">
        <v>31.99</v>
      </c>
      <c r="W185">
        <v>31.82</v>
      </c>
      <c r="X185">
        <f t="shared" si="2"/>
        <v>5.3283184453846782E-3</v>
      </c>
      <c r="Y185">
        <v>1789773</v>
      </c>
      <c r="Z185">
        <v>354090000</v>
      </c>
      <c r="AA185">
        <v>57236940.539999999</v>
      </c>
      <c r="AB185">
        <v>173450000</v>
      </c>
      <c r="AC185">
        <v>1.0318668204093398E-2</v>
      </c>
      <c r="AD185">
        <v>71359.41</v>
      </c>
      <c r="AE185">
        <v>0.21640000000000001</v>
      </c>
      <c r="AF185">
        <v>35026240000</v>
      </c>
      <c r="AG185">
        <v>3233140000</v>
      </c>
      <c r="AH185">
        <v>1821830000</v>
      </c>
      <c r="AI185">
        <v>1205830000</v>
      </c>
      <c r="AJ185">
        <v>2564980000</v>
      </c>
      <c r="AK185">
        <v>1.623720661816805E-10</v>
      </c>
      <c r="AL185">
        <v>7.3230241099244447E-2</v>
      </c>
    </row>
    <row r="186" spans="21:38">
      <c r="U186">
        <v>4.3007472929693577E-2</v>
      </c>
      <c r="V186">
        <v>32.340000000000003</v>
      </c>
      <c r="W186">
        <v>32.28</v>
      </c>
      <c r="X186">
        <f t="shared" si="2"/>
        <v>1.8570102135562448E-3</v>
      </c>
      <c r="Y186">
        <v>3609175</v>
      </c>
      <c r="Z186">
        <v>354090000</v>
      </c>
      <c r="AA186">
        <v>116504169</v>
      </c>
      <c r="AB186">
        <v>173450000</v>
      </c>
      <c r="AC186">
        <v>2.0808157970596715E-2</v>
      </c>
      <c r="AD186">
        <v>71433.460000000006</v>
      </c>
      <c r="AE186">
        <v>0.21640000000000001</v>
      </c>
      <c r="AF186">
        <v>35026240000</v>
      </c>
      <c r="AG186">
        <v>3233140000</v>
      </c>
      <c r="AH186">
        <v>1821830000</v>
      </c>
      <c r="AI186">
        <v>1205830000</v>
      </c>
      <c r="AJ186">
        <v>2564980000</v>
      </c>
      <c r="AK186">
        <v>5.3213786901648388E-12</v>
      </c>
      <c r="AL186">
        <v>7.3230241099244447E-2</v>
      </c>
    </row>
    <row r="187" spans="21:38">
      <c r="U187">
        <v>1.0549177784672549E-2</v>
      </c>
      <c r="V187">
        <v>32.29</v>
      </c>
      <c r="W187">
        <v>32.21</v>
      </c>
      <c r="X187">
        <f t="shared" si="2"/>
        <v>2.4806201550387069E-3</v>
      </c>
      <c r="Y187">
        <v>295720</v>
      </c>
      <c r="Z187">
        <v>354090000</v>
      </c>
      <c r="AA187">
        <v>9539927.1999999993</v>
      </c>
      <c r="AB187">
        <v>173450000</v>
      </c>
      <c r="AC187">
        <v>1.7049293744594983E-3</v>
      </c>
      <c r="AD187">
        <v>70909.899999999994</v>
      </c>
      <c r="AE187">
        <v>0.21640000000000001</v>
      </c>
      <c r="AF187">
        <v>35026240000</v>
      </c>
      <c r="AG187">
        <v>3233140000</v>
      </c>
      <c r="AH187">
        <v>1821830000</v>
      </c>
      <c r="AI187">
        <v>1205830000</v>
      </c>
      <c r="AJ187">
        <v>2564980000</v>
      </c>
      <c r="AK187">
        <v>9.7388605920551431E-11</v>
      </c>
      <c r="AL187">
        <v>7.3230241099244447E-2</v>
      </c>
    </row>
    <row r="188" spans="21:38">
      <c r="U188">
        <v>2.7993779160186694E-2</v>
      </c>
      <c r="V188">
        <v>32.29</v>
      </c>
      <c r="W188">
        <v>32.28</v>
      </c>
      <c r="X188">
        <f t="shared" si="2"/>
        <v>3.097413659593623E-4</v>
      </c>
      <c r="Y188">
        <v>463920</v>
      </c>
      <c r="Z188">
        <v>354090000</v>
      </c>
      <c r="AA188">
        <v>14979976.799999999</v>
      </c>
      <c r="AB188">
        <v>173450000</v>
      </c>
      <c r="AC188">
        <v>2.6746612856731046E-3</v>
      </c>
      <c r="AD188">
        <v>70290.12</v>
      </c>
      <c r="AE188">
        <v>0.21640000000000001</v>
      </c>
      <c r="AF188">
        <v>35026240000</v>
      </c>
      <c r="AG188">
        <v>3233140000</v>
      </c>
      <c r="AH188">
        <v>1821830000</v>
      </c>
      <c r="AI188">
        <v>1205830000</v>
      </c>
      <c r="AJ188">
        <v>2564980000</v>
      </c>
      <c r="AK188">
        <v>3.5331513683830134E-10</v>
      </c>
      <c r="AL188">
        <v>7.3230241099244447E-2</v>
      </c>
    </row>
    <row r="189" spans="21:38">
      <c r="U189">
        <v>3.4161490683229857E-2</v>
      </c>
      <c r="V189">
        <v>32.19</v>
      </c>
      <c r="W189">
        <v>32.020000000000003</v>
      </c>
      <c r="X189">
        <f t="shared" si="2"/>
        <v>5.2951253698799118E-3</v>
      </c>
      <c r="Y189">
        <v>469869</v>
      </c>
      <c r="Z189">
        <v>354090000</v>
      </c>
      <c r="AA189">
        <v>15092192.279999999</v>
      </c>
      <c r="AB189">
        <v>173450000</v>
      </c>
      <c r="AC189">
        <v>2.7089593542807726E-3</v>
      </c>
      <c r="AD189">
        <v>70333.320000000007</v>
      </c>
      <c r="AE189">
        <v>0.21640000000000001</v>
      </c>
      <c r="AF189">
        <v>35026240000</v>
      </c>
      <c r="AG189">
        <v>3233140000</v>
      </c>
      <c r="AH189">
        <v>1821830000</v>
      </c>
      <c r="AI189">
        <v>1205830000</v>
      </c>
      <c r="AJ189">
        <v>2564980000</v>
      </c>
      <c r="AK189">
        <v>5.4072350289173838E-10</v>
      </c>
      <c r="AL189">
        <v>7.3230241099244447E-2</v>
      </c>
    </row>
    <row r="190" spans="21:38">
      <c r="U190">
        <v>2.921068986948408E-2</v>
      </c>
      <c r="V190">
        <v>31.9</v>
      </c>
      <c r="W190">
        <v>31.8</v>
      </c>
      <c r="X190">
        <f t="shared" si="2"/>
        <v>3.1397174254316441E-3</v>
      </c>
      <c r="Y190">
        <v>1003959</v>
      </c>
      <c r="Z190">
        <v>354090000</v>
      </c>
      <c r="AA190">
        <v>31986133.739999998</v>
      </c>
      <c r="AB190">
        <v>173450000</v>
      </c>
      <c r="AC190">
        <v>5.7881752666474485E-3</v>
      </c>
      <c r="AD190">
        <v>70483.66</v>
      </c>
      <c r="AE190">
        <v>0.216</v>
      </c>
      <c r="AF190">
        <v>35026240000</v>
      </c>
      <c r="AG190">
        <v>3233140000</v>
      </c>
      <c r="AH190">
        <v>1821830000</v>
      </c>
      <c r="AI190">
        <v>1205830000</v>
      </c>
      <c r="AJ190">
        <v>2564980000</v>
      </c>
      <c r="AK190">
        <v>5.6842812981430014E-10</v>
      </c>
      <c r="AL190">
        <v>7.3230241099244447E-2</v>
      </c>
    </row>
    <row r="191" spans="21:38">
      <c r="U191">
        <v>4.589147286821707E-2</v>
      </c>
      <c r="V191">
        <v>32.49</v>
      </c>
      <c r="W191">
        <v>32.31</v>
      </c>
      <c r="X191">
        <f t="shared" si="2"/>
        <v>5.5555555555555462E-3</v>
      </c>
      <c r="Y191">
        <v>701992</v>
      </c>
      <c r="Z191">
        <v>354090000</v>
      </c>
      <c r="AA191">
        <v>22779640.400000002</v>
      </c>
      <c r="AB191">
        <v>173450000</v>
      </c>
      <c r="AC191">
        <v>4.0472297492072642E-3</v>
      </c>
      <c r="AD191">
        <v>70544.58</v>
      </c>
      <c r="AE191">
        <v>0.216</v>
      </c>
      <c r="AF191">
        <v>35026240000</v>
      </c>
      <c r="AG191">
        <v>3233140000</v>
      </c>
      <c r="AH191">
        <v>1821830000</v>
      </c>
      <c r="AI191">
        <v>1205830000</v>
      </c>
      <c r="AJ191">
        <v>2564980000</v>
      </c>
      <c r="AK191">
        <v>7.4288243803309079E-10</v>
      </c>
      <c r="AL191">
        <v>7.3230241099244447E-2</v>
      </c>
    </row>
    <row r="192" spans="21:38">
      <c r="U192">
        <v>2.562885619364021E-2</v>
      </c>
      <c r="V192">
        <v>32</v>
      </c>
      <c r="W192">
        <v>31.76</v>
      </c>
      <c r="X192">
        <f t="shared" si="2"/>
        <v>7.5282308657465E-3</v>
      </c>
      <c r="Y192">
        <v>407522</v>
      </c>
      <c r="Z192">
        <v>354090000</v>
      </c>
      <c r="AA192">
        <v>13004027.02</v>
      </c>
      <c r="AB192">
        <v>173450000</v>
      </c>
      <c r="AC192">
        <v>2.3495070625540503E-3</v>
      </c>
      <c r="AD192">
        <v>70314.720000000001</v>
      </c>
      <c r="AE192">
        <v>0.216</v>
      </c>
      <c r="AF192">
        <v>35026240000</v>
      </c>
      <c r="AG192">
        <v>3233140000</v>
      </c>
      <c r="AH192">
        <v>1821830000</v>
      </c>
      <c r="AI192">
        <v>1205830000</v>
      </c>
      <c r="AJ192">
        <v>2564980000</v>
      </c>
      <c r="AK192">
        <v>6.5621994503774425E-10</v>
      </c>
      <c r="AL192">
        <v>7.3230241099244447E-2</v>
      </c>
    </row>
    <row r="193" spans="21:38">
      <c r="U193">
        <v>7.073954983922838E-2</v>
      </c>
      <c r="V193">
        <v>31.8</v>
      </c>
      <c r="W193">
        <v>31.72</v>
      </c>
      <c r="X193">
        <f t="shared" si="2"/>
        <v>2.5188916876574892E-3</v>
      </c>
      <c r="Y193">
        <v>1496698</v>
      </c>
      <c r="Z193">
        <v>354090000</v>
      </c>
      <c r="AA193">
        <v>47355524.719999999</v>
      </c>
      <c r="AB193">
        <v>173450000</v>
      </c>
      <c r="AC193">
        <v>8.6289881810319973E-3</v>
      </c>
      <c r="AD193">
        <v>69619.990000000005</v>
      </c>
      <c r="AE193">
        <v>0.216</v>
      </c>
      <c r="AF193">
        <v>35026240000</v>
      </c>
      <c r="AG193">
        <v>3233140000</v>
      </c>
      <c r="AH193">
        <v>1821830000</v>
      </c>
      <c r="AI193">
        <v>1205830000</v>
      </c>
      <c r="AJ193">
        <v>2564980000</v>
      </c>
      <c r="AK193">
        <v>8.9030241058876317E-10</v>
      </c>
      <c r="AL193">
        <v>7.3230241099244447E-2</v>
      </c>
    </row>
    <row r="194" spans="21:38">
      <c r="U194">
        <v>2.4568393094289459E-2</v>
      </c>
      <c r="V194">
        <v>30.35</v>
      </c>
      <c r="W194">
        <v>30.3</v>
      </c>
      <c r="X194">
        <f t="shared" si="2"/>
        <v>1.6488046166529499E-3</v>
      </c>
      <c r="Y194">
        <v>246231</v>
      </c>
      <c r="Z194">
        <v>354090000</v>
      </c>
      <c r="AA194">
        <v>7475573.1600000001</v>
      </c>
      <c r="AB194">
        <v>173450000</v>
      </c>
      <c r="AC194">
        <v>1.4196079561833381E-3</v>
      </c>
      <c r="AD194">
        <v>68416.78</v>
      </c>
      <c r="AE194">
        <v>0.216</v>
      </c>
      <c r="AF194">
        <v>35026240000</v>
      </c>
      <c r="AG194">
        <v>3233140000</v>
      </c>
      <c r="AH194">
        <v>1821830000</v>
      </c>
      <c r="AI194">
        <v>1205830000</v>
      </c>
      <c r="AJ194">
        <v>2564980000</v>
      </c>
      <c r="AK194">
        <v>2.7887284625173405E-9</v>
      </c>
      <c r="AL194">
        <v>7.3230241099244447E-2</v>
      </c>
    </row>
    <row r="195" spans="21:38">
      <c r="U195">
        <v>1.3133524162316907E-2</v>
      </c>
      <c r="V195">
        <v>29.76</v>
      </c>
      <c r="W195">
        <v>29.75</v>
      </c>
      <c r="X195">
        <f t="shared" si="2"/>
        <v>3.3607797008911315E-4</v>
      </c>
      <c r="Y195">
        <v>100639</v>
      </c>
      <c r="Z195">
        <v>354090000</v>
      </c>
      <c r="AA195">
        <v>2993003.86</v>
      </c>
      <c r="AB195">
        <v>173450000</v>
      </c>
      <c r="AC195">
        <v>5.8021908330931104E-4</v>
      </c>
      <c r="AD195">
        <v>67756.039999999994</v>
      </c>
      <c r="AE195">
        <v>0.216</v>
      </c>
      <c r="AF195">
        <v>35026240000</v>
      </c>
      <c r="AG195">
        <v>3233140000</v>
      </c>
      <c r="AH195">
        <v>1821830000</v>
      </c>
      <c r="AI195">
        <v>1205830000</v>
      </c>
      <c r="AJ195">
        <v>2564980000</v>
      </c>
      <c r="AK195">
        <v>1.9208361473285046E-9</v>
      </c>
      <c r="AL195">
        <v>7.3230241099244447E-2</v>
      </c>
    </row>
    <row r="196" spans="21:38">
      <c r="U196">
        <v>1.6467820534363919E-2</v>
      </c>
      <c r="V196">
        <v>29.72</v>
      </c>
      <c r="W196">
        <v>29.69</v>
      </c>
      <c r="X196">
        <f t="shared" ref="X196:X259" si="3">(V196-W196)/AVERAGE(V196:W196)</f>
        <v>1.0099309880490688E-3</v>
      </c>
      <c r="Y196">
        <v>146816</v>
      </c>
      <c r="Z196">
        <v>354090000</v>
      </c>
      <c r="AA196">
        <v>4341349.12</v>
      </c>
      <c r="AB196">
        <v>173450000</v>
      </c>
      <c r="AC196">
        <v>8.4644566157394063E-4</v>
      </c>
      <c r="AD196">
        <v>66886.259999999995</v>
      </c>
      <c r="AE196">
        <v>0.216</v>
      </c>
      <c r="AF196">
        <v>35026240000</v>
      </c>
      <c r="AG196">
        <v>3233140000</v>
      </c>
      <c r="AH196">
        <v>1821830000</v>
      </c>
      <c r="AI196">
        <v>1205830000</v>
      </c>
      <c r="AJ196">
        <v>2564980000</v>
      </c>
      <c r="AK196">
        <v>1.6243136324323761E-9</v>
      </c>
      <c r="AL196">
        <v>7.3230241099244447E-2</v>
      </c>
    </row>
    <row r="197" spans="21:38">
      <c r="U197">
        <v>1.8194070080862504E-2</v>
      </c>
      <c r="V197">
        <v>29.85</v>
      </c>
      <c r="W197">
        <v>29.72</v>
      </c>
      <c r="X197">
        <f t="shared" si="3"/>
        <v>4.3646130602653203E-3</v>
      </c>
      <c r="Y197">
        <v>182584</v>
      </c>
      <c r="Z197">
        <v>354090000</v>
      </c>
      <c r="AA197">
        <v>5437351.5200000005</v>
      </c>
      <c r="AB197">
        <v>173450000</v>
      </c>
      <c r="AC197">
        <v>1.05266070913808E-3</v>
      </c>
      <c r="AD197">
        <v>66796.320000000007</v>
      </c>
      <c r="AE197">
        <v>0.216</v>
      </c>
      <c r="AF197">
        <v>35026240000</v>
      </c>
      <c r="AG197">
        <v>3233140000</v>
      </c>
      <c r="AH197">
        <v>1821830000</v>
      </c>
      <c r="AI197">
        <v>1205830000</v>
      </c>
      <c r="AJ197">
        <v>2564980000</v>
      </c>
      <c r="AK197">
        <v>1.7456155609613502E-9</v>
      </c>
      <c r="AL197">
        <v>7.3230241099244447E-2</v>
      </c>
    </row>
    <row r="198" spans="21:38">
      <c r="U198">
        <v>1.1834319526627267E-2</v>
      </c>
      <c r="V198">
        <v>29.45</v>
      </c>
      <c r="W198">
        <v>29.41</v>
      </c>
      <c r="X198">
        <f t="shared" si="3"/>
        <v>1.3591573224600458E-3</v>
      </c>
      <c r="Y198">
        <v>315455</v>
      </c>
      <c r="Z198">
        <v>354090000</v>
      </c>
      <c r="AA198">
        <v>9305922.5</v>
      </c>
      <c r="AB198">
        <v>173450000</v>
      </c>
      <c r="AC198">
        <v>1.8187085615451138E-3</v>
      </c>
      <c r="AD198">
        <v>67005.11</v>
      </c>
      <c r="AE198">
        <v>0.216</v>
      </c>
      <c r="AF198">
        <v>35026240000</v>
      </c>
      <c r="AG198">
        <v>3233140000</v>
      </c>
      <c r="AH198">
        <v>1821830000</v>
      </c>
      <c r="AI198">
        <v>1205830000</v>
      </c>
      <c r="AJ198">
        <v>2564980000</v>
      </c>
      <c r="AK198">
        <v>5.491913927211886E-10</v>
      </c>
      <c r="AL198">
        <v>7.3230241099244447E-2</v>
      </c>
    </row>
    <row r="199" spans="21:38">
      <c r="U199">
        <v>2.3648648648648622E-2</v>
      </c>
      <c r="V199">
        <v>29.45</v>
      </c>
      <c r="W199">
        <v>29.31</v>
      </c>
      <c r="X199">
        <f t="shared" si="3"/>
        <v>4.7651463580667313E-3</v>
      </c>
      <c r="Y199">
        <v>499117</v>
      </c>
      <c r="Z199">
        <v>354090000</v>
      </c>
      <c r="AA199">
        <v>14649083.950000001</v>
      </c>
      <c r="AB199">
        <v>173450000</v>
      </c>
      <c r="AC199">
        <v>2.8775843182473337E-3</v>
      </c>
      <c r="AD199">
        <v>67142.12</v>
      </c>
      <c r="AE199">
        <v>0.216</v>
      </c>
      <c r="AF199">
        <v>35026240000</v>
      </c>
      <c r="AG199">
        <v>3233140000</v>
      </c>
      <c r="AH199">
        <v>1821830000</v>
      </c>
      <c r="AI199">
        <v>1205830000</v>
      </c>
      <c r="AJ199">
        <v>2564980000</v>
      </c>
      <c r="AK199">
        <v>0</v>
      </c>
      <c r="AL199">
        <v>7.3230241099244447E-2</v>
      </c>
    </row>
    <row r="200" spans="21:38">
      <c r="U200">
        <v>2.7118644067796512E-2</v>
      </c>
      <c r="V200">
        <v>29.39</v>
      </c>
      <c r="W200">
        <v>29.25</v>
      </c>
      <c r="X200">
        <f t="shared" si="3"/>
        <v>4.7748976807640026E-3</v>
      </c>
      <c r="Y200">
        <v>1458861</v>
      </c>
      <c r="Z200">
        <v>354090000</v>
      </c>
      <c r="AA200">
        <v>42817570.350000001</v>
      </c>
      <c r="AB200">
        <v>173450000</v>
      </c>
      <c r="AC200">
        <v>8.410844623810896E-3</v>
      </c>
      <c r="AD200">
        <v>66547.789999999994</v>
      </c>
      <c r="AE200">
        <v>0.216</v>
      </c>
      <c r="AF200">
        <v>35026240000</v>
      </c>
      <c r="AG200">
        <v>3233140000</v>
      </c>
      <c r="AH200">
        <v>1821830000</v>
      </c>
      <c r="AI200">
        <v>1205830000</v>
      </c>
      <c r="AJ200">
        <v>2564980000</v>
      </c>
      <c r="AK200">
        <v>2.168439661223214E-10</v>
      </c>
      <c r="AL200">
        <v>7.3230241099244447E-2</v>
      </c>
    </row>
    <row r="201" spans="21:38">
      <c r="U201">
        <v>2.3850085178875612E-2</v>
      </c>
      <c r="V201">
        <v>29</v>
      </c>
      <c r="W201">
        <v>28.98</v>
      </c>
      <c r="X201">
        <f t="shared" si="3"/>
        <v>6.8989306657466615E-4</v>
      </c>
      <c r="Y201">
        <v>961663</v>
      </c>
      <c r="Z201">
        <v>354090000</v>
      </c>
      <c r="AA201">
        <v>27965160.039999999</v>
      </c>
      <c r="AB201">
        <v>173450000</v>
      </c>
      <c r="AC201">
        <v>5.5443240126837705E-3</v>
      </c>
      <c r="AD201">
        <v>65906.28</v>
      </c>
      <c r="AE201">
        <v>0.216</v>
      </c>
      <c r="AF201">
        <v>35026240000</v>
      </c>
      <c r="AG201">
        <v>3233140000</v>
      </c>
      <c r="AH201">
        <v>1821830000</v>
      </c>
      <c r="AI201">
        <v>1205830000</v>
      </c>
      <c r="AJ201">
        <v>2564980000</v>
      </c>
      <c r="AK201">
        <v>5.4491875756625429E-10</v>
      </c>
      <c r="AL201">
        <v>7.3230241099244447E-2</v>
      </c>
    </row>
    <row r="202" spans="21:38">
      <c r="U202">
        <v>1.613987895090788E-2</v>
      </c>
      <c r="V202">
        <v>29.79</v>
      </c>
      <c r="W202">
        <v>29.51</v>
      </c>
      <c r="X202">
        <f t="shared" si="3"/>
        <v>9.4435075885328026E-3</v>
      </c>
      <c r="Y202">
        <v>513612</v>
      </c>
      <c r="Z202">
        <v>354090000</v>
      </c>
      <c r="AA202">
        <v>15166962.360000001</v>
      </c>
      <c r="AB202">
        <v>173450000</v>
      </c>
      <c r="AC202">
        <v>2.9611530700490054E-3</v>
      </c>
      <c r="AD202">
        <v>65525.65</v>
      </c>
      <c r="AE202">
        <v>0.216</v>
      </c>
      <c r="AF202">
        <v>35026240000</v>
      </c>
      <c r="AG202">
        <v>3233140000</v>
      </c>
      <c r="AH202">
        <v>1821830000</v>
      </c>
      <c r="AI202">
        <v>1205830000</v>
      </c>
      <c r="AJ202">
        <v>2564980000</v>
      </c>
      <c r="AK202">
        <v>0</v>
      </c>
      <c r="AL202">
        <v>7.3230241099244447E-2</v>
      </c>
    </row>
    <row r="203" spans="21:38">
      <c r="U203">
        <v>5.3606805733597412E-2</v>
      </c>
      <c r="V203">
        <v>89.21</v>
      </c>
      <c r="W203">
        <v>88.11</v>
      </c>
      <c r="X203">
        <f t="shared" si="3"/>
        <v>1.2406947890818795E-2</v>
      </c>
      <c r="Y203">
        <v>399000</v>
      </c>
      <c r="Z203">
        <v>372080000</v>
      </c>
      <c r="AA203">
        <v>35155890</v>
      </c>
      <c r="AB203">
        <v>145570000</v>
      </c>
      <c r="AC203">
        <v>2.7409493714364223E-3</v>
      </c>
      <c r="AD203">
        <v>75983.039999999994</v>
      </c>
      <c r="AE203">
        <v>0.2157</v>
      </c>
      <c r="AF203">
        <v>31184710000</v>
      </c>
      <c r="AG203">
        <v>4643530000</v>
      </c>
      <c r="AH203">
        <v>2160080000</v>
      </c>
      <c r="AI203">
        <v>205220000</v>
      </c>
      <c r="AJ203">
        <v>3779960000</v>
      </c>
      <c r="AK203">
        <v>2.1343963478405334E-9</v>
      </c>
      <c r="AL203">
        <v>0.12121196573577243</v>
      </c>
    </row>
    <row r="204" spans="21:38">
      <c r="U204">
        <v>0</v>
      </c>
      <c r="V204">
        <v>82.25</v>
      </c>
      <c r="W204">
        <v>81.96</v>
      </c>
      <c r="X204">
        <f t="shared" si="3"/>
        <v>3.5320626027648292E-3</v>
      </c>
      <c r="Y204">
        <v>171000</v>
      </c>
      <c r="Z204">
        <v>372080000</v>
      </c>
      <c r="AA204">
        <v>14015159.999999998</v>
      </c>
      <c r="AB204">
        <v>145570000</v>
      </c>
      <c r="AC204">
        <v>1.1746925877584666E-3</v>
      </c>
      <c r="AD204">
        <v>75114.47</v>
      </c>
      <c r="AE204">
        <v>0.2157</v>
      </c>
      <c r="AF204">
        <v>31184710000</v>
      </c>
      <c r="AG204">
        <v>4643530000</v>
      </c>
      <c r="AH204">
        <v>2160080000</v>
      </c>
      <c r="AI204">
        <v>205220000</v>
      </c>
      <c r="AJ204">
        <v>3779960000</v>
      </c>
      <c r="AK204">
        <v>5.3532198668144649E-9</v>
      </c>
      <c r="AL204">
        <v>0.12121196573577243</v>
      </c>
    </row>
    <row r="205" spans="21:38">
      <c r="U205">
        <v>0</v>
      </c>
      <c r="V205">
        <v>77.5</v>
      </c>
      <c r="W205">
        <v>76.239999999999995</v>
      </c>
      <c r="X205">
        <f t="shared" si="3"/>
        <v>1.6391310003902759E-2</v>
      </c>
      <c r="Y205">
        <v>21500</v>
      </c>
      <c r="Z205">
        <v>372080000</v>
      </c>
      <c r="AA205">
        <v>1639160</v>
      </c>
      <c r="AB205">
        <v>145570000</v>
      </c>
      <c r="AC205">
        <v>1.4769526688191247E-4</v>
      </c>
      <c r="AD205">
        <v>74956.67</v>
      </c>
      <c r="AE205">
        <v>0.2157</v>
      </c>
      <c r="AF205">
        <v>31184710000</v>
      </c>
      <c r="AG205">
        <v>4643530000</v>
      </c>
      <c r="AH205">
        <v>2160080000</v>
      </c>
      <c r="AI205">
        <v>205220000</v>
      </c>
      <c r="AJ205">
        <v>3779960000</v>
      </c>
      <c r="AK205">
        <v>4.5763745085782329E-8</v>
      </c>
      <c r="AL205">
        <v>0.12121196573577243</v>
      </c>
    </row>
    <row r="206" spans="21:38">
      <c r="U206">
        <v>0</v>
      </c>
      <c r="V206">
        <v>70.98</v>
      </c>
      <c r="W206">
        <v>70.92</v>
      </c>
      <c r="X206">
        <f t="shared" si="3"/>
        <v>8.4566596194506375E-4</v>
      </c>
      <c r="Y206">
        <v>5500</v>
      </c>
      <c r="Z206">
        <v>372080000</v>
      </c>
      <c r="AA206">
        <v>390060</v>
      </c>
      <c r="AB206">
        <v>145570000</v>
      </c>
      <c r="AC206">
        <v>3.7782510132582266E-5</v>
      </c>
      <c r="AD206">
        <v>75206.77</v>
      </c>
      <c r="AE206">
        <v>0.2157</v>
      </c>
      <c r="AF206">
        <v>31184710000</v>
      </c>
      <c r="AG206">
        <v>4643530000</v>
      </c>
      <c r="AH206">
        <v>2160080000</v>
      </c>
      <c r="AI206">
        <v>205220000</v>
      </c>
      <c r="AJ206">
        <v>3779960000</v>
      </c>
      <c r="AK206">
        <v>1.9236554994617624E-7</v>
      </c>
      <c r="AL206">
        <v>0.12121196573577243</v>
      </c>
    </row>
    <row r="207" spans="21:38">
      <c r="U207">
        <v>0</v>
      </c>
      <c r="V207">
        <v>66.099999999999994</v>
      </c>
      <c r="W207">
        <v>65.97</v>
      </c>
      <c r="X207">
        <f t="shared" si="3"/>
        <v>1.968652987052252E-3</v>
      </c>
      <c r="Y207">
        <v>27500</v>
      </c>
      <c r="Z207">
        <v>372080000</v>
      </c>
      <c r="AA207">
        <v>1814175</v>
      </c>
      <c r="AB207">
        <v>145570000</v>
      </c>
      <c r="AC207">
        <v>1.889125506629113E-4</v>
      </c>
      <c r="AD207">
        <v>75084</v>
      </c>
      <c r="AE207">
        <v>0.2157</v>
      </c>
      <c r="AF207">
        <v>31184710000</v>
      </c>
      <c r="AG207">
        <v>4643530000</v>
      </c>
      <c r="AH207">
        <v>2160080000</v>
      </c>
      <c r="AI207">
        <v>205220000</v>
      </c>
      <c r="AJ207">
        <v>3779960000</v>
      </c>
      <c r="AK207">
        <v>4.1316405436171031E-8</v>
      </c>
      <c r="AL207">
        <v>0.12121196573577243</v>
      </c>
    </row>
    <row r="208" spans="21:38">
      <c r="U208">
        <v>0.11858116855096223</v>
      </c>
      <c r="V208">
        <v>61.5</v>
      </c>
      <c r="W208">
        <v>61.37</v>
      </c>
      <c r="X208">
        <f t="shared" si="3"/>
        <v>2.1160576218768219E-3</v>
      </c>
      <c r="Y208">
        <v>66500</v>
      </c>
      <c r="Z208">
        <v>372080000</v>
      </c>
      <c r="AA208">
        <v>4081105</v>
      </c>
      <c r="AB208">
        <v>145570000</v>
      </c>
      <c r="AC208">
        <v>4.568248952394037E-4</v>
      </c>
      <c r="AD208">
        <v>75342.350000000006</v>
      </c>
      <c r="AE208">
        <v>0.2157</v>
      </c>
      <c r="AF208">
        <v>31184710000</v>
      </c>
      <c r="AG208">
        <v>4643530000</v>
      </c>
      <c r="AH208">
        <v>2160080000</v>
      </c>
      <c r="AI208">
        <v>205220000</v>
      </c>
      <c r="AJ208">
        <v>3779960000</v>
      </c>
      <c r="AK208">
        <v>1.8369864692441657E-8</v>
      </c>
      <c r="AL208">
        <v>0.12121196573577243</v>
      </c>
    </row>
    <row r="209" spans="21:38">
      <c r="U209">
        <v>6.222222222222222E-2</v>
      </c>
      <c r="V209">
        <v>59</v>
      </c>
      <c r="W209">
        <v>56.01</v>
      </c>
      <c r="X209">
        <f t="shared" si="3"/>
        <v>5.1995478654030126E-2</v>
      </c>
      <c r="Y209">
        <v>12500</v>
      </c>
      <c r="Z209">
        <v>372080000</v>
      </c>
      <c r="AA209">
        <v>713625</v>
      </c>
      <c r="AB209">
        <v>145570000</v>
      </c>
      <c r="AC209">
        <v>8.586934121041424E-5</v>
      </c>
      <c r="AD209">
        <v>74930.7</v>
      </c>
      <c r="AE209">
        <v>0.2157</v>
      </c>
      <c r="AF209">
        <v>31184710000</v>
      </c>
      <c r="AG209">
        <v>4643530000</v>
      </c>
      <c r="AH209">
        <v>2160080000</v>
      </c>
      <c r="AI209">
        <v>205220000</v>
      </c>
      <c r="AJ209">
        <v>3779960000</v>
      </c>
      <c r="AK209">
        <v>5.3249255561394374E-8</v>
      </c>
      <c r="AL209">
        <v>0.12121196573577243</v>
      </c>
    </row>
    <row r="210" spans="21:38">
      <c r="U210">
        <v>4.6511627906976744E-2</v>
      </c>
      <c r="V210">
        <v>55.3</v>
      </c>
      <c r="W210">
        <v>54</v>
      </c>
      <c r="X210">
        <f t="shared" si="3"/>
        <v>2.3787740164684303E-2</v>
      </c>
      <c r="Y210">
        <v>17000</v>
      </c>
      <c r="Z210">
        <v>372080000</v>
      </c>
      <c r="AA210">
        <v>935000</v>
      </c>
      <c r="AB210">
        <v>145570000</v>
      </c>
      <c r="AC210">
        <v>1.1678230404616336E-4</v>
      </c>
      <c r="AD210">
        <v>74663.98</v>
      </c>
      <c r="AE210">
        <v>0.2157</v>
      </c>
      <c r="AF210">
        <v>31184710000</v>
      </c>
      <c r="AG210">
        <v>4643530000</v>
      </c>
      <c r="AH210">
        <v>2160080000</v>
      </c>
      <c r="AI210">
        <v>205220000</v>
      </c>
      <c r="AJ210">
        <v>3779960000</v>
      </c>
      <c r="AK210">
        <v>1.9449331088876654E-10</v>
      </c>
      <c r="AL210">
        <v>0.12121196573577243</v>
      </c>
    </row>
    <row r="211" spans="21:38">
      <c r="U211">
        <v>1.8183471224653169E-4</v>
      </c>
      <c r="V211">
        <v>55.4</v>
      </c>
      <c r="W211">
        <v>53.01</v>
      </c>
      <c r="X211">
        <f t="shared" si="3"/>
        <v>4.4091873443409292E-2</v>
      </c>
      <c r="Y211">
        <v>23500</v>
      </c>
      <c r="Z211">
        <v>372080000</v>
      </c>
      <c r="AA211">
        <v>1292265</v>
      </c>
      <c r="AB211">
        <v>145570000</v>
      </c>
      <c r="AC211">
        <v>1.6143436147557876E-4</v>
      </c>
      <c r="AD211">
        <v>74531.19</v>
      </c>
      <c r="AE211">
        <v>0.21590000000000001</v>
      </c>
      <c r="AF211">
        <v>31184710000</v>
      </c>
      <c r="AG211">
        <v>4643530000</v>
      </c>
      <c r="AH211">
        <v>2160080000</v>
      </c>
      <c r="AI211">
        <v>205220000</v>
      </c>
      <c r="AJ211">
        <v>3779960000</v>
      </c>
      <c r="AK211">
        <v>0</v>
      </c>
      <c r="AL211">
        <v>0.12121196573577243</v>
      </c>
    </row>
    <row r="212" spans="21:38">
      <c r="U212">
        <v>0</v>
      </c>
      <c r="V212">
        <v>54.79</v>
      </c>
      <c r="W212">
        <v>52.05</v>
      </c>
      <c r="X212">
        <f t="shared" si="3"/>
        <v>5.1291651067016136E-2</v>
      </c>
      <c r="Y212">
        <v>0</v>
      </c>
      <c r="Z212">
        <v>372080000</v>
      </c>
      <c r="AA212">
        <v>0</v>
      </c>
      <c r="AB212">
        <v>145570000</v>
      </c>
      <c r="AC212">
        <v>0</v>
      </c>
      <c r="AD212">
        <v>73799.11</v>
      </c>
      <c r="AE212">
        <v>0.21590000000000001</v>
      </c>
      <c r="AF212">
        <v>31184710000</v>
      </c>
      <c r="AG212">
        <v>4643530000</v>
      </c>
      <c r="AH212">
        <v>2160080000</v>
      </c>
      <c r="AI212">
        <v>205220000</v>
      </c>
      <c r="AJ212">
        <v>3779960000</v>
      </c>
      <c r="AK212">
        <v>0</v>
      </c>
      <c r="AL212">
        <v>0.12121196573577243</v>
      </c>
    </row>
    <row r="213" spans="21:38">
      <c r="U213">
        <v>4.6189376443418013E-3</v>
      </c>
      <c r="V213">
        <v>54.7</v>
      </c>
      <c r="W213">
        <v>52.1</v>
      </c>
      <c r="X213">
        <f t="shared" si="3"/>
        <v>4.8689138576779048E-2</v>
      </c>
      <c r="Y213">
        <v>4500</v>
      </c>
      <c r="Z213">
        <v>372080000</v>
      </c>
      <c r="AA213">
        <v>244125</v>
      </c>
      <c r="AB213">
        <v>145570000</v>
      </c>
      <c r="AC213">
        <v>3.0912962835749123E-5</v>
      </c>
      <c r="AD213">
        <v>73085.5</v>
      </c>
      <c r="AE213">
        <v>0.21590000000000001</v>
      </c>
      <c r="AF213">
        <v>31184710000</v>
      </c>
      <c r="AG213">
        <v>4643530000</v>
      </c>
      <c r="AH213">
        <v>2160080000</v>
      </c>
      <c r="AI213">
        <v>205220000</v>
      </c>
      <c r="AJ213">
        <v>3779960000</v>
      </c>
      <c r="AK213">
        <v>1.896417667026986E-8</v>
      </c>
      <c r="AL213">
        <v>0.12121196573577243</v>
      </c>
    </row>
    <row r="214" spans="21:38">
      <c r="U214">
        <v>0</v>
      </c>
      <c r="V214">
        <v>54.5</v>
      </c>
      <c r="W214">
        <v>52.74</v>
      </c>
      <c r="X214">
        <f t="shared" si="3"/>
        <v>3.2823573293547147E-2</v>
      </c>
      <c r="Y214">
        <v>0</v>
      </c>
      <c r="Z214">
        <v>372080000</v>
      </c>
      <c r="AA214">
        <v>0</v>
      </c>
      <c r="AB214">
        <v>145570000</v>
      </c>
      <c r="AC214">
        <v>0</v>
      </c>
      <c r="AD214">
        <v>72658.05</v>
      </c>
      <c r="AE214">
        <v>0.21590000000000001</v>
      </c>
      <c r="AF214">
        <v>31184710000</v>
      </c>
      <c r="AG214">
        <v>4643530000</v>
      </c>
      <c r="AH214">
        <v>2160080000</v>
      </c>
      <c r="AI214">
        <v>205220000</v>
      </c>
      <c r="AJ214">
        <v>3779960000</v>
      </c>
      <c r="AK214">
        <v>0</v>
      </c>
      <c r="AL214">
        <v>0.12121196573577243</v>
      </c>
    </row>
    <row r="215" spans="21:38">
      <c r="U215">
        <v>2.5458629726694111E-2</v>
      </c>
      <c r="V215">
        <v>54.2</v>
      </c>
      <c r="W215">
        <v>52.32</v>
      </c>
      <c r="X215">
        <f t="shared" si="3"/>
        <v>3.5298535486293699E-2</v>
      </c>
      <c r="Y215">
        <v>11000</v>
      </c>
      <c r="Z215">
        <v>372080000</v>
      </c>
      <c r="AA215">
        <v>594000</v>
      </c>
      <c r="AB215">
        <v>145570000</v>
      </c>
      <c r="AC215">
        <v>7.5565020265164532E-5</v>
      </c>
      <c r="AD215">
        <v>72601.820000000007</v>
      </c>
      <c r="AE215">
        <v>0.21590000000000001</v>
      </c>
      <c r="AF215">
        <v>31184710000</v>
      </c>
      <c r="AG215">
        <v>4643530000</v>
      </c>
      <c r="AH215">
        <v>2160080000</v>
      </c>
      <c r="AI215">
        <v>205220000</v>
      </c>
      <c r="AJ215">
        <v>3779960000</v>
      </c>
      <c r="AK215">
        <v>4.0220176738948005E-8</v>
      </c>
      <c r="AL215">
        <v>0.12121196573577243</v>
      </c>
    </row>
    <row r="216" spans="21:38">
      <c r="U216">
        <v>2.3423592242106248E-2</v>
      </c>
      <c r="V216">
        <v>53</v>
      </c>
      <c r="W216">
        <v>52.74</v>
      </c>
      <c r="X216">
        <f t="shared" si="3"/>
        <v>4.9177227160960464E-3</v>
      </c>
      <c r="Y216">
        <v>4000</v>
      </c>
      <c r="Z216">
        <v>372080000</v>
      </c>
      <c r="AA216">
        <v>210960</v>
      </c>
      <c r="AB216">
        <v>145570000</v>
      </c>
      <c r="AC216">
        <v>2.7478189187332555E-5</v>
      </c>
      <c r="AD216">
        <v>72761.2</v>
      </c>
      <c r="AE216">
        <v>0.21590000000000001</v>
      </c>
      <c r="AF216">
        <v>31184710000</v>
      </c>
      <c r="AG216">
        <v>4643530000</v>
      </c>
      <c r="AH216">
        <v>2160080000</v>
      </c>
      <c r="AI216">
        <v>205220000</v>
      </c>
      <c r="AJ216">
        <v>3779960000</v>
      </c>
      <c r="AK216">
        <v>1.7969048960048498E-9</v>
      </c>
      <c r="AL216">
        <v>0.12121196573577243</v>
      </c>
    </row>
    <row r="217" spans="21:38">
      <c r="U217">
        <v>2.9342167534311486E-2</v>
      </c>
      <c r="V217">
        <v>54</v>
      </c>
      <c r="W217">
        <v>52.05</v>
      </c>
      <c r="X217">
        <f t="shared" si="3"/>
        <v>3.6775106082036831E-2</v>
      </c>
      <c r="Y217">
        <v>2500</v>
      </c>
      <c r="Z217">
        <v>372080000</v>
      </c>
      <c r="AA217">
        <v>131900</v>
      </c>
      <c r="AB217">
        <v>145570000</v>
      </c>
      <c r="AC217">
        <v>1.7173868242082847E-5</v>
      </c>
      <c r="AD217">
        <v>72764.240000000005</v>
      </c>
      <c r="AE217">
        <v>0.21590000000000001</v>
      </c>
      <c r="AF217">
        <v>31184710000</v>
      </c>
      <c r="AG217">
        <v>4643530000</v>
      </c>
      <c r="AH217">
        <v>2160080000</v>
      </c>
      <c r="AI217">
        <v>205220000</v>
      </c>
      <c r="AJ217">
        <v>3779960000</v>
      </c>
      <c r="AK217">
        <v>1.7683619831365705E-7</v>
      </c>
      <c r="AL217">
        <v>0.12121196573577243</v>
      </c>
    </row>
    <row r="218" spans="21:38">
      <c r="U218">
        <v>4.6321272439773083E-2</v>
      </c>
      <c r="V218">
        <v>54.85</v>
      </c>
      <c r="W218">
        <v>54.01</v>
      </c>
      <c r="X218">
        <f t="shared" si="3"/>
        <v>1.5432665809296406E-2</v>
      </c>
      <c r="Y218">
        <v>31000</v>
      </c>
      <c r="Z218">
        <v>372080000</v>
      </c>
      <c r="AA218">
        <v>1674620</v>
      </c>
      <c r="AB218">
        <v>145570000</v>
      </c>
      <c r="AC218">
        <v>2.1295596620182731E-4</v>
      </c>
      <c r="AD218">
        <v>71902.09</v>
      </c>
      <c r="AE218">
        <v>0.21590000000000001</v>
      </c>
      <c r="AF218">
        <v>31184710000</v>
      </c>
      <c r="AG218">
        <v>4643530000</v>
      </c>
      <c r="AH218">
        <v>2160080000</v>
      </c>
      <c r="AI218">
        <v>205220000</v>
      </c>
      <c r="AJ218">
        <v>3779960000</v>
      </c>
      <c r="AK218">
        <v>1.2182138839502535E-8</v>
      </c>
      <c r="AL218">
        <v>0.12121196573577243</v>
      </c>
    </row>
    <row r="219" spans="21:38">
      <c r="U219">
        <v>1.0252515663565581E-2</v>
      </c>
      <c r="V219">
        <v>53.9</v>
      </c>
      <c r="W219">
        <v>52.55</v>
      </c>
      <c r="X219">
        <f t="shared" si="3"/>
        <v>2.5364020666979833E-2</v>
      </c>
      <c r="Y219">
        <v>10500</v>
      </c>
      <c r="Z219">
        <v>372080000</v>
      </c>
      <c r="AA219">
        <v>555870</v>
      </c>
      <c r="AB219">
        <v>145570000</v>
      </c>
      <c r="AC219">
        <v>7.2130246616747954E-5</v>
      </c>
      <c r="AD219">
        <v>70657.64</v>
      </c>
      <c r="AE219">
        <v>0.21590000000000001</v>
      </c>
      <c r="AF219">
        <v>31184710000</v>
      </c>
      <c r="AG219">
        <v>4643530000</v>
      </c>
      <c r="AH219">
        <v>2160080000</v>
      </c>
      <c r="AI219">
        <v>205220000</v>
      </c>
      <c r="AJ219">
        <v>3779960000</v>
      </c>
      <c r="AK219">
        <v>1.5077180601493764E-8</v>
      </c>
      <c r="AL219">
        <v>0.12121196573577243</v>
      </c>
    </row>
    <row r="220" spans="21:38">
      <c r="U220">
        <v>9.4786729857819912E-3</v>
      </c>
      <c r="V220">
        <v>53.5</v>
      </c>
      <c r="W220">
        <v>52.53</v>
      </c>
      <c r="X220">
        <f t="shared" si="3"/>
        <v>1.8296708478732413E-2</v>
      </c>
      <c r="Y220">
        <v>12000</v>
      </c>
      <c r="Z220">
        <v>372080000</v>
      </c>
      <c r="AA220">
        <v>630000</v>
      </c>
      <c r="AB220">
        <v>145570000</v>
      </c>
      <c r="AC220">
        <v>8.2434567561997661E-5</v>
      </c>
      <c r="AD220">
        <v>71102.55</v>
      </c>
      <c r="AE220">
        <v>0.21590000000000001</v>
      </c>
      <c r="AF220">
        <v>31184710000</v>
      </c>
      <c r="AG220">
        <v>4643530000</v>
      </c>
      <c r="AH220">
        <v>2160080000</v>
      </c>
      <c r="AI220">
        <v>205220000</v>
      </c>
      <c r="AJ220">
        <v>3779960000</v>
      </c>
      <c r="AK220">
        <v>1.3489815189531987E-8</v>
      </c>
      <c r="AL220">
        <v>0.12121196573577243</v>
      </c>
    </row>
    <row r="221" spans="21:38">
      <c r="U221">
        <v>3.7543627959626492E-2</v>
      </c>
      <c r="V221">
        <v>53.85</v>
      </c>
      <c r="W221">
        <v>52.73</v>
      </c>
      <c r="X221">
        <f t="shared" si="3"/>
        <v>2.1017076374554411E-2</v>
      </c>
      <c r="Y221">
        <v>7000</v>
      </c>
      <c r="Z221">
        <v>372080000</v>
      </c>
      <c r="AA221">
        <v>370650</v>
      </c>
      <c r="AB221">
        <v>145570000</v>
      </c>
      <c r="AC221">
        <v>4.8086831077831974E-5</v>
      </c>
      <c r="AD221">
        <v>71695.03</v>
      </c>
      <c r="AE221">
        <v>0.21640000000000001</v>
      </c>
      <c r="AF221">
        <v>31184710000</v>
      </c>
      <c r="AG221">
        <v>4643530000</v>
      </c>
      <c r="AH221">
        <v>2160080000</v>
      </c>
      <c r="AI221">
        <v>205220000</v>
      </c>
      <c r="AJ221">
        <v>3779960000</v>
      </c>
      <c r="AK221">
        <v>2.0365827800764844E-9</v>
      </c>
      <c r="AL221">
        <v>0.12121196573577243</v>
      </c>
    </row>
    <row r="222" spans="21:38">
      <c r="U222">
        <v>1.9047619047619049E-2</v>
      </c>
      <c r="V222">
        <v>53.5</v>
      </c>
      <c r="W222">
        <v>53.05</v>
      </c>
      <c r="X222">
        <f t="shared" si="3"/>
        <v>8.4467386203660785E-3</v>
      </c>
      <c r="Y222">
        <v>25500</v>
      </c>
      <c r="Z222">
        <v>372080000</v>
      </c>
      <c r="AA222">
        <v>1351245</v>
      </c>
      <c r="AB222">
        <v>145570000</v>
      </c>
      <c r="AC222">
        <v>1.7517345606924504E-4</v>
      </c>
      <c r="AD222">
        <v>72742.75</v>
      </c>
      <c r="AE222">
        <v>0.21640000000000001</v>
      </c>
      <c r="AF222">
        <v>31184710000</v>
      </c>
      <c r="AG222">
        <v>4643530000</v>
      </c>
      <c r="AH222">
        <v>2160080000</v>
      </c>
      <c r="AI222">
        <v>205220000</v>
      </c>
      <c r="AJ222">
        <v>3779960000</v>
      </c>
      <c r="AK222">
        <v>1.4089570387651075E-8</v>
      </c>
      <c r="AL222">
        <v>0.12121196573577243</v>
      </c>
    </row>
    <row r="223" spans="21:38">
      <c r="U223">
        <v>9.5693779904306216E-3</v>
      </c>
      <c r="V223">
        <v>53</v>
      </c>
      <c r="W223">
        <v>52.01</v>
      </c>
      <c r="X223">
        <f t="shared" si="3"/>
        <v>1.8855347109799105E-2</v>
      </c>
      <c r="Y223">
        <v>64500</v>
      </c>
      <c r="Z223">
        <v>372080000</v>
      </c>
      <c r="AA223">
        <v>3354000</v>
      </c>
      <c r="AB223">
        <v>145570000</v>
      </c>
      <c r="AC223">
        <v>4.4308580064573744E-4</v>
      </c>
      <c r="AD223">
        <v>71971.399999999994</v>
      </c>
      <c r="AE223">
        <v>0.21640000000000001</v>
      </c>
      <c r="AF223">
        <v>31184710000</v>
      </c>
      <c r="AG223">
        <v>4643530000</v>
      </c>
      <c r="AH223">
        <v>2160080000</v>
      </c>
      <c r="AI223">
        <v>205220000</v>
      </c>
      <c r="AJ223">
        <v>3779960000</v>
      </c>
      <c r="AK223">
        <v>2.8946743780792097E-9</v>
      </c>
      <c r="AL223">
        <v>0.12121196573577243</v>
      </c>
    </row>
    <row r="224" spans="21:38">
      <c r="U224">
        <v>2.3575638506876283E-2</v>
      </c>
      <c r="V224">
        <v>52.44</v>
      </c>
      <c r="W224">
        <v>51.35</v>
      </c>
      <c r="X224">
        <f t="shared" si="3"/>
        <v>2.1003950284227697E-2</v>
      </c>
      <c r="Y224">
        <v>8000</v>
      </c>
      <c r="Z224">
        <v>372080000</v>
      </c>
      <c r="AA224">
        <v>412000</v>
      </c>
      <c r="AB224">
        <v>145570000</v>
      </c>
      <c r="AC224">
        <v>5.495637837466511E-5</v>
      </c>
      <c r="AD224">
        <v>72051.89</v>
      </c>
      <c r="AE224">
        <v>0.21640000000000001</v>
      </c>
      <c r="AF224">
        <v>31184710000</v>
      </c>
      <c r="AG224">
        <v>4643530000</v>
      </c>
      <c r="AH224">
        <v>2160080000</v>
      </c>
      <c r="AI224">
        <v>205220000</v>
      </c>
      <c r="AJ224">
        <v>3779960000</v>
      </c>
      <c r="AK224">
        <v>6.2359449535252862E-8</v>
      </c>
      <c r="AL224">
        <v>0.12121196573577243</v>
      </c>
    </row>
    <row r="225" spans="21:38">
      <c r="U225">
        <v>1.5611105621974096E-2</v>
      </c>
      <c r="V225">
        <v>51.2</v>
      </c>
      <c r="W225">
        <v>50.21</v>
      </c>
      <c r="X225">
        <f t="shared" si="3"/>
        <v>1.9524701705946199E-2</v>
      </c>
      <c r="Y225">
        <v>7500</v>
      </c>
      <c r="Z225">
        <v>372080000</v>
      </c>
      <c r="AA225">
        <v>376575</v>
      </c>
      <c r="AB225">
        <v>145570000</v>
      </c>
      <c r="AC225">
        <v>5.1521604726248538E-5</v>
      </c>
      <c r="AD225">
        <v>71359.41</v>
      </c>
      <c r="AE225">
        <v>0.21640000000000001</v>
      </c>
      <c r="AF225">
        <v>31184710000</v>
      </c>
      <c r="AG225">
        <v>4643530000</v>
      </c>
      <c r="AH225">
        <v>2160080000</v>
      </c>
      <c r="AI225">
        <v>205220000</v>
      </c>
      <c r="AJ225">
        <v>3779960000</v>
      </c>
      <c r="AK225">
        <v>9.1410945822417584E-8</v>
      </c>
      <c r="AL225">
        <v>0.12121196573577243</v>
      </c>
    </row>
    <row r="226" spans="21:38">
      <c r="U226">
        <v>0</v>
      </c>
      <c r="V226">
        <v>52</v>
      </c>
      <c r="W226">
        <v>50.11</v>
      </c>
      <c r="X226">
        <f t="shared" si="3"/>
        <v>3.701890118499658E-2</v>
      </c>
      <c r="Y226">
        <v>1000</v>
      </c>
      <c r="Z226">
        <v>372080000</v>
      </c>
      <c r="AA226">
        <v>52000</v>
      </c>
      <c r="AB226">
        <v>145570000</v>
      </c>
      <c r="AC226">
        <v>6.8695472968331387E-6</v>
      </c>
      <c r="AD226">
        <v>71433.460000000006</v>
      </c>
      <c r="AE226">
        <v>0.21640000000000001</v>
      </c>
      <c r="AF226">
        <v>31184710000</v>
      </c>
      <c r="AG226">
        <v>4643530000</v>
      </c>
      <c r="AH226">
        <v>2160080000</v>
      </c>
      <c r="AI226">
        <v>205220000</v>
      </c>
      <c r="AJ226">
        <v>3779960000</v>
      </c>
      <c r="AK226">
        <v>9.2902266815310285E-8</v>
      </c>
      <c r="AL226">
        <v>0.12121196573577243</v>
      </c>
    </row>
    <row r="227" spans="21:38">
      <c r="U227">
        <v>3.3398821218074713E-2</v>
      </c>
      <c r="V227">
        <v>51.75</v>
      </c>
      <c r="W227">
        <v>51.5</v>
      </c>
      <c r="X227">
        <f t="shared" si="3"/>
        <v>4.8426150121065378E-3</v>
      </c>
      <c r="Y227">
        <v>25500</v>
      </c>
      <c r="Z227">
        <v>372080000</v>
      </c>
      <c r="AA227">
        <v>1319625</v>
      </c>
      <c r="AB227">
        <v>145570000</v>
      </c>
      <c r="AC227">
        <v>1.7517345606924504E-4</v>
      </c>
      <c r="AD227">
        <v>70909.899999999994</v>
      </c>
      <c r="AE227">
        <v>0.21640000000000001</v>
      </c>
      <c r="AF227">
        <v>31184710000</v>
      </c>
      <c r="AG227">
        <v>4643530000</v>
      </c>
      <c r="AH227">
        <v>2160080000</v>
      </c>
      <c r="AI227">
        <v>205220000</v>
      </c>
      <c r="AJ227">
        <v>3779960000</v>
      </c>
      <c r="AK227">
        <v>1.1143985869425918E-8</v>
      </c>
      <c r="AL227">
        <v>0.12121196573577243</v>
      </c>
    </row>
    <row r="228" spans="21:38">
      <c r="U228">
        <v>1.8403086969427124E-2</v>
      </c>
      <c r="V228">
        <v>51.5</v>
      </c>
      <c r="W228">
        <v>50.1</v>
      </c>
      <c r="X228">
        <f t="shared" si="3"/>
        <v>2.7559055118110208E-2</v>
      </c>
      <c r="Y228">
        <v>3500</v>
      </c>
      <c r="Z228">
        <v>372080000</v>
      </c>
      <c r="AA228">
        <v>178500</v>
      </c>
      <c r="AB228">
        <v>145570000</v>
      </c>
      <c r="AC228">
        <v>2.4043415538915987E-5</v>
      </c>
      <c r="AD228">
        <v>70290.12</v>
      </c>
      <c r="AE228">
        <v>0.21640000000000001</v>
      </c>
      <c r="AF228">
        <v>31184710000</v>
      </c>
      <c r="AG228">
        <v>4643530000</v>
      </c>
      <c r="AH228">
        <v>2160080000</v>
      </c>
      <c r="AI228">
        <v>205220000</v>
      </c>
      <c r="AJ228">
        <v>3779960000</v>
      </c>
      <c r="AK228">
        <v>1.0633624079002263E-7</v>
      </c>
      <c r="AL228">
        <v>0.12121196573577243</v>
      </c>
    </row>
    <row r="229" spans="21:38">
      <c r="U229">
        <v>1.1992804317410009E-3</v>
      </c>
      <c r="V229">
        <v>51.34</v>
      </c>
      <c r="W229">
        <v>50.1</v>
      </c>
      <c r="X229">
        <f t="shared" si="3"/>
        <v>2.4447949526813919E-2</v>
      </c>
      <c r="Y229">
        <v>28500</v>
      </c>
      <c r="Z229">
        <v>372080000</v>
      </c>
      <c r="AA229">
        <v>1426425</v>
      </c>
      <c r="AB229">
        <v>145570000</v>
      </c>
      <c r="AC229">
        <v>1.9578209795974446E-4</v>
      </c>
      <c r="AD229">
        <v>70333.320000000007</v>
      </c>
      <c r="AE229">
        <v>0.21640000000000001</v>
      </c>
      <c r="AF229">
        <v>31184710000</v>
      </c>
      <c r="AG229">
        <v>4643530000</v>
      </c>
      <c r="AH229">
        <v>2160080000</v>
      </c>
      <c r="AI229">
        <v>205220000</v>
      </c>
      <c r="AJ229">
        <v>3779960000</v>
      </c>
      <c r="AK229">
        <v>7.0105333263224021E-10</v>
      </c>
      <c r="AL229">
        <v>0.12121196573577243</v>
      </c>
    </row>
    <row r="230" spans="21:38">
      <c r="U230">
        <v>9.6179050307490591E-2</v>
      </c>
      <c r="V230">
        <v>51</v>
      </c>
      <c r="W230">
        <v>50.07</v>
      </c>
      <c r="X230">
        <f t="shared" si="3"/>
        <v>1.8403086969427124E-2</v>
      </c>
      <c r="Y230">
        <v>0</v>
      </c>
      <c r="Z230">
        <v>372080000</v>
      </c>
      <c r="AA230">
        <v>0</v>
      </c>
      <c r="AB230">
        <v>145570000</v>
      </c>
      <c r="AC230">
        <v>0</v>
      </c>
      <c r="AD230">
        <v>70483.66</v>
      </c>
      <c r="AE230">
        <v>0.216</v>
      </c>
      <c r="AF230">
        <v>31184710000</v>
      </c>
      <c r="AG230">
        <v>4643530000</v>
      </c>
      <c r="AH230">
        <v>2160080000</v>
      </c>
      <c r="AI230">
        <v>205220000</v>
      </c>
      <c r="AJ230">
        <v>3779960000</v>
      </c>
      <c r="AK230">
        <v>0</v>
      </c>
      <c r="AL230">
        <v>0.12121196573577243</v>
      </c>
    </row>
    <row r="231" spans="21:38">
      <c r="U231">
        <v>0</v>
      </c>
      <c r="V231">
        <v>52.4</v>
      </c>
      <c r="W231">
        <v>49.5</v>
      </c>
      <c r="X231">
        <f t="shared" si="3"/>
        <v>5.6918547595682011E-2</v>
      </c>
      <c r="Y231">
        <v>500</v>
      </c>
      <c r="Z231">
        <v>372080000</v>
      </c>
      <c r="AA231">
        <v>25000</v>
      </c>
      <c r="AB231">
        <v>145570000</v>
      </c>
      <c r="AC231">
        <v>3.4347736484165694E-6</v>
      </c>
      <c r="AD231">
        <v>70544.58</v>
      </c>
      <c r="AE231">
        <v>0.216</v>
      </c>
      <c r="AF231">
        <v>31184710000</v>
      </c>
      <c r="AG231">
        <v>4643530000</v>
      </c>
      <c r="AH231">
        <v>2160080000</v>
      </c>
      <c r="AI231">
        <v>205220000</v>
      </c>
      <c r="AJ231">
        <v>3779960000</v>
      </c>
      <c r="AK231">
        <v>1.5936254980079906E-7</v>
      </c>
      <c r="AL231">
        <v>0.12121196573577243</v>
      </c>
    </row>
    <row r="232" spans="21:38">
      <c r="U232">
        <v>2.5565388397246747E-2</v>
      </c>
      <c r="V232">
        <v>51.5</v>
      </c>
      <c r="W232">
        <v>50.2</v>
      </c>
      <c r="X232">
        <f t="shared" si="3"/>
        <v>2.5565388397246747E-2</v>
      </c>
      <c r="Y232">
        <v>2500</v>
      </c>
      <c r="Z232">
        <v>372080000</v>
      </c>
      <c r="AA232">
        <v>125500</v>
      </c>
      <c r="AB232">
        <v>145570000</v>
      </c>
      <c r="AC232">
        <v>1.7173868242082847E-5</v>
      </c>
      <c r="AD232">
        <v>70314.720000000001</v>
      </c>
      <c r="AE232">
        <v>0.216</v>
      </c>
      <c r="AF232">
        <v>31184710000</v>
      </c>
      <c r="AG232">
        <v>4643530000</v>
      </c>
      <c r="AH232">
        <v>2160080000</v>
      </c>
      <c r="AI232">
        <v>205220000</v>
      </c>
      <c r="AJ232">
        <v>3779960000</v>
      </c>
      <c r="AK232">
        <v>2.2069382744057658E-7</v>
      </c>
      <c r="AL232">
        <v>0.12121196573577243</v>
      </c>
    </row>
    <row r="233" spans="21:38">
      <c r="U233">
        <v>3.88159184473632E-2</v>
      </c>
      <c r="V233">
        <v>53.75</v>
      </c>
      <c r="W233">
        <v>50.07</v>
      </c>
      <c r="X233">
        <f t="shared" si="3"/>
        <v>7.0891928337507223E-2</v>
      </c>
      <c r="Y233">
        <v>7000</v>
      </c>
      <c r="Z233">
        <v>372080000</v>
      </c>
      <c r="AA233">
        <v>361410</v>
      </c>
      <c r="AB233">
        <v>145570000</v>
      </c>
      <c r="AC233">
        <v>4.8086831077831974E-5</v>
      </c>
      <c r="AD233">
        <v>69619.990000000005</v>
      </c>
      <c r="AE233">
        <v>0.216</v>
      </c>
      <c r="AF233">
        <v>31184710000</v>
      </c>
      <c r="AG233">
        <v>4643530000</v>
      </c>
      <c r="AH233">
        <v>2160080000</v>
      </c>
      <c r="AI233">
        <v>205220000</v>
      </c>
      <c r="AJ233">
        <v>3779960000</v>
      </c>
      <c r="AK233">
        <v>8.4499383403028819E-8</v>
      </c>
      <c r="AL233">
        <v>0.12121196573577243</v>
      </c>
    </row>
    <row r="234" spans="21:38">
      <c r="U234">
        <v>6.1855670103092786E-2</v>
      </c>
      <c r="V234">
        <v>50.84</v>
      </c>
      <c r="W234">
        <v>50.05</v>
      </c>
      <c r="X234">
        <f t="shared" si="3"/>
        <v>1.5660620477748168E-2</v>
      </c>
      <c r="Y234">
        <v>0</v>
      </c>
      <c r="Z234">
        <v>372080000</v>
      </c>
      <c r="AA234">
        <v>0</v>
      </c>
      <c r="AB234">
        <v>145570000</v>
      </c>
      <c r="AC234">
        <v>0</v>
      </c>
      <c r="AD234">
        <v>68416.78</v>
      </c>
      <c r="AE234">
        <v>0.216</v>
      </c>
      <c r="AF234">
        <v>31184710000</v>
      </c>
      <c r="AG234">
        <v>4643530000</v>
      </c>
      <c r="AH234">
        <v>2160080000</v>
      </c>
      <c r="AI234">
        <v>205220000</v>
      </c>
      <c r="AJ234">
        <v>3779960000</v>
      </c>
      <c r="AK234">
        <v>0</v>
      </c>
      <c r="AL234">
        <v>0.12121196573577243</v>
      </c>
    </row>
    <row r="235" spans="21:38">
      <c r="U235">
        <v>1.7980221756069006E-3</v>
      </c>
      <c r="V235">
        <v>50.95</v>
      </c>
      <c r="W235">
        <v>50.07</v>
      </c>
      <c r="X235">
        <f t="shared" si="3"/>
        <v>1.7422292615323746E-2</v>
      </c>
      <c r="Y235">
        <v>23500</v>
      </c>
      <c r="Z235">
        <v>372080000</v>
      </c>
      <c r="AA235">
        <v>1177350</v>
      </c>
      <c r="AB235">
        <v>145570000</v>
      </c>
      <c r="AC235">
        <v>1.6143436147557876E-4</v>
      </c>
      <c r="AD235">
        <v>67756.039999999994</v>
      </c>
      <c r="AE235">
        <v>0.216</v>
      </c>
      <c r="AF235">
        <v>31184710000</v>
      </c>
      <c r="AG235">
        <v>4643530000</v>
      </c>
      <c r="AH235">
        <v>2160080000</v>
      </c>
      <c r="AI235">
        <v>205220000</v>
      </c>
      <c r="AJ235">
        <v>3779960000</v>
      </c>
      <c r="AK235">
        <v>1.5285514689647694E-9</v>
      </c>
      <c r="AL235">
        <v>0.12121196573577243</v>
      </c>
    </row>
    <row r="236" spans="21:38">
      <c r="U236">
        <v>1.488833746898263E-2</v>
      </c>
      <c r="V236">
        <v>50.75</v>
      </c>
      <c r="W236">
        <v>50.02</v>
      </c>
      <c r="X236">
        <f t="shared" si="3"/>
        <v>1.4488439019549406E-2</v>
      </c>
      <c r="Y236">
        <v>22000</v>
      </c>
      <c r="Z236">
        <v>372080000</v>
      </c>
      <c r="AA236">
        <v>1100220</v>
      </c>
      <c r="AB236">
        <v>145570000</v>
      </c>
      <c r="AC236">
        <v>1.5113004053032906E-4</v>
      </c>
      <c r="AD236">
        <v>66886.259999999995</v>
      </c>
      <c r="AE236">
        <v>0.216</v>
      </c>
      <c r="AF236">
        <v>31184710000</v>
      </c>
      <c r="AG236">
        <v>4643530000</v>
      </c>
      <c r="AH236">
        <v>2160080000</v>
      </c>
      <c r="AI236">
        <v>205220000</v>
      </c>
      <c r="AJ236">
        <v>3779960000</v>
      </c>
      <c r="AK236">
        <v>1.8178182545305505E-10</v>
      </c>
      <c r="AL236">
        <v>0.12121196573577243</v>
      </c>
    </row>
    <row r="237" spans="21:38">
      <c r="U237">
        <v>1.9801980198019802E-2</v>
      </c>
      <c r="V237">
        <v>51</v>
      </c>
      <c r="W237">
        <v>50</v>
      </c>
      <c r="X237">
        <f t="shared" si="3"/>
        <v>1.9801980198019802E-2</v>
      </c>
      <c r="Y237">
        <v>14500</v>
      </c>
      <c r="Z237">
        <v>372080000</v>
      </c>
      <c r="AA237">
        <v>725000</v>
      </c>
      <c r="AB237">
        <v>145570000</v>
      </c>
      <c r="AC237">
        <v>9.9608435804080512E-5</v>
      </c>
      <c r="AD237">
        <v>66796.320000000007</v>
      </c>
      <c r="AE237">
        <v>0.216</v>
      </c>
      <c r="AF237">
        <v>31184710000</v>
      </c>
      <c r="AG237">
        <v>4643530000</v>
      </c>
      <c r="AH237">
        <v>2160080000</v>
      </c>
      <c r="AI237">
        <v>205220000</v>
      </c>
      <c r="AJ237">
        <v>3779960000</v>
      </c>
      <c r="AK237">
        <v>2.7580690758394558E-10</v>
      </c>
      <c r="AL237">
        <v>0.12121196573577243</v>
      </c>
    </row>
    <row r="238" spans="21:38">
      <c r="U238">
        <v>0</v>
      </c>
      <c r="V238">
        <v>50.99</v>
      </c>
      <c r="W238">
        <v>50</v>
      </c>
      <c r="X238">
        <f t="shared" si="3"/>
        <v>1.9605901574413345E-2</v>
      </c>
      <c r="Y238">
        <v>4000</v>
      </c>
      <c r="Z238">
        <v>372080000</v>
      </c>
      <c r="AA238">
        <v>200040</v>
      </c>
      <c r="AB238">
        <v>145570000</v>
      </c>
      <c r="AC238">
        <v>2.7478189187332555E-5</v>
      </c>
      <c r="AD238">
        <v>67005.11</v>
      </c>
      <c r="AE238">
        <v>0.216</v>
      </c>
      <c r="AF238">
        <v>31184710000</v>
      </c>
      <c r="AG238">
        <v>4643530000</v>
      </c>
      <c r="AH238">
        <v>2160080000</v>
      </c>
      <c r="AI238">
        <v>205220000</v>
      </c>
      <c r="AJ238">
        <v>3779960000</v>
      </c>
      <c r="AK238">
        <v>0</v>
      </c>
      <c r="AL238">
        <v>0.12121196573577243</v>
      </c>
    </row>
    <row r="239" spans="21:38">
      <c r="U239">
        <v>1.9998000199976024E-4</v>
      </c>
      <c r="V239">
        <v>50.99</v>
      </c>
      <c r="W239">
        <v>50.01</v>
      </c>
      <c r="X239">
        <f t="shared" si="3"/>
        <v>1.9405940594059486E-2</v>
      </c>
      <c r="Y239">
        <v>65000</v>
      </c>
      <c r="Z239">
        <v>372080000</v>
      </c>
      <c r="AA239">
        <v>3250650</v>
      </c>
      <c r="AB239">
        <v>145570000</v>
      </c>
      <c r="AC239">
        <v>4.4652057429415401E-4</v>
      </c>
      <c r="AD239">
        <v>67142.12</v>
      </c>
      <c r="AE239">
        <v>0.216</v>
      </c>
      <c r="AF239">
        <v>31184710000</v>
      </c>
      <c r="AG239">
        <v>4643530000</v>
      </c>
      <c r="AH239">
        <v>2160080000</v>
      </c>
      <c r="AI239">
        <v>205220000</v>
      </c>
      <c r="AJ239">
        <v>3779960000</v>
      </c>
      <c r="AK239">
        <v>5.9124958992995041E-9</v>
      </c>
      <c r="AL239">
        <v>0.12121196573577243</v>
      </c>
    </row>
    <row r="240" spans="21:38">
      <c r="U240">
        <v>7.4813984303333025E-2</v>
      </c>
      <c r="V240">
        <v>50.85</v>
      </c>
      <c r="W240">
        <v>48</v>
      </c>
      <c r="X240">
        <f t="shared" si="3"/>
        <v>5.766312594840671E-2</v>
      </c>
      <c r="Y240">
        <v>0</v>
      </c>
      <c r="Z240">
        <v>372080000</v>
      </c>
      <c r="AA240">
        <v>0</v>
      </c>
      <c r="AB240">
        <v>145570000</v>
      </c>
      <c r="AC240">
        <v>0</v>
      </c>
      <c r="AD240">
        <v>66547.789999999994</v>
      </c>
      <c r="AE240">
        <v>0.216</v>
      </c>
      <c r="AF240">
        <v>31184710000</v>
      </c>
      <c r="AG240">
        <v>4643530000</v>
      </c>
      <c r="AH240">
        <v>2160080000</v>
      </c>
      <c r="AI240">
        <v>205220000</v>
      </c>
      <c r="AJ240">
        <v>3779960000</v>
      </c>
      <c r="AK240">
        <v>0</v>
      </c>
      <c r="AL240">
        <v>0.12121196573577243</v>
      </c>
    </row>
    <row r="241" spans="21:38">
      <c r="U241">
        <v>0</v>
      </c>
      <c r="V241">
        <v>50.98</v>
      </c>
      <c r="W241">
        <v>48.17</v>
      </c>
      <c r="X241">
        <f t="shared" si="3"/>
        <v>5.6681795259707415E-2</v>
      </c>
      <c r="Y241">
        <v>1500</v>
      </c>
      <c r="Z241">
        <v>372080000</v>
      </c>
      <c r="AA241">
        <v>76485</v>
      </c>
      <c r="AB241">
        <v>145570000</v>
      </c>
      <c r="AC241">
        <v>1.0304320945249708E-5</v>
      </c>
      <c r="AD241">
        <v>65906.28</v>
      </c>
      <c r="AE241">
        <v>0.216</v>
      </c>
      <c r="AF241">
        <v>31184710000</v>
      </c>
      <c r="AG241">
        <v>4643530000</v>
      </c>
      <c r="AH241">
        <v>2160080000</v>
      </c>
      <c r="AI241">
        <v>205220000</v>
      </c>
      <c r="AJ241">
        <v>3779960000</v>
      </c>
      <c r="AK241">
        <v>0</v>
      </c>
      <c r="AL241">
        <v>0.12121196573577243</v>
      </c>
    </row>
    <row r="242" spans="21:38">
      <c r="U242">
        <v>0</v>
      </c>
      <c r="V242">
        <v>50.98</v>
      </c>
      <c r="W242">
        <v>48.02</v>
      </c>
      <c r="X242">
        <f t="shared" si="3"/>
        <v>5.979797979797967E-2</v>
      </c>
      <c r="Y242">
        <v>0</v>
      </c>
      <c r="Z242">
        <v>372080000</v>
      </c>
      <c r="AA242">
        <v>0</v>
      </c>
      <c r="AB242">
        <v>145570000</v>
      </c>
      <c r="AC242">
        <v>0</v>
      </c>
      <c r="AD242">
        <v>65525.65</v>
      </c>
      <c r="AE242">
        <v>0.216</v>
      </c>
      <c r="AF242">
        <v>31184710000</v>
      </c>
      <c r="AG242">
        <v>4643530000</v>
      </c>
      <c r="AH242">
        <v>2160080000</v>
      </c>
      <c r="AI242">
        <v>205220000</v>
      </c>
      <c r="AJ242">
        <v>3779960000</v>
      </c>
      <c r="AK242">
        <v>0</v>
      </c>
      <c r="AL242">
        <v>0.12121196573577243</v>
      </c>
    </row>
    <row r="243" spans="21:38">
      <c r="U243">
        <v>4.2099923915800065E-2</v>
      </c>
      <c r="V243">
        <v>39.299999999999997</v>
      </c>
      <c r="W243">
        <v>39.25</v>
      </c>
      <c r="X243">
        <f t="shared" si="3"/>
        <v>1.2730744748567068E-3</v>
      </c>
      <c r="Y243">
        <v>3795294</v>
      </c>
      <c r="Z243">
        <v>1517696526</v>
      </c>
      <c r="AA243">
        <v>149193007.14000002</v>
      </c>
      <c r="AB243">
        <v>379424131</v>
      </c>
      <c r="AC243">
        <v>1.0002774441354653E-2</v>
      </c>
      <c r="AD243">
        <v>75983.039999999994</v>
      </c>
      <c r="AE243">
        <v>0.2157</v>
      </c>
      <c r="AF243">
        <v>1474794637</v>
      </c>
      <c r="AG243">
        <v>1383775716</v>
      </c>
      <c r="AH243">
        <v>13696846</v>
      </c>
      <c r="AI243">
        <v>98140892</v>
      </c>
      <c r="AJ243">
        <v>258003519</v>
      </c>
      <c r="AK243">
        <v>6.3687955753010989E-11</v>
      </c>
      <c r="AL243">
        <v>0.17494199702599</v>
      </c>
    </row>
    <row r="244" spans="21:38">
      <c r="U244">
        <v>2.096002070125489E-2</v>
      </c>
      <c r="V244">
        <v>39.049999999999997</v>
      </c>
      <c r="W244">
        <v>38.81</v>
      </c>
      <c r="X244">
        <f t="shared" si="3"/>
        <v>6.1649113793987896E-3</v>
      </c>
      <c r="Y244">
        <v>494319</v>
      </c>
      <c r="Z244">
        <v>1517696526</v>
      </c>
      <c r="AA244">
        <v>19248781.859999999</v>
      </c>
      <c r="AB244">
        <v>379424131</v>
      </c>
      <c r="AC244">
        <v>1.3028138160247904E-3</v>
      </c>
      <c r="AD244">
        <v>75114.47</v>
      </c>
      <c r="AE244">
        <v>0.2157</v>
      </c>
      <c r="AF244">
        <v>1474794637</v>
      </c>
      <c r="AG244">
        <v>1383775716</v>
      </c>
      <c r="AH244">
        <v>13696846</v>
      </c>
      <c r="AI244">
        <v>98140892</v>
      </c>
      <c r="AJ244">
        <v>258003519</v>
      </c>
      <c r="AK244">
        <v>4.8477144101534298E-10</v>
      </c>
      <c r="AL244">
        <v>0.17494199702599</v>
      </c>
    </row>
    <row r="245" spans="21:38">
      <c r="U245">
        <v>1.9547325102880611E-2</v>
      </c>
      <c r="V245">
        <v>38.5</v>
      </c>
      <c r="W245">
        <v>38.49</v>
      </c>
      <c r="X245">
        <f t="shared" si="3"/>
        <v>2.597739966228863E-4</v>
      </c>
      <c r="Y245">
        <v>1229080</v>
      </c>
      <c r="Z245">
        <v>1517696526</v>
      </c>
      <c r="AA245">
        <v>47417906.399999999</v>
      </c>
      <c r="AB245">
        <v>379424131</v>
      </c>
      <c r="AC245">
        <v>3.2393300783497081E-3</v>
      </c>
      <c r="AD245">
        <v>74956.67</v>
      </c>
      <c r="AE245">
        <v>0.2157</v>
      </c>
      <c r="AF245">
        <v>1474794637</v>
      </c>
      <c r="AG245">
        <v>1383775716</v>
      </c>
      <c r="AH245">
        <v>13696846</v>
      </c>
      <c r="AI245">
        <v>98140892</v>
      </c>
      <c r="AJ245">
        <v>258003519</v>
      </c>
      <c r="AK245">
        <v>2.3246101525281472E-10</v>
      </c>
      <c r="AL245">
        <v>0.17494199702599</v>
      </c>
    </row>
    <row r="246" spans="21:38">
      <c r="U246">
        <v>2.3106546854942196E-2</v>
      </c>
      <c r="V246">
        <v>39.06</v>
      </c>
      <c r="W246">
        <v>39.020000000000003</v>
      </c>
      <c r="X246">
        <f t="shared" si="3"/>
        <v>1.0245901639344042E-3</v>
      </c>
      <c r="Y246">
        <v>2406624</v>
      </c>
      <c r="Z246">
        <v>1517696526</v>
      </c>
      <c r="AA246">
        <v>93882402.239999995</v>
      </c>
      <c r="AB246">
        <v>379424131</v>
      </c>
      <c r="AC246">
        <v>6.3428332659210863E-3</v>
      </c>
      <c r="AD246">
        <v>75206.77</v>
      </c>
      <c r="AE246">
        <v>0.2157</v>
      </c>
      <c r="AF246">
        <v>1474794637</v>
      </c>
      <c r="AG246">
        <v>1383775716</v>
      </c>
      <c r="AH246">
        <v>13696846</v>
      </c>
      <c r="AI246">
        <v>98140892</v>
      </c>
      <c r="AJ246">
        <v>258003519</v>
      </c>
      <c r="AK246">
        <v>7.7006314852204266E-11</v>
      </c>
      <c r="AL246">
        <v>0.17494199702599</v>
      </c>
    </row>
    <row r="247" spans="21:38">
      <c r="U247">
        <v>3.1908104658583285E-2</v>
      </c>
      <c r="V247">
        <v>38.94</v>
      </c>
      <c r="W247">
        <v>38.909999999999997</v>
      </c>
      <c r="X247">
        <f t="shared" si="3"/>
        <v>7.7071290944126243E-4</v>
      </c>
      <c r="Y247">
        <v>1464418</v>
      </c>
      <c r="Z247">
        <v>1517696526</v>
      </c>
      <c r="AA247">
        <v>56716909.139999993</v>
      </c>
      <c r="AB247">
        <v>379424131</v>
      </c>
      <c r="AC247">
        <v>3.8595805599934284E-3</v>
      </c>
      <c r="AD247">
        <v>75084</v>
      </c>
      <c r="AE247">
        <v>0.2157</v>
      </c>
      <c r="AF247">
        <v>1474794637</v>
      </c>
      <c r="AG247">
        <v>1383775716</v>
      </c>
      <c r="AH247">
        <v>13696846</v>
      </c>
      <c r="AI247">
        <v>98140892</v>
      </c>
      <c r="AJ247">
        <v>258003519</v>
      </c>
      <c r="AK247">
        <v>1.8023435971270029E-10</v>
      </c>
      <c r="AL247">
        <v>0.17494199702599</v>
      </c>
    </row>
    <row r="248" spans="21:38">
      <c r="U248">
        <v>2.4071962498416206E-2</v>
      </c>
      <c r="V248">
        <v>39.24</v>
      </c>
      <c r="W248">
        <v>39.22</v>
      </c>
      <c r="X248">
        <f t="shared" si="3"/>
        <v>5.0981391792003883E-4</v>
      </c>
      <c r="Y248">
        <v>983251</v>
      </c>
      <c r="Z248">
        <v>1517696526</v>
      </c>
      <c r="AA248">
        <v>38474611.630000003</v>
      </c>
      <c r="AB248">
        <v>379424131</v>
      </c>
      <c r="AC248">
        <v>2.5914298002306028E-3</v>
      </c>
      <c r="AD248">
        <v>75342.350000000006</v>
      </c>
      <c r="AE248">
        <v>0.2157</v>
      </c>
      <c r="AF248">
        <v>1474794637</v>
      </c>
      <c r="AG248">
        <v>1383775716</v>
      </c>
      <c r="AH248">
        <v>13696846</v>
      </c>
      <c r="AI248">
        <v>98140892</v>
      </c>
      <c r="AJ248">
        <v>258003519</v>
      </c>
      <c r="AK248">
        <v>2.3041813422848606E-10</v>
      </c>
      <c r="AL248">
        <v>0.17494199702599</v>
      </c>
    </row>
    <row r="249" spans="21:38">
      <c r="U249">
        <v>2.2706977930858543E-2</v>
      </c>
      <c r="V249">
        <v>39.44</v>
      </c>
      <c r="W249">
        <v>39.4</v>
      </c>
      <c r="X249">
        <f t="shared" si="3"/>
        <v>1.014713343480445E-3</v>
      </c>
      <c r="Y249">
        <v>1616253</v>
      </c>
      <c r="Z249">
        <v>1517696526</v>
      </c>
      <c r="AA249">
        <v>63809668.439999998</v>
      </c>
      <c r="AB249">
        <v>379424131</v>
      </c>
      <c r="AC249">
        <v>4.2597527883644279E-3</v>
      </c>
      <c r="AD249">
        <v>74930.7</v>
      </c>
      <c r="AE249">
        <v>0.2157</v>
      </c>
      <c r="AF249">
        <v>1474794637</v>
      </c>
      <c r="AG249">
        <v>1383775716</v>
      </c>
      <c r="AH249">
        <v>13696846</v>
      </c>
      <c r="AI249">
        <v>98140892</v>
      </c>
      <c r="AJ249">
        <v>258003519</v>
      </c>
      <c r="AK249">
        <v>1.2806215542250298E-10</v>
      </c>
      <c r="AL249">
        <v>0.17494199702599</v>
      </c>
    </row>
    <row r="250" spans="21:38">
      <c r="U250">
        <v>4.0970214905115064E-2</v>
      </c>
      <c r="V250">
        <v>39.24</v>
      </c>
      <c r="W250">
        <v>39.1</v>
      </c>
      <c r="X250">
        <f t="shared" si="3"/>
        <v>3.5741639009446149E-3</v>
      </c>
      <c r="Y250">
        <v>3349299</v>
      </c>
      <c r="Z250">
        <v>1517696526</v>
      </c>
      <c r="AA250">
        <v>131158548.83999999</v>
      </c>
      <c r="AB250">
        <v>379424131</v>
      </c>
      <c r="AC250">
        <v>8.8273220555916618E-3</v>
      </c>
      <c r="AD250">
        <v>74663.98</v>
      </c>
      <c r="AE250">
        <v>0.2157</v>
      </c>
      <c r="AF250">
        <v>1474794637</v>
      </c>
      <c r="AG250">
        <v>1383775716</v>
      </c>
      <c r="AH250">
        <v>13696846</v>
      </c>
      <c r="AI250">
        <v>98140892</v>
      </c>
      <c r="AJ250">
        <v>258003519</v>
      </c>
      <c r="AK250">
        <v>5.8364583184974243E-12</v>
      </c>
      <c r="AL250">
        <v>0.17494199702599</v>
      </c>
    </row>
    <row r="251" spans="21:38">
      <c r="U251">
        <v>3.2621064609938022E-2</v>
      </c>
      <c r="V251">
        <v>39.1</v>
      </c>
      <c r="W251">
        <v>39.04</v>
      </c>
      <c r="X251">
        <f t="shared" si="3"/>
        <v>1.5357051446122927E-3</v>
      </c>
      <c r="Y251">
        <v>2387840</v>
      </c>
      <c r="Z251">
        <v>1517696526</v>
      </c>
      <c r="AA251">
        <v>93579449.599999994</v>
      </c>
      <c r="AB251">
        <v>379424131</v>
      </c>
      <c r="AC251">
        <v>6.2933266624520517E-3</v>
      </c>
      <c r="AD251">
        <v>74531.19</v>
      </c>
      <c r="AE251">
        <v>0.21590000000000001</v>
      </c>
      <c r="AF251">
        <v>1474794637</v>
      </c>
      <c r="AG251">
        <v>1383775716</v>
      </c>
      <c r="AH251">
        <v>13696846</v>
      </c>
      <c r="AI251">
        <v>98140892</v>
      </c>
      <c r="AJ251">
        <v>258003519</v>
      </c>
      <c r="AK251">
        <v>1.2412875826153324E-10</v>
      </c>
      <c r="AL251">
        <v>0.17494199702599</v>
      </c>
    </row>
    <row r="252" spans="21:38">
      <c r="U252">
        <v>7.2607260726072612E-2</v>
      </c>
      <c r="V252">
        <v>39.1</v>
      </c>
      <c r="W252">
        <v>39</v>
      </c>
      <c r="X252">
        <f t="shared" si="3"/>
        <v>2.5608194622279497E-3</v>
      </c>
      <c r="Y252">
        <v>4575841</v>
      </c>
      <c r="Z252">
        <v>1517696526</v>
      </c>
      <c r="AA252">
        <v>177268080.34</v>
      </c>
      <c r="AB252">
        <v>379424131</v>
      </c>
      <c r="AC252">
        <v>1.2059963049635343E-2</v>
      </c>
      <c r="AD252">
        <v>73799.11</v>
      </c>
      <c r="AE252">
        <v>0.21590000000000001</v>
      </c>
      <c r="AF252">
        <v>1474794637</v>
      </c>
      <c r="AG252">
        <v>1383775716</v>
      </c>
      <c r="AH252">
        <v>13696846</v>
      </c>
      <c r="AI252">
        <v>98140892</v>
      </c>
      <c r="AJ252">
        <v>258003519</v>
      </c>
      <c r="AK252">
        <v>3.0708620118342714E-10</v>
      </c>
      <c r="AL252">
        <v>0.17494199702599</v>
      </c>
    </row>
    <row r="253" spans="21:38">
      <c r="U253">
        <v>2.1296670710338299E-2</v>
      </c>
      <c r="V253">
        <v>36.85</v>
      </c>
      <c r="W253">
        <v>36.75</v>
      </c>
      <c r="X253">
        <f t="shared" si="3"/>
        <v>2.717391304347865E-3</v>
      </c>
      <c r="Y253">
        <v>1510223</v>
      </c>
      <c r="Z253">
        <v>1517696526</v>
      </c>
      <c r="AA253">
        <v>55485593.020000003</v>
      </c>
      <c r="AB253">
        <v>379424131</v>
      </c>
      <c r="AC253">
        <v>3.9803029818364401E-3</v>
      </c>
      <c r="AD253">
        <v>73085.5</v>
      </c>
      <c r="AE253">
        <v>0.21590000000000001</v>
      </c>
      <c r="AF253">
        <v>1474794637</v>
      </c>
      <c r="AG253">
        <v>1383775716</v>
      </c>
      <c r="AH253">
        <v>13696846</v>
      </c>
      <c r="AI253">
        <v>98140892</v>
      </c>
      <c r="AJ253">
        <v>258003519</v>
      </c>
      <c r="AK253">
        <v>1.0727795502222283E-10</v>
      </c>
      <c r="AL253">
        <v>0.17494199702599</v>
      </c>
    </row>
    <row r="254" spans="21:38">
      <c r="U254">
        <v>2.5599128540304949E-2</v>
      </c>
      <c r="V254">
        <v>36.92</v>
      </c>
      <c r="W254">
        <v>36.76</v>
      </c>
      <c r="X254">
        <f t="shared" si="3"/>
        <v>4.3431053203041173E-3</v>
      </c>
      <c r="Y254">
        <v>1891336</v>
      </c>
      <c r="Z254">
        <v>1517696526</v>
      </c>
      <c r="AA254">
        <v>69903778.560000002</v>
      </c>
      <c r="AB254">
        <v>379424131</v>
      </c>
      <c r="AC254">
        <v>4.9847541193946887E-3</v>
      </c>
      <c r="AD254">
        <v>72658.05</v>
      </c>
      <c r="AE254">
        <v>0.21590000000000001</v>
      </c>
      <c r="AF254">
        <v>1474794637</v>
      </c>
      <c r="AG254">
        <v>1383775716</v>
      </c>
      <c r="AH254">
        <v>13696846</v>
      </c>
      <c r="AI254">
        <v>98140892</v>
      </c>
      <c r="AJ254">
        <v>258003519</v>
      </c>
      <c r="AK254">
        <v>1.013460046193257E-10</v>
      </c>
      <c r="AL254">
        <v>0.17494199702599</v>
      </c>
    </row>
    <row r="255" spans="21:38">
      <c r="U255">
        <v>1.415351115949927E-2</v>
      </c>
      <c r="V255">
        <v>36.75</v>
      </c>
      <c r="W255">
        <v>36.65</v>
      </c>
      <c r="X255">
        <f t="shared" si="3"/>
        <v>2.724795640327014E-3</v>
      </c>
      <c r="Y255">
        <v>2149104</v>
      </c>
      <c r="Z255">
        <v>1517696526</v>
      </c>
      <c r="AA255">
        <v>78872116.800000012</v>
      </c>
      <c r="AB255">
        <v>379424131</v>
      </c>
      <c r="AC255">
        <v>5.6641205037114518E-3</v>
      </c>
      <c r="AD255">
        <v>72601.820000000007</v>
      </c>
      <c r="AE255">
        <v>0.21590000000000001</v>
      </c>
      <c r="AF255">
        <v>1474794637</v>
      </c>
      <c r="AG255">
        <v>1383775716</v>
      </c>
      <c r="AH255">
        <v>13696846</v>
      </c>
      <c r="AI255">
        <v>98140892</v>
      </c>
      <c r="AJ255">
        <v>258003519</v>
      </c>
      <c r="AK255">
        <v>3.7888147459247078E-11</v>
      </c>
      <c r="AL255">
        <v>0.17494199702599</v>
      </c>
    </row>
    <row r="256" spans="21:38">
      <c r="U256">
        <v>2.2926500337154453E-2</v>
      </c>
      <c r="V256">
        <v>36.880000000000003</v>
      </c>
      <c r="W256">
        <v>36.700000000000003</v>
      </c>
      <c r="X256">
        <f t="shared" si="3"/>
        <v>4.8926338678988773E-3</v>
      </c>
      <c r="Y256">
        <v>1618264</v>
      </c>
      <c r="Z256">
        <v>1517696526</v>
      </c>
      <c r="AA256">
        <v>59568297.840000004</v>
      </c>
      <c r="AB256">
        <v>379424131</v>
      </c>
      <c r="AC256">
        <v>4.2650529256928046E-3</v>
      </c>
      <c r="AD256">
        <v>72761.2</v>
      </c>
      <c r="AE256">
        <v>0.21590000000000001</v>
      </c>
      <c r="AF256">
        <v>1474794637</v>
      </c>
      <c r="AG256">
        <v>1383775716</v>
      </c>
      <c r="AH256">
        <v>13696846</v>
      </c>
      <c r="AI256">
        <v>98140892</v>
      </c>
      <c r="AJ256">
        <v>258003519</v>
      </c>
      <c r="AK256">
        <v>5.3426665240222796E-10</v>
      </c>
      <c r="AL256">
        <v>0.17494199702599</v>
      </c>
    </row>
    <row r="257" spans="21:38">
      <c r="U257">
        <v>2.5796262174256304E-2</v>
      </c>
      <c r="V257">
        <v>38.1</v>
      </c>
      <c r="W257">
        <v>38.06</v>
      </c>
      <c r="X257">
        <f t="shared" si="3"/>
        <v>1.0504201680672045E-3</v>
      </c>
      <c r="Y257">
        <v>3376623</v>
      </c>
      <c r="Z257">
        <v>1517696526</v>
      </c>
      <c r="AA257">
        <v>128379206.46000001</v>
      </c>
      <c r="AB257">
        <v>379424131</v>
      </c>
      <c r="AC257">
        <v>8.8993364525884622E-3</v>
      </c>
      <c r="AD257">
        <v>72764.240000000005</v>
      </c>
      <c r="AE257">
        <v>0.21590000000000001</v>
      </c>
      <c r="AF257">
        <v>1474794637</v>
      </c>
      <c r="AG257">
        <v>1383775716</v>
      </c>
      <c r="AH257">
        <v>13696846</v>
      </c>
      <c r="AI257">
        <v>98140892</v>
      </c>
      <c r="AJ257">
        <v>258003519</v>
      </c>
      <c r="AK257">
        <v>2.2471454980147782E-11</v>
      </c>
      <c r="AL257">
        <v>0.17494199702599</v>
      </c>
    </row>
    <row r="258" spans="21:38">
      <c r="U258">
        <v>3.2362459546925564E-2</v>
      </c>
      <c r="V258">
        <v>38.14</v>
      </c>
      <c r="W258">
        <v>38</v>
      </c>
      <c r="X258">
        <f t="shared" si="3"/>
        <v>3.6774363015497917E-3</v>
      </c>
      <c r="Y258">
        <v>4591548</v>
      </c>
      <c r="Z258">
        <v>1517696526</v>
      </c>
      <c r="AA258">
        <v>175075725.24000001</v>
      </c>
      <c r="AB258">
        <v>379424131</v>
      </c>
      <c r="AC258">
        <v>1.2101359994944549E-2</v>
      </c>
      <c r="AD258">
        <v>71902.09</v>
      </c>
      <c r="AE258">
        <v>0.21590000000000001</v>
      </c>
      <c r="AF258">
        <v>1474794637</v>
      </c>
      <c r="AG258">
        <v>1383775716</v>
      </c>
      <c r="AH258">
        <v>13696846</v>
      </c>
      <c r="AI258">
        <v>98140892</v>
      </c>
      <c r="AJ258">
        <v>258003519</v>
      </c>
      <c r="AK258">
        <v>5.985657975251695E-12</v>
      </c>
      <c r="AL258">
        <v>0.17494199702599</v>
      </c>
    </row>
    <row r="259" spans="21:38">
      <c r="U259">
        <v>8.0924855491329453E-2</v>
      </c>
      <c r="V259">
        <v>38.19</v>
      </c>
      <c r="W259">
        <v>38.15</v>
      </c>
      <c r="X259">
        <f t="shared" si="3"/>
        <v>1.0479434110557805E-3</v>
      </c>
      <c r="Y259">
        <v>14058308</v>
      </c>
      <c r="Z259">
        <v>1517696526</v>
      </c>
      <c r="AA259">
        <v>536605616.36000001</v>
      </c>
      <c r="AB259">
        <v>379424131</v>
      </c>
      <c r="AC259">
        <v>3.7051697167885193E-2</v>
      </c>
      <c r="AD259">
        <v>70657.64</v>
      </c>
      <c r="AE259">
        <v>0.21590000000000001</v>
      </c>
      <c r="AF259">
        <v>1474794637</v>
      </c>
      <c r="AG259">
        <v>1383775716</v>
      </c>
      <c r="AH259">
        <v>13696846</v>
      </c>
      <c r="AI259">
        <v>98140892</v>
      </c>
      <c r="AJ259">
        <v>258003519</v>
      </c>
      <c r="AK259">
        <v>6.3203707537472002E-11</v>
      </c>
      <c r="AL259">
        <v>0.17494199702599</v>
      </c>
    </row>
    <row r="260" spans="21:38">
      <c r="U260">
        <v>2.9021766324743473E-2</v>
      </c>
      <c r="V260">
        <v>39.5</v>
      </c>
      <c r="W260">
        <v>39.409999999999997</v>
      </c>
      <c r="X260">
        <f t="shared" ref="X260:X323" si="4">(V260-W260)/AVERAGE(V260:W260)</f>
        <v>2.2810797110633233E-3</v>
      </c>
      <c r="Y260">
        <v>6933513</v>
      </c>
      <c r="Z260">
        <v>1517696526</v>
      </c>
      <c r="AA260">
        <v>273943098.63</v>
      </c>
      <c r="AB260">
        <v>379424131</v>
      </c>
      <c r="AC260">
        <v>1.8273779745442705E-2</v>
      </c>
      <c r="AD260">
        <v>71102.55</v>
      </c>
      <c r="AE260">
        <v>0.21590000000000001</v>
      </c>
      <c r="AF260">
        <v>1474794637</v>
      </c>
      <c r="AG260">
        <v>1383775716</v>
      </c>
      <c r="AH260">
        <v>13696846</v>
      </c>
      <c r="AI260">
        <v>98140892</v>
      </c>
      <c r="AJ260">
        <v>258003519</v>
      </c>
      <c r="AK260">
        <v>8.334230846657035E-12</v>
      </c>
      <c r="AL260">
        <v>0.17494199702599</v>
      </c>
    </row>
    <row r="261" spans="21:38">
      <c r="U261">
        <v>3.5140942990772354E-2</v>
      </c>
      <c r="V261">
        <v>39.75</v>
      </c>
      <c r="W261">
        <v>39.700000000000003</v>
      </c>
      <c r="X261">
        <f t="shared" si="4"/>
        <v>1.258653241032024E-3</v>
      </c>
      <c r="Y261">
        <v>5802341</v>
      </c>
      <c r="Z261">
        <v>1517696526</v>
      </c>
      <c r="AA261">
        <v>228728282.22</v>
      </c>
      <c r="AB261">
        <v>379424131</v>
      </c>
      <c r="AC261">
        <v>1.5292493349612494E-2</v>
      </c>
      <c r="AD261">
        <v>71695.03</v>
      </c>
      <c r="AE261">
        <v>0.21640000000000001</v>
      </c>
      <c r="AF261">
        <v>1474794637</v>
      </c>
      <c r="AG261">
        <v>1383775716</v>
      </c>
      <c r="AH261">
        <v>13696846</v>
      </c>
      <c r="AI261">
        <v>98140892</v>
      </c>
      <c r="AJ261">
        <v>258003519</v>
      </c>
      <c r="AK261">
        <v>5.2595486099086082E-11</v>
      </c>
      <c r="AL261">
        <v>0.17494199702599</v>
      </c>
    </row>
    <row r="262" spans="21:38">
      <c r="U262">
        <v>4.0712468193384262E-2</v>
      </c>
      <c r="V262">
        <v>39.950000000000003</v>
      </c>
      <c r="W262">
        <v>39.9</v>
      </c>
      <c r="X262">
        <f t="shared" si="4"/>
        <v>1.2523481527865815E-3</v>
      </c>
      <c r="Y262">
        <v>7721627</v>
      </c>
      <c r="Z262">
        <v>1517696526</v>
      </c>
      <c r="AA262">
        <v>308092917.30000001</v>
      </c>
      <c r="AB262">
        <v>379424131</v>
      </c>
      <c r="AC262">
        <v>2.0350911734709883E-2</v>
      </c>
      <c r="AD262">
        <v>72742.75</v>
      </c>
      <c r="AE262">
        <v>0.21640000000000001</v>
      </c>
      <c r="AF262">
        <v>1474794637</v>
      </c>
      <c r="AG262">
        <v>1383775716</v>
      </c>
      <c r="AH262">
        <v>13696846</v>
      </c>
      <c r="AI262">
        <v>98140892</v>
      </c>
      <c r="AJ262">
        <v>258003519</v>
      </c>
      <c r="AK262">
        <v>3.5360599116720856E-11</v>
      </c>
      <c r="AL262">
        <v>0.17494199702599</v>
      </c>
    </row>
    <row r="263" spans="21:38">
      <c r="U263">
        <v>0.11602276856000968</v>
      </c>
      <c r="V263">
        <v>39.5</v>
      </c>
      <c r="W263">
        <v>39.49</v>
      </c>
      <c r="X263">
        <f t="shared" si="4"/>
        <v>2.5319660716541356E-4</v>
      </c>
      <c r="Y263">
        <v>13692025</v>
      </c>
      <c r="Z263">
        <v>1517696526</v>
      </c>
      <c r="AA263">
        <v>540424226.75</v>
      </c>
      <c r="AB263">
        <v>379424131</v>
      </c>
      <c r="AC263">
        <v>3.6086331578104085E-2</v>
      </c>
      <c r="AD263">
        <v>71971.399999999994</v>
      </c>
      <c r="AE263">
        <v>0.21640000000000001</v>
      </c>
      <c r="AF263">
        <v>1474794637</v>
      </c>
      <c r="AG263">
        <v>1383775716</v>
      </c>
      <c r="AH263">
        <v>13696846</v>
      </c>
      <c r="AI263">
        <v>98140892</v>
      </c>
      <c r="AJ263">
        <v>258003519</v>
      </c>
      <c r="AK263">
        <v>8.966490648382835E-11</v>
      </c>
      <c r="AL263">
        <v>0.17494199702599</v>
      </c>
    </row>
    <row r="264" spans="21:38">
      <c r="U264">
        <v>3.2227032227032312E-2</v>
      </c>
      <c r="V264">
        <v>41.4</v>
      </c>
      <c r="W264">
        <v>41.38</v>
      </c>
      <c r="X264">
        <f t="shared" si="4"/>
        <v>4.8320850446958253E-4</v>
      </c>
      <c r="Y264">
        <v>4382849</v>
      </c>
      <c r="Z264">
        <v>1517696526</v>
      </c>
      <c r="AA264">
        <v>181800576.51999998</v>
      </c>
      <c r="AB264">
        <v>379424131</v>
      </c>
      <c r="AC264">
        <v>1.1551318542783986E-2</v>
      </c>
      <c r="AD264">
        <v>72051.89</v>
      </c>
      <c r="AE264">
        <v>0.21640000000000001</v>
      </c>
      <c r="AF264">
        <v>1474794637</v>
      </c>
      <c r="AG264">
        <v>1383775716</v>
      </c>
      <c r="AH264">
        <v>13696846</v>
      </c>
      <c r="AI264">
        <v>98140892</v>
      </c>
      <c r="AJ264">
        <v>258003519</v>
      </c>
      <c r="AK264">
        <v>9.1675543530705749E-11</v>
      </c>
      <c r="AL264">
        <v>0.17494199702599</v>
      </c>
    </row>
    <row r="265" spans="21:38">
      <c r="U265">
        <v>8.3036773428232499E-2</v>
      </c>
      <c r="V265">
        <v>41.39</v>
      </c>
      <c r="W265">
        <v>41.25</v>
      </c>
      <c r="X265">
        <f t="shared" si="4"/>
        <v>3.3881897386253768E-3</v>
      </c>
      <c r="Y265">
        <v>9391712</v>
      </c>
      <c r="Z265">
        <v>1517696526</v>
      </c>
      <c r="AA265">
        <v>383181849.59999996</v>
      </c>
      <c r="AB265">
        <v>379424131</v>
      </c>
      <c r="AC265">
        <v>2.4752542689489614E-2</v>
      </c>
      <c r="AD265">
        <v>71359.41</v>
      </c>
      <c r="AE265">
        <v>0.21640000000000001</v>
      </c>
      <c r="AF265">
        <v>1474794637</v>
      </c>
      <c r="AG265">
        <v>1383775716</v>
      </c>
      <c r="AH265">
        <v>13696846</v>
      </c>
      <c r="AI265">
        <v>98140892</v>
      </c>
      <c r="AJ265">
        <v>258003519</v>
      </c>
      <c r="AK265">
        <v>1.5747316009626174E-10</v>
      </c>
      <c r="AL265">
        <v>0.17494199702599</v>
      </c>
    </row>
    <row r="266" spans="21:38">
      <c r="U266">
        <v>0.11493712539663886</v>
      </c>
      <c r="V266">
        <v>43.25</v>
      </c>
      <c r="W266">
        <v>43.2</v>
      </c>
      <c r="X266">
        <f t="shared" si="4"/>
        <v>1.1567379988431962E-3</v>
      </c>
      <c r="Y266">
        <v>14356199</v>
      </c>
      <c r="Z266">
        <v>1517696526</v>
      </c>
      <c r="AA266">
        <v>623346160.58000004</v>
      </c>
      <c r="AB266">
        <v>379424131</v>
      </c>
      <c r="AC266">
        <v>3.7836810648187266E-2</v>
      </c>
      <c r="AD266">
        <v>71433.460000000006</v>
      </c>
      <c r="AE266">
        <v>0.21640000000000001</v>
      </c>
      <c r="AF266">
        <v>1474794637</v>
      </c>
      <c r="AG266">
        <v>1383775716</v>
      </c>
      <c r="AH266">
        <v>13696846</v>
      </c>
      <c r="AI266">
        <v>98140892</v>
      </c>
      <c r="AJ266">
        <v>258003519</v>
      </c>
      <c r="AK266">
        <v>5.029937011360005E-11</v>
      </c>
      <c r="AL266">
        <v>0.17494199702599</v>
      </c>
    </row>
    <row r="267" spans="21:38">
      <c r="U267">
        <v>8.9581786686463688E-2</v>
      </c>
      <c r="V267">
        <v>42.22</v>
      </c>
      <c r="W267">
        <v>42.21</v>
      </c>
      <c r="X267">
        <f t="shared" si="4"/>
        <v>2.3688262465943407E-4</v>
      </c>
      <c r="Y267">
        <v>13247136</v>
      </c>
      <c r="Z267">
        <v>1517696526</v>
      </c>
      <c r="AA267">
        <v>557704425.60000002</v>
      </c>
      <c r="AB267">
        <v>379424131</v>
      </c>
      <c r="AC267">
        <v>3.4913794136093045E-2</v>
      </c>
      <c r="AD267">
        <v>70909.899999999994</v>
      </c>
      <c r="AE267">
        <v>0.21640000000000001</v>
      </c>
      <c r="AF267">
        <v>1474794637</v>
      </c>
      <c r="AG267">
        <v>1383775716</v>
      </c>
      <c r="AH267">
        <v>13696846</v>
      </c>
      <c r="AI267">
        <v>98140892</v>
      </c>
      <c r="AJ267">
        <v>258003519</v>
      </c>
      <c r="AK267">
        <v>1.2921753244959096E-10</v>
      </c>
      <c r="AL267">
        <v>0.17494199702599</v>
      </c>
    </row>
    <row r="268" spans="21:38">
      <c r="U268">
        <v>3.517587939698489E-2</v>
      </c>
      <c r="V268">
        <v>39.44</v>
      </c>
      <c r="W268">
        <v>39.35</v>
      </c>
      <c r="X268">
        <f t="shared" si="4"/>
        <v>2.2845538773955151E-3</v>
      </c>
      <c r="Y268">
        <v>4947819</v>
      </c>
      <c r="Z268">
        <v>1517696526</v>
      </c>
      <c r="AA268">
        <v>194300852.13000003</v>
      </c>
      <c r="AB268">
        <v>379424131</v>
      </c>
      <c r="AC268">
        <v>1.3040338227723318E-2</v>
      </c>
      <c r="AD268">
        <v>70290.12</v>
      </c>
      <c r="AE268">
        <v>0.21640000000000001</v>
      </c>
      <c r="AF268">
        <v>1474794637</v>
      </c>
      <c r="AG268">
        <v>1383775716</v>
      </c>
      <c r="AH268">
        <v>13696846</v>
      </c>
      <c r="AI268">
        <v>98140892</v>
      </c>
      <c r="AJ268">
        <v>258003519</v>
      </c>
      <c r="AK268">
        <v>2.6225007998757668E-12</v>
      </c>
      <c r="AL268">
        <v>0.17494199702599</v>
      </c>
    </row>
    <row r="269" spans="21:38">
      <c r="U269">
        <v>8.2822085889570587E-2</v>
      </c>
      <c r="V269">
        <v>39.549999999999997</v>
      </c>
      <c r="W269">
        <v>39.5</v>
      </c>
      <c r="X269">
        <f t="shared" si="4"/>
        <v>1.2650221378873411E-3</v>
      </c>
      <c r="Y269">
        <v>12245648</v>
      </c>
      <c r="Z269">
        <v>1517696526</v>
      </c>
      <c r="AA269">
        <v>480641684</v>
      </c>
      <c r="AB269">
        <v>379424131</v>
      </c>
      <c r="AC269">
        <v>3.2274299390831311E-2</v>
      </c>
      <c r="AD269">
        <v>70333.320000000007</v>
      </c>
      <c r="AE269">
        <v>0.21640000000000001</v>
      </c>
      <c r="AF269">
        <v>1474794637</v>
      </c>
      <c r="AG269">
        <v>1383775716</v>
      </c>
      <c r="AH269">
        <v>13696846</v>
      </c>
      <c r="AI269">
        <v>98140892</v>
      </c>
      <c r="AJ269">
        <v>258003519</v>
      </c>
      <c r="AK269">
        <v>7.2972946021983413E-11</v>
      </c>
      <c r="AL269">
        <v>0.17494199702599</v>
      </c>
    </row>
    <row r="270" spans="21:38">
      <c r="U270">
        <v>3.9369052274801142E-2</v>
      </c>
      <c r="V270">
        <v>37.89</v>
      </c>
      <c r="W270">
        <v>37.799999999999997</v>
      </c>
      <c r="X270">
        <f t="shared" si="4"/>
        <v>2.3781212841855835E-3</v>
      </c>
      <c r="Y270">
        <v>5993771</v>
      </c>
      <c r="Z270">
        <v>1517696526</v>
      </c>
      <c r="AA270">
        <v>227283796.32000002</v>
      </c>
      <c r="AB270">
        <v>379424131</v>
      </c>
      <c r="AC270">
        <v>1.5797021091418142E-2</v>
      </c>
      <c r="AD270">
        <v>70483.66</v>
      </c>
      <c r="AE270">
        <v>0.216</v>
      </c>
      <c r="AF270">
        <v>1474794637</v>
      </c>
      <c r="AG270">
        <v>1383775716</v>
      </c>
      <c r="AH270">
        <v>13696846</v>
      </c>
      <c r="AI270">
        <v>98140892</v>
      </c>
      <c r="AJ270">
        <v>258003519</v>
      </c>
      <c r="AK270">
        <v>3.2249738215465592E-11</v>
      </c>
      <c r="AL270">
        <v>0.17494199702599</v>
      </c>
    </row>
    <row r="271" spans="21:38">
      <c r="U271">
        <v>4.5454545454545608E-2</v>
      </c>
      <c r="V271">
        <v>38.200000000000003</v>
      </c>
      <c r="W271">
        <v>38.159999999999997</v>
      </c>
      <c r="X271">
        <f t="shared" si="4"/>
        <v>1.0476689366161931E-3</v>
      </c>
      <c r="Y271">
        <v>4615062</v>
      </c>
      <c r="Z271">
        <v>1517696526</v>
      </c>
      <c r="AA271">
        <v>176295368.40000001</v>
      </c>
      <c r="AB271">
        <v>379424131</v>
      </c>
      <c r="AC271">
        <v>1.2163332858763271E-2</v>
      </c>
      <c r="AD271">
        <v>70544.58</v>
      </c>
      <c r="AE271">
        <v>0.216</v>
      </c>
      <c r="AF271">
        <v>1474794637</v>
      </c>
      <c r="AG271">
        <v>1383775716</v>
      </c>
      <c r="AH271">
        <v>13696846</v>
      </c>
      <c r="AI271">
        <v>98140892</v>
      </c>
      <c r="AJ271">
        <v>258003519</v>
      </c>
      <c r="AK271">
        <v>1.7606325443484736E-10</v>
      </c>
      <c r="AL271">
        <v>0.17494199702599</v>
      </c>
    </row>
    <row r="272" spans="21:38">
      <c r="U272">
        <v>3.5350830208891272E-2</v>
      </c>
      <c r="V272">
        <v>36.96</v>
      </c>
      <c r="W272">
        <v>36.950000000000003</v>
      </c>
      <c r="X272">
        <f t="shared" si="4"/>
        <v>2.7059937762137764E-4</v>
      </c>
      <c r="Y272">
        <v>3704869</v>
      </c>
      <c r="Z272">
        <v>1517696526</v>
      </c>
      <c r="AA272">
        <v>137265396.44999999</v>
      </c>
      <c r="AB272">
        <v>379424131</v>
      </c>
      <c r="AC272">
        <v>9.7644527516885845E-3</v>
      </c>
      <c r="AD272">
        <v>70314.720000000001</v>
      </c>
      <c r="AE272">
        <v>0.216</v>
      </c>
      <c r="AF272">
        <v>1474794637</v>
      </c>
      <c r="AG272">
        <v>1383775716</v>
      </c>
      <c r="AH272">
        <v>13696846</v>
      </c>
      <c r="AI272">
        <v>98140892</v>
      </c>
      <c r="AJ272">
        <v>258003519</v>
      </c>
      <c r="AK272">
        <v>3.9304867891469205E-12</v>
      </c>
      <c r="AL272">
        <v>0.17494199702599</v>
      </c>
    </row>
    <row r="273" spans="21:38">
      <c r="U273">
        <v>5.0580997949419039E-2</v>
      </c>
      <c r="V273">
        <v>37.39</v>
      </c>
      <c r="W273">
        <v>37.25</v>
      </c>
      <c r="X273">
        <f t="shared" si="4"/>
        <v>3.7513397642015157E-3</v>
      </c>
      <c r="Y273">
        <v>1454506</v>
      </c>
      <c r="Z273">
        <v>1517696526</v>
      </c>
      <c r="AA273">
        <v>53918537.420000002</v>
      </c>
      <c r="AB273">
        <v>379424131</v>
      </c>
      <c r="AC273">
        <v>3.8334567602923493E-3</v>
      </c>
      <c r="AD273">
        <v>69619.990000000005</v>
      </c>
      <c r="AE273">
        <v>0.216</v>
      </c>
      <c r="AF273">
        <v>1474794637</v>
      </c>
      <c r="AG273">
        <v>1383775716</v>
      </c>
      <c r="AH273">
        <v>13696846</v>
      </c>
      <c r="AI273">
        <v>98140892</v>
      </c>
      <c r="AJ273">
        <v>258003519</v>
      </c>
      <c r="AK273">
        <v>1.7677761434248107E-10</v>
      </c>
      <c r="AL273">
        <v>0.17494199702599</v>
      </c>
    </row>
    <row r="274" spans="21:38">
      <c r="U274">
        <v>4.8780487804877912E-2</v>
      </c>
      <c r="V274">
        <v>36.450000000000003</v>
      </c>
      <c r="W274">
        <v>36.200000000000003</v>
      </c>
      <c r="X274">
        <f t="shared" si="4"/>
        <v>6.8823124569855464E-3</v>
      </c>
      <c r="Y274">
        <v>2751007</v>
      </c>
      <c r="Z274">
        <v>1517696526</v>
      </c>
      <c r="AA274">
        <v>101016977.03999999</v>
      </c>
      <c r="AB274">
        <v>379424131</v>
      </c>
      <c r="AC274">
        <v>7.2504798067258404E-3</v>
      </c>
      <c r="AD274">
        <v>68416.78</v>
      </c>
      <c r="AE274">
        <v>0.216</v>
      </c>
      <c r="AF274">
        <v>1474794637</v>
      </c>
      <c r="AG274">
        <v>1383775716</v>
      </c>
      <c r="AH274">
        <v>13696846</v>
      </c>
      <c r="AI274">
        <v>98140892</v>
      </c>
      <c r="AJ274">
        <v>258003519</v>
      </c>
      <c r="AK274">
        <v>8.8172135536843348E-11</v>
      </c>
      <c r="AL274">
        <v>0.17494199702599</v>
      </c>
    </row>
    <row r="275" spans="21:38">
      <c r="U275">
        <v>5.8097890966971689E-2</v>
      </c>
      <c r="V275">
        <v>37.1</v>
      </c>
      <c r="W275">
        <v>37.049999999999997</v>
      </c>
      <c r="X275">
        <f t="shared" si="4"/>
        <v>1.3486176668915512E-3</v>
      </c>
      <c r="Y275">
        <v>1421319</v>
      </c>
      <c r="Z275">
        <v>1517696526</v>
      </c>
      <c r="AA275">
        <v>52659868.949999996</v>
      </c>
      <c r="AB275">
        <v>379424131</v>
      </c>
      <c r="AC275">
        <v>3.7459899987225642E-3</v>
      </c>
      <c r="AD275">
        <v>67756.039999999994</v>
      </c>
      <c r="AE275">
        <v>0.216</v>
      </c>
      <c r="AF275">
        <v>1474794637</v>
      </c>
      <c r="AG275">
        <v>1383775716</v>
      </c>
      <c r="AH275">
        <v>13696846</v>
      </c>
      <c r="AI275">
        <v>98140892</v>
      </c>
      <c r="AJ275">
        <v>258003519</v>
      </c>
      <c r="AK275">
        <v>5.6213057252630193E-11</v>
      </c>
      <c r="AL275">
        <v>0.17494199702599</v>
      </c>
    </row>
    <row r="276" spans="21:38">
      <c r="U276">
        <v>8.3276450511945321E-2</v>
      </c>
      <c r="V276">
        <v>37.64</v>
      </c>
      <c r="W276">
        <v>37.56</v>
      </c>
      <c r="X276">
        <f t="shared" si="4"/>
        <v>2.1276595744680396E-3</v>
      </c>
      <c r="Y276">
        <v>2311525</v>
      </c>
      <c r="Z276">
        <v>1517696526</v>
      </c>
      <c r="AA276">
        <v>85896268.999999985</v>
      </c>
      <c r="AB276">
        <v>379424131</v>
      </c>
      <c r="AC276">
        <v>6.0921929079940356E-3</v>
      </c>
      <c r="AD276">
        <v>66886.259999999995</v>
      </c>
      <c r="AE276">
        <v>0.216</v>
      </c>
      <c r="AF276">
        <v>1474794637</v>
      </c>
      <c r="AG276">
        <v>1383775716</v>
      </c>
      <c r="AH276">
        <v>13696846</v>
      </c>
      <c r="AI276">
        <v>98140892</v>
      </c>
      <c r="AJ276">
        <v>258003519</v>
      </c>
      <c r="AK276">
        <v>5.3409448896202493E-10</v>
      </c>
      <c r="AL276">
        <v>0.17494199702599</v>
      </c>
    </row>
    <row r="277" spans="21:38">
      <c r="U277">
        <v>5.6587596456130242E-2</v>
      </c>
      <c r="V277">
        <v>35.69</v>
      </c>
      <c r="W277">
        <v>35.6</v>
      </c>
      <c r="X277">
        <f t="shared" si="4"/>
        <v>2.5248983027071487E-3</v>
      </c>
      <c r="Y277">
        <v>3214407</v>
      </c>
      <c r="Z277">
        <v>1517696526</v>
      </c>
      <c r="AA277">
        <v>114207880.71000001</v>
      </c>
      <c r="AB277">
        <v>379424131</v>
      </c>
      <c r="AC277">
        <v>8.4718043407734662E-3</v>
      </c>
      <c r="AD277">
        <v>66796.320000000007</v>
      </c>
      <c r="AE277">
        <v>0.216</v>
      </c>
      <c r="AF277">
        <v>1474794637</v>
      </c>
      <c r="AG277">
        <v>1383775716</v>
      </c>
      <c r="AH277">
        <v>13696846</v>
      </c>
      <c r="AI277">
        <v>98140892</v>
      </c>
      <c r="AJ277">
        <v>258003519</v>
      </c>
      <c r="AK277">
        <v>3.8058224750716346E-10</v>
      </c>
      <c r="AL277">
        <v>0.17494199702599</v>
      </c>
    </row>
    <row r="278" spans="21:38">
      <c r="U278">
        <v>4.0029651593773218E-2</v>
      </c>
      <c r="V278">
        <v>34.15</v>
      </c>
      <c r="W278">
        <v>34.049999999999997</v>
      </c>
      <c r="X278">
        <f t="shared" si="4"/>
        <v>2.9325513196481359E-3</v>
      </c>
      <c r="Y278">
        <v>1466819</v>
      </c>
      <c r="Z278">
        <v>1517696526</v>
      </c>
      <c r="AA278">
        <v>49945186.949999996</v>
      </c>
      <c r="AB278">
        <v>379424131</v>
      </c>
      <c r="AC278">
        <v>3.8659085707967267E-3</v>
      </c>
      <c r="AD278">
        <v>67005.11</v>
      </c>
      <c r="AE278">
        <v>0.216</v>
      </c>
      <c r="AF278">
        <v>1474794637</v>
      </c>
      <c r="AG278">
        <v>1383775716</v>
      </c>
      <c r="AH278">
        <v>13696846</v>
      </c>
      <c r="AI278">
        <v>98140892</v>
      </c>
      <c r="AJ278">
        <v>258003519</v>
      </c>
      <c r="AK278">
        <v>3.5343246746938003E-11</v>
      </c>
      <c r="AL278">
        <v>0.17494199702599</v>
      </c>
    </row>
    <row r="279" spans="21:38">
      <c r="U279">
        <v>5.219985085756898E-2</v>
      </c>
      <c r="V279">
        <v>34</v>
      </c>
      <c r="W279">
        <v>33.97</v>
      </c>
      <c r="X279">
        <f t="shared" si="4"/>
        <v>8.8274238634695123E-4</v>
      </c>
      <c r="Y279">
        <v>4784189</v>
      </c>
      <c r="Z279">
        <v>1517696526</v>
      </c>
      <c r="AA279">
        <v>162614584.11000001</v>
      </c>
      <c r="AB279">
        <v>379424131</v>
      </c>
      <c r="AC279">
        <v>1.2609079415668478E-2</v>
      </c>
      <c r="AD279">
        <v>67142.12</v>
      </c>
      <c r="AE279">
        <v>0.216</v>
      </c>
      <c r="AF279">
        <v>1474794637</v>
      </c>
      <c r="AG279">
        <v>1383775716</v>
      </c>
      <c r="AH279">
        <v>13696846</v>
      </c>
      <c r="AI279">
        <v>98140892</v>
      </c>
      <c r="AJ279">
        <v>258003519</v>
      </c>
      <c r="AK279">
        <v>1.6153603986872518E-10</v>
      </c>
      <c r="AL279">
        <v>0.17494199702599</v>
      </c>
    </row>
    <row r="280" spans="21:38">
      <c r="U280">
        <v>8.017538365173825E-2</v>
      </c>
      <c r="V280">
        <v>33.21</v>
      </c>
      <c r="W280">
        <v>33.01</v>
      </c>
      <c r="X280">
        <f t="shared" si="4"/>
        <v>6.0404711567503128E-3</v>
      </c>
      <c r="Y280">
        <v>6218561</v>
      </c>
      <c r="Z280">
        <v>1517696526</v>
      </c>
      <c r="AA280">
        <v>205958740.31999999</v>
      </c>
      <c r="AB280">
        <v>379424131</v>
      </c>
      <c r="AC280">
        <v>1.6389471548924756E-2</v>
      </c>
      <c r="AD280">
        <v>66547.789999999994</v>
      </c>
      <c r="AE280">
        <v>0.216</v>
      </c>
      <c r="AF280">
        <v>1474794637</v>
      </c>
      <c r="AG280">
        <v>1383775716</v>
      </c>
      <c r="AH280">
        <v>13696846</v>
      </c>
      <c r="AI280">
        <v>98140892</v>
      </c>
      <c r="AJ280">
        <v>258003519</v>
      </c>
      <c r="AK280">
        <v>3.5051509671446299E-10</v>
      </c>
      <c r="AL280">
        <v>0.17494199702599</v>
      </c>
    </row>
    <row r="281" spans="21:38">
      <c r="U281">
        <v>1.5508885298869157E-2</v>
      </c>
      <c r="V281">
        <v>30.8</v>
      </c>
      <c r="W281">
        <v>30.75</v>
      </c>
      <c r="X281">
        <f t="shared" si="4"/>
        <v>1.6246953696182197E-3</v>
      </c>
      <c r="Y281">
        <v>883590</v>
      </c>
      <c r="Z281">
        <v>1517696526</v>
      </c>
      <c r="AA281">
        <v>27294095.100000001</v>
      </c>
      <c r="AB281">
        <v>379424131</v>
      </c>
      <c r="AC281">
        <v>2.3287659582199847E-3</v>
      </c>
      <c r="AD281">
        <v>65906.28</v>
      </c>
      <c r="AE281">
        <v>0.216</v>
      </c>
      <c r="AF281">
        <v>1474794637</v>
      </c>
      <c r="AG281">
        <v>1383775716</v>
      </c>
      <c r="AH281">
        <v>13696846</v>
      </c>
      <c r="AI281">
        <v>98140892</v>
      </c>
      <c r="AJ281">
        <v>258003519</v>
      </c>
      <c r="AK281">
        <v>1.3000566913003008E-10</v>
      </c>
      <c r="AL281">
        <v>0.17494199702599</v>
      </c>
    </row>
    <row r="282" spans="21:38">
      <c r="U282">
        <v>2.7485852869846446E-2</v>
      </c>
      <c r="V282">
        <v>30.99</v>
      </c>
      <c r="W282">
        <v>30.9</v>
      </c>
      <c r="X282">
        <f t="shared" si="4"/>
        <v>2.9083858458555456E-3</v>
      </c>
      <c r="Y282">
        <v>473147</v>
      </c>
      <c r="Z282">
        <v>1517696526</v>
      </c>
      <c r="AA282">
        <v>14667557</v>
      </c>
      <c r="AB282">
        <v>379424131</v>
      </c>
      <c r="AC282">
        <v>1.247013464201622E-3</v>
      </c>
      <c r="AD282">
        <v>65525.65</v>
      </c>
      <c r="AE282">
        <v>0.216</v>
      </c>
      <c r="AF282">
        <v>1474794637</v>
      </c>
      <c r="AG282">
        <v>1383775716</v>
      </c>
      <c r="AH282">
        <v>13696846</v>
      </c>
      <c r="AI282">
        <v>98140892</v>
      </c>
      <c r="AJ282">
        <v>258003519</v>
      </c>
      <c r="AK282">
        <v>0</v>
      </c>
      <c r="AL282">
        <v>0.17494199702599</v>
      </c>
    </row>
    <row r="283" spans="21:38">
      <c r="U283">
        <v>0.34910985670864086</v>
      </c>
      <c r="V283">
        <v>19.05</v>
      </c>
      <c r="W283">
        <v>19.02</v>
      </c>
      <c r="X283">
        <f t="shared" si="4"/>
        <v>1.5760441292356783E-3</v>
      </c>
      <c r="Y283">
        <v>211450</v>
      </c>
      <c r="Z283">
        <v>251250000</v>
      </c>
      <c r="AA283">
        <v>5696463</v>
      </c>
      <c r="AB283">
        <v>125625000</v>
      </c>
      <c r="AC283">
        <v>1.68318407960199E-3</v>
      </c>
      <c r="AD283">
        <v>75983.039999999994</v>
      </c>
      <c r="AE283">
        <v>0.2157</v>
      </c>
      <c r="AF283">
        <v>5888160</v>
      </c>
      <c r="AG283">
        <v>3914640</v>
      </c>
      <c r="AH283">
        <v>418520</v>
      </c>
      <c r="AI283">
        <v>38990</v>
      </c>
      <c r="AJ283">
        <v>2530410</v>
      </c>
      <c r="AK283">
        <v>9.8290889334963572E-10</v>
      </c>
      <c r="AL283">
        <v>0.42974545528654112</v>
      </c>
    </row>
    <row r="284" spans="21:38">
      <c r="U284">
        <v>0.34782608695652173</v>
      </c>
      <c r="V284">
        <v>19.170000000000002</v>
      </c>
      <c r="W284">
        <v>19.149999999999999</v>
      </c>
      <c r="X284">
        <f t="shared" si="4"/>
        <v>1.0438413361170734E-3</v>
      </c>
      <c r="Y284">
        <v>571503</v>
      </c>
      <c r="Z284">
        <v>251250000</v>
      </c>
      <c r="AA284">
        <v>15310565.369999999</v>
      </c>
      <c r="AB284">
        <v>125625000</v>
      </c>
      <c r="AC284">
        <v>4.5492776119402988E-3</v>
      </c>
      <c r="AD284">
        <v>75114.47</v>
      </c>
      <c r="AE284">
        <v>0.2157</v>
      </c>
      <c r="AF284">
        <v>5888160</v>
      </c>
      <c r="AG284">
        <v>3914640</v>
      </c>
      <c r="AH284">
        <v>418520</v>
      </c>
      <c r="AI284">
        <v>38990</v>
      </c>
      <c r="AJ284">
        <v>2530410</v>
      </c>
      <c r="AK284">
        <v>1.1261099047412195E-9</v>
      </c>
      <c r="AL284">
        <v>0.42974545528654112</v>
      </c>
    </row>
    <row r="285" spans="21:38">
      <c r="U285">
        <v>0.38559965300368687</v>
      </c>
      <c r="V285">
        <v>19.46</v>
      </c>
      <c r="W285">
        <v>19.399999999999999</v>
      </c>
      <c r="X285">
        <f t="shared" si="4"/>
        <v>3.088008234688743E-3</v>
      </c>
      <c r="Y285">
        <v>1172315</v>
      </c>
      <c r="Z285">
        <v>251250000</v>
      </c>
      <c r="AA285">
        <v>31957306.900000002</v>
      </c>
      <c r="AB285">
        <v>125625000</v>
      </c>
      <c r="AC285">
        <v>9.3318606965174123E-3</v>
      </c>
      <c r="AD285">
        <v>74956.67</v>
      </c>
      <c r="AE285">
        <v>0.2157</v>
      </c>
      <c r="AF285">
        <v>5888160</v>
      </c>
      <c r="AG285">
        <v>3914640</v>
      </c>
      <c r="AH285">
        <v>418520</v>
      </c>
      <c r="AI285">
        <v>38990</v>
      </c>
      <c r="AJ285">
        <v>2530410</v>
      </c>
      <c r="AK285">
        <v>1.0365319602971668E-10</v>
      </c>
      <c r="AL285">
        <v>0.42974545528654112</v>
      </c>
    </row>
    <row r="286" spans="21:38">
      <c r="U286">
        <v>0.39390642002176279</v>
      </c>
      <c r="V286">
        <v>18.63</v>
      </c>
      <c r="W286">
        <v>18.61</v>
      </c>
      <c r="X286">
        <f t="shared" si="4"/>
        <v>1.0741138560687205E-3</v>
      </c>
      <c r="Y286">
        <v>245647</v>
      </c>
      <c r="Z286">
        <v>251250000</v>
      </c>
      <c r="AA286">
        <v>6674228.9900000002</v>
      </c>
      <c r="AB286">
        <v>125625000</v>
      </c>
      <c r="AC286">
        <v>1.9553990049751245E-3</v>
      </c>
      <c r="AD286">
        <v>75206.77</v>
      </c>
      <c r="AE286">
        <v>0.2157</v>
      </c>
      <c r="AF286">
        <v>5888160</v>
      </c>
      <c r="AG286">
        <v>3914640</v>
      </c>
      <c r="AH286">
        <v>418520</v>
      </c>
      <c r="AI286">
        <v>38990</v>
      </c>
      <c r="AJ286">
        <v>2530410</v>
      </c>
      <c r="AK286">
        <v>1.1020966569936002E-10</v>
      </c>
      <c r="AL286">
        <v>0.42974545528654112</v>
      </c>
    </row>
    <row r="287" spans="21:38">
      <c r="U287">
        <v>0.39825517993456927</v>
      </c>
      <c r="V287">
        <v>18.600000000000001</v>
      </c>
      <c r="W287">
        <v>18.53</v>
      </c>
      <c r="X287">
        <f t="shared" si="4"/>
        <v>3.7705359547535837E-3</v>
      </c>
      <c r="Y287">
        <v>265458</v>
      </c>
      <c r="Z287">
        <v>251250000</v>
      </c>
      <c r="AA287">
        <v>7217803.0200000005</v>
      </c>
      <c r="AB287">
        <v>125625000</v>
      </c>
      <c r="AC287">
        <v>2.1130985074626868E-3</v>
      </c>
      <c r="AD287">
        <v>75084</v>
      </c>
      <c r="AE287">
        <v>0.2157</v>
      </c>
      <c r="AF287">
        <v>5888160</v>
      </c>
      <c r="AG287">
        <v>3914640</v>
      </c>
      <c r="AH287">
        <v>418520</v>
      </c>
      <c r="AI287">
        <v>38990</v>
      </c>
      <c r="AJ287">
        <v>2530410</v>
      </c>
      <c r="AK287">
        <v>2.0352010797114858E-10</v>
      </c>
      <c r="AL287">
        <v>0.42974545528654112</v>
      </c>
    </row>
    <row r="288" spans="21:38">
      <c r="U288">
        <v>0.39825517993456927</v>
      </c>
      <c r="V288">
        <v>18.5</v>
      </c>
      <c r="W288">
        <v>18.399999999999999</v>
      </c>
      <c r="X288">
        <f t="shared" si="4"/>
        <v>5.4200542005420826E-3</v>
      </c>
      <c r="Y288">
        <v>231500</v>
      </c>
      <c r="Z288">
        <v>251250000</v>
      </c>
      <c r="AA288">
        <v>6303745</v>
      </c>
      <c r="AB288">
        <v>125625000</v>
      </c>
      <c r="AC288">
        <v>1.8427860696517413E-3</v>
      </c>
      <c r="AD288">
        <v>75342.350000000006</v>
      </c>
      <c r="AE288">
        <v>0.2157</v>
      </c>
      <c r="AF288">
        <v>5888160</v>
      </c>
      <c r="AG288">
        <v>3914640</v>
      </c>
      <c r="AH288">
        <v>418520</v>
      </c>
      <c r="AI288">
        <v>38990</v>
      </c>
      <c r="AJ288">
        <v>2530410</v>
      </c>
      <c r="AK288">
        <v>0</v>
      </c>
      <c r="AL288">
        <v>0.42974545528654112</v>
      </c>
    </row>
    <row r="289" spans="21:38">
      <c r="U289">
        <v>0.39020122484689423</v>
      </c>
      <c r="V289">
        <v>18.52</v>
      </c>
      <c r="W289">
        <v>18.47</v>
      </c>
      <c r="X289">
        <f t="shared" si="4"/>
        <v>2.7034333603677056E-3</v>
      </c>
      <c r="Y289">
        <v>183500</v>
      </c>
      <c r="Z289">
        <v>251250000</v>
      </c>
      <c r="AA289">
        <v>4996705</v>
      </c>
      <c r="AB289">
        <v>125625000</v>
      </c>
      <c r="AC289">
        <v>1.4606965174129352E-3</v>
      </c>
      <c r="AD289">
        <v>74930.7</v>
      </c>
      <c r="AE289">
        <v>0.2157</v>
      </c>
      <c r="AF289">
        <v>5888160</v>
      </c>
      <c r="AG289">
        <v>3914640</v>
      </c>
      <c r="AH289">
        <v>418520</v>
      </c>
      <c r="AI289">
        <v>38990</v>
      </c>
      <c r="AJ289">
        <v>2530410</v>
      </c>
      <c r="AK289">
        <v>8.6387107863282754E-8</v>
      </c>
      <c r="AL289">
        <v>0.42974545528654112</v>
      </c>
    </row>
    <row r="290" spans="21:38">
      <c r="U290">
        <v>5.6992084432717589E-2</v>
      </c>
      <c r="V290">
        <v>18.53</v>
      </c>
      <c r="W290">
        <v>18.47</v>
      </c>
      <c r="X290">
        <f t="shared" si="4"/>
        <v>3.2432432432433662E-3</v>
      </c>
      <c r="Y290">
        <v>107000</v>
      </c>
      <c r="Z290">
        <v>251250000</v>
      </c>
      <c r="AA290">
        <v>2035140</v>
      </c>
      <c r="AB290">
        <v>125625000</v>
      </c>
      <c r="AC290">
        <v>8.5174129353233834E-4</v>
      </c>
      <c r="AD290">
        <v>74663.98</v>
      </c>
      <c r="AE290">
        <v>0.2157</v>
      </c>
      <c r="AF290">
        <v>5888160</v>
      </c>
      <c r="AG290">
        <v>3914640</v>
      </c>
      <c r="AH290">
        <v>418520</v>
      </c>
      <c r="AI290">
        <v>38990</v>
      </c>
      <c r="AJ290">
        <v>2530410</v>
      </c>
      <c r="AK290">
        <v>4.0989921777190233E-9</v>
      </c>
      <c r="AL290">
        <v>0.42974545528654112</v>
      </c>
    </row>
    <row r="291" spans="21:38">
      <c r="U291">
        <v>5.7504616196254285E-2</v>
      </c>
      <c r="V291">
        <v>18.600000000000001</v>
      </c>
      <c r="W291">
        <v>18.52</v>
      </c>
      <c r="X291">
        <f t="shared" si="4"/>
        <v>4.3103448275863057E-3</v>
      </c>
      <c r="Y291">
        <v>326500</v>
      </c>
      <c r="Z291">
        <v>251250000</v>
      </c>
      <c r="AA291">
        <v>6262270</v>
      </c>
      <c r="AB291">
        <v>125625000</v>
      </c>
      <c r="AC291">
        <v>2.5990049751243782E-3</v>
      </c>
      <c r="AD291">
        <v>74531.19</v>
      </c>
      <c r="AE291">
        <v>0.21590000000000001</v>
      </c>
      <c r="AF291">
        <v>5888160</v>
      </c>
      <c r="AG291">
        <v>3914640</v>
      </c>
      <c r="AH291">
        <v>418520</v>
      </c>
      <c r="AI291">
        <v>38990</v>
      </c>
      <c r="AJ291">
        <v>2530410</v>
      </c>
      <c r="AK291">
        <v>2.2976475317469788E-9</v>
      </c>
      <c r="AL291">
        <v>0.42974545528654112</v>
      </c>
    </row>
    <row r="292" spans="21:38">
      <c r="U292">
        <v>6.9620253164556972E-2</v>
      </c>
      <c r="V292">
        <v>18.5</v>
      </c>
      <c r="W292">
        <v>18.420000000000002</v>
      </c>
      <c r="X292">
        <f t="shared" si="4"/>
        <v>4.3336944745394528E-3</v>
      </c>
      <c r="Y292">
        <v>288500</v>
      </c>
      <c r="Z292">
        <v>251250000</v>
      </c>
      <c r="AA292">
        <v>5614210</v>
      </c>
      <c r="AB292">
        <v>125625000</v>
      </c>
      <c r="AC292">
        <v>2.2965174129353232E-3</v>
      </c>
      <c r="AD292">
        <v>73799.11</v>
      </c>
      <c r="AE292">
        <v>0.21590000000000001</v>
      </c>
      <c r="AF292">
        <v>5888160</v>
      </c>
      <c r="AG292">
        <v>3914640</v>
      </c>
      <c r="AH292">
        <v>418520</v>
      </c>
      <c r="AI292">
        <v>38990</v>
      </c>
      <c r="AJ292">
        <v>2530410</v>
      </c>
      <c r="AK292">
        <v>8.1354934387958608E-9</v>
      </c>
      <c r="AL292">
        <v>0.42974545528654112</v>
      </c>
    </row>
    <row r="293" spans="21:38">
      <c r="U293">
        <v>1.8378378378378562E-2</v>
      </c>
      <c r="V293">
        <v>18.46</v>
      </c>
      <c r="W293">
        <v>18.37</v>
      </c>
      <c r="X293">
        <f t="shared" si="4"/>
        <v>4.8873201194678173E-3</v>
      </c>
      <c r="Y293">
        <v>473500</v>
      </c>
      <c r="Z293">
        <v>251250000</v>
      </c>
      <c r="AA293">
        <v>8811835</v>
      </c>
      <c r="AB293">
        <v>125625000</v>
      </c>
      <c r="AC293">
        <v>3.7691542288557215E-3</v>
      </c>
      <c r="AD293">
        <v>73085.5</v>
      </c>
      <c r="AE293">
        <v>0.21590000000000001</v>
      </c>
      <c r="AF293">
        <v>5888160</v>
      </c>
      <c r="AG293">
        <v>3914640</v>
      </c>
      <c r="AH293">
        <v>418520</v>
      </c>
      <c r="AI293">
        <v>38990</v>
      </c>
      <c r="AJ293">
        <v>2530410</v>
      </c>
      <c r="AK293">
        <v>4.2847151364893525E-10</v>
      </c>
      <c r="AL293">
        <v>0.42974545528654112</v>
      </c>
    </row>
    <row r="294" spans="21:38">
      <c r="U294">
        <v>1.894451962110949E-2</v>
      </c>
      <c r="V294">
        <v>18.45</v>
      </c>
      <c r="W294">
        <v>18.41</v>
      </c>
      <c r="X294">
        <f t="shared" si="4"/>
        <v>2.1703743895821566E-3</v>
      </c>
      <c r="Y294">
        <v>269500</v>
      </c>
      <c r="Z294">
        <v>251250000</v>
      </c>
      <c r="AA294">
        <v>4996530</v>
      </c>
      <c r="AB294">
        <v>125625000</v>
      </c>
      <c r="AC294">
        <v>2.1452736318407959E-3</v>
      </c>
      <c r="AD294">
        <v>72658.05</v>
      </c>
      <c r="AE294">
        <v>0.21590000000000001</v>
      </c>
      <c r="AF294">
        <v>5888160</v>
      </c>
      <c r="AG294">
        <v>3914640</v>
      </c>
      <c r="AH294">
        <v>418520</v>
      </c>
      <c r="AI294">
        <v>38990</v>
      </c>
      <c r="AJ294">
        <v>2530410</v>
      </c>
      <c r="AK294">
        <v>1.3038364585934413E-9</v>
      </c>
      <c r="AL294">
        <v>0.42974545528654112</v>
      </c>
    </row>
    <row r="295" spans="21:38">
      <c r="U295">
        <v>1.954397394136824E-2</v>
      </c>
      <c r="V295">
        <v>18.399999999999999</v>
      </c>
      <c r="W295">
        <v>18.260000000000002</v>
      </c>
      <c r="X295">
        <f t="shared" si="4"/>
        <v>7.6377523186032205E-3</v>
      </c>
      <c r="Y295">
        <v>549500</v>
      </c>
      <c r="Z295">
        <v>251250000</v>
      </c>
      <c r="AA295">
        <v>10121790.000000002</v>
      </c>
      <c r="AB295">
        <v>125625000</v>
      </c>
      <c r="AC295">
        <v>4.3741293532338311E-3</v>
      </c>
      <c r="AD295">
        <v>72601.820000000007</v>
      </c>
      <c r="AE295">
        <v>0.21590000000000001</v>
      </c>
      <c r="AF295">
        <v>5888160</v>
      </c>
      <c r="AG295">
        <v>3914640</v>
      </c>
      <c r="AH295">
        <v>418520</v>
      </c>
      <c r="AI295">
        <v>38990</v>
      </c>
      <c r="AJ295">
        <v>2530410</v>
      </c>
      <c r="AK295">
        <v>3.7402773407417799E-10</v>
      </c>
      <c r="AL295">
        <v>0.42974545528654112</v>
      </c>
    </row>
    <row r="296" spans="21:38">
      <c r="U296">
        <v>1.6304347826086998E-2</v>
      </c>
      <c r="V296">
        <v>18.399999999999999</v>
      </c>
      <c r="W296">
        <v>18.27</v>
      </c>
      <c r="X296">
        <f t="shared" si="4"/>
        <v>7.09026452140709E-3</v>
      </c>
      <c r="Y296">
        <v>150500</v>
      </c>
      <c r="Z296">
        <v>251250000</v>
      </c>
      <c r="AA296">
        <v>2782744.9999999995</v>
      </c>
      <c r="AB296">
        <v>125625000</v>
      </c>
      <c r="AC296">
        <v>1.1980099502487563E-3</v>
      </c>
      <c r="AD296">
        <v>72761.2</v>
      </c>
      <c r="AE296">
        <v>0.21590000000000001</v>
      </c>
      <c r="AF296">
        <v>5888160</v>
      </c>
      <c r="AG296">
        <v>3914640</v>
      </c>
      <c r="AH296">
        <v>418520</v>
      </c>
      <c r="AI296">
        <v>38990</v>
      </c>
      <c r="AJ296">
        <v>2530410</v>
      </c>
      <c r="AK296">
        <v>1.9424724167705812E-10</v>
      </c>
      <c r="AL296">
        <v>0.42974545528654112</v>
      </c>
    </row>
    <row r="297" spans="21:38">
      <c r="U297">
        <v>2.5564318738101846E-2</v>
      </c>
      <c r="V297">
        <v>18.47</v>
      </c>
      <c r="W297">
        <v>18.350000000000001</v>
      </c>
      <c r="X297">
        <f t="shared" si="4"/>
        <v>6.5181966322649344E-3</v>
      </c>
      <c r="Y297">
        <v>260000</v>
      </c>
      <c r="Z297">
        <v>251250000</v>
      </c>
      <c r="AA297">
        <v>4810000</v>
      </c>
      <c r="AB297">
        <v>125625000</v>
      </c>
      <c r="AC297">
        <v>2.0696517412935322E-3</v>
      </c>
      <c r="AD297">
        <v>72764.240000000005</v>
      </c>
      <c r="AE297">
        <v>0.21590000000000001</v>
      </c>
      <c r="AF297">
        <v>5888160</v>
      </c>
      <c r="AG297">
        <v>3914640</v>
      </c>
      <c r="AH297">
        <v>418520</v>
      </c>
      <c r="AI297">
        <v>38990</v>
      </c>
      <c r="AJ297">
        <v>2530410</v>
      </c>
      <c r="AK297">
        <v>5.6037791886849284E-10</v>
      </c>
      <c r="AL297">
        <v>0.42974545528654112</v>
      </c>
    </row>
    <row r="298" spans="21:38">
      <c r="U298">
        <v>2.6637673280782929E-2</v>
      </c>
      <c r="V298">
        <v>18.23</v>
      </c>
      <c r="W298">
        <v>18.2</v>
      </c>
      <c r="X298">
        <f t="shared" si="4"/>
        <v>1.646994235520238E-3</v>
      </c>
      <c r="Y298">
        <v>569000</v>
      </c>
      <c r="Z298">
        <v>251250000</v>
      </c>
      <c r="AA298">
        <v>10554950</v>
      </c>
      <c r="AB298">
        <v>125625000</v>
      </c>
      <c r="AC298">
        <v>4.529353233830846E-3</v>
      </c>
      <c r="AD298">
        <v>71902.09</v>
      </c>
      <c r="AE298">
        <v>0.21590000000000001</v>
      </c>
      <c r="AF298">
        <v>5888160</v>
      </c>
      <c r="AG298">
        <v>3914640</v>
      </c>
      <c r="AH298">
        <v>418520</v>
      </c>
      <c r="AI298">
        <v>38990</v>
      </c>
      <c r="AJ298">
        <v>2530410</v>
      </c>
      <c r="AK298">
        <v>5.1350827815783901E-10</v>
      </c>
      <c r="AL298">
        <v>0.42974545528654112</v>
      </c>
    </row>
    <row r="299" spans="21:38">
      <c r="U299">
        <v>3.1676679410158483E-2</v>
      </c>
      <c r="V299">
        <v>18.190000000000001</v>
      </c>
      <c r="W299">
        <v>18.16</v>
      </c>
      <c r="X299">
        <f t="shared" si="4"/>
        <v>1.6506189821183569E-3</v>
      </c>
      <c r="Y299">
        <v>236500</v>
      </c>
      <c r="Z299">
        <v>251250000</v>
      </c>
      <c r="AA299">
        <v>4363425</v>
      </c>
      <c r="AB299">
        <v>125625000</v>
      </c>
      <c r="AC299">
        <v>1.8825870646766169E-3</v>
      </c>
      <c r="AD299">
        <v>70657.64</v>
      </c>
      <c r="AE299">
        <v>0.21590000000000001</v>
      </c>
      <c r="AF299">
        <v>5888160</v>
      </c>
      <c r="AG299">
        <v>3914640</v>
      </c>
      <c r="AH299">
        <v>418520</v>
      </c>
      <c r="AI299">
        <v>38990</v>
      </c>
      <c r="AJ299">
        <v>2530410</v>
      </c>
      <c r="AK299">
        <v>1.2489251632957675E-9</v>
      </c>
      <c r="AL299">
        <v>0.42974545528654112</v>
      </c>
    </row>
    <row r="300" spans="21:38">
      <c r="U300">
        <v>2.6286966046002218E-2</v>
      </c>
      <c r="V300">
        <v>18.2</v>
      </c>
      <c r="W300">
        <v>18.190000000000001</v>
      </c>
      <c r="X300">
        <f t="shared" si="4"/>
        <v>5.4960153888419956E-4</v>
      </c>
      <c r="Y300">
        <v>401000</v>
      </c>
      <c r="Z300">
        <v>251250000</v>
      </c>
      <c r="AA300">
        <v>7358350.0000000009</v>
      </c>
      <c r="AB300">
        <v>125625000</v>
      </c>
      <c r="AC300">
        <v>3.1920398009950249E-3</v>
      </c>
      <c r="AD300">
        <v>71102.55</v>
      </c>
      <c r="AE300">
        <v>0.21590000000000001</v>
      </c>
      <c r="AF300">
        <v>5888160</v>
      </c>
      <c r="AG300">
        <v>3914640</v>
      </c>
      <c r="AH300">
        <v>418520</v>
      </c>
      <c r="AI300">
        <v>38990</v>
      </c>
      <c r="AJ300">
        <v>2530410</v>
      </c>
      <c r="AK300">
        <v>5.1644963276631718E-10</v>
      </c>
      <c r="AL300">
        <v>0.42974545528654112</v>
      </c>
    </row>
    <row r="301" spans="21:38">
      <c r="U301">
        <v>3.2786885245901717E-2</v>
      </c>
      <c r="V301">
        <v>18.27</v>
      </c>
      <c r="W301">
        <v>18.18</v>
      </c>
      <c r="X301">
        <f t="shared" si="4"/>
        <v>4.9382716049382637E-3</v>
      </c>
      <c r="Y301">
        <v>548000</v>
      </c>
      <c r="Z301">
        <v>251250000</v>
      </c>
      <c r="AA301">
        <v>10094160.000000002</v>
      </c>
      <c r="AB301">
        <v>125625000</v>
      </c>
      <c r="AC301">
        <v>4.3621890547263682E-3</v>
      </c>
      <c r="AD301">
        <v>71695.03</v>
      </c>
      <c r="AE301">
        <v>0.21640000000000001</v>
      </c>
      <c r="AF301">
        <v>5888160</v>
      </c>
      <c r="AG301">
        <v>3914640</v>
      </c>
      <c r="AH301">
        <v>418520</v>
      </c>
      <c r="AI301">
        <v>38990</v>
      </c>
      <c r="AJ301">
        <v>2530410</v>
      </c>
      <c r="AK301">
        <v>7.0414072400998571E-10</v>
      </c>
      <c r="AL301">
        <v>0.42974545528654112</v>
      </c>
    </row>
    <row r="302" spans="21:38">
      <c r="U302">
        <v>5.5248618784530384E-2</v>
      </c>
      <c r="V302">
        <v>18.3</v>
      </c>
      <c r="W302">
        <v>18.21</v>
      </c>
      <c r="X302">
        <f t="shared" si="4"/>
        <v>4.9301561216105088E-3</v>
      </c>
      <c r="Y302">
        <v>1015500</v>
      </c>
      <c r="Z302">
        <v>251250000</v>
      </c>
      <c r="AA302">
        <v>18573495</v>
      </c>
      <c r="AB302">
        <v>125625000</v>
      </c>
      <c r="AC302">
        <v>8.0835820895522395E-3</v>
      </c>
      <c r="AD302">
        <v>72742.75</v>
      </c>
      <c r="AE302">
        <v>0.21640000000000001</v>
      </c>
      <c r="AF302">
        <v>5888160</v>
      </c>
      <c r="AG302">
        <v>3914640</v>
      </c>
      <c r="AH302">
        <v>418520</v>
      </c>
      <c r="AI302">
        <v>38990</v>
      </c>
      <c r="AJ302">
        <v>2530410</v>
      </c>
      <c r="AK302">
        <v>1.760441300031305E-10</v>
      </c>
      <c r="AL302">
        <v>0.42974545528654112</v>
      </c>
    </row>
    <row r="303" spans="21:38">
      <c r="U303">
        <v>-2.1989809600429074E-2</v>
      </c>
      <c r="V303">
        <v>18.95</v>
      </c>
      <c r="W303">
        <v>18.86</v>
      </c>
      <c r="X303">
        <f t="shared" si="4"/>
        <v>4.7606453319227636E-3</v>
      </c>
      <c r="Y303">
        <v>228500</v>
      </c>
      <c r="Z303">
        <v>251250000</v>
      </c>
      <c r="AA303">
        <v>4192975.0000000005</v>
      </c>
      <c r="AB303">
        <v>125625000</v>
      </c>
      <c r="AC303">
        <v>1.818905472636816E-3</v>
      </c>
      <c r="AD303">
        <v>71971.399999999994</v>
      </c>
      <c r="AE303">
        <v>0.21640000000000001</v>
      </c>
      <c r="AF303">
        <v>5888160</v>
      </c>
      <c r="AG303">
        <v>3914640</v>
      </c>
      <c r="AH303">
        <v>418520</v>
      </c>
      <c r="AI303">
        <v>38990</v>
      </c>
      <c r="AJ303">
        <v>2530410</v>
      </c>
      <c r="AK303">
        <v>2.5965612188333102E-10</v>
      </c>
      <c r="AL303">
        <v>0.42974545528654112</v>
      </c>
    </row>
    <row r="304" spans="21:38">
      <c r="U304">
        <v>-2.1930997592939296E-2</v>
      </c>
      <c r="V304">
        <v>18.97</v>
      </c>
      <c r="W304">
        <v>18.95</v>
      </c>
      <c r="X304">
        <f t="shared" si="4"/>
        <v>1.0548523206750828E-3</v>
      </c>
      <c r="Y304">
        <v>357000</v>
      </c>
      <c r="Z304">
        <v>251250000</v>
      </c>
      <c r="AA304">
        <v>6558090</v>
      </c>
      <c r="AB304">
        <v>125625000</v>
      </c>
      <c r="AC304">
        <v>2.8417910447761192E-3</v>
      </c>
      <c r="AD304">
        <v>72051.89</v>
      </c>
      <c r="AE304">
        <v>0.21640000000000001</v>
      </c>
      <c r="AF304">
        <v>5888160</v>
      </c>
      <c r="AG304">
        <v>3914640</v>
      </c>
      <c r="AH304">
        <v>418520</v>
      </c>
      <c r="AI304">
        <v>38990</v>
      </c>
      <c r="AJ304">
        <v>2530410</v>
      </c>
      <c r="AK304">
        <v>1.3397774518618412E-9</v>
      </c>
      <c r="AL304">
        <v>0.42974545528654112</v>
      </c>
    </row>
    <row r="305" spans="21:38">
      <c r="U305">
        <v>-3.0669895076674752E-2</v>
      </c>
      <c r="V305">
        <v>18.95</v>
      </c>
      <c r="W305">
        <v>18.920000000000002</v>
      </c>
      <c r="X305">
        <f t="shared" si="4"/>
        <v>1.5843675732768725E-3</v>
      </c>
      <c r="Y305">
        <v>385000</v>
      </c>
      <c r="Z305">
        <v>251250000</v>
      </c>
      <c r="AA305">
        <v>7010850</v>
      </c>
      <c r="AB305">
        <v>125625000</v>
      </c>
      <c r="AC305">
        <v>3.0646766169154229E-3</v>
      </c>
      <c r="AD305">
        <v>71359.41</v>
      </c>
      <c r="AE305">
        <v>0.21640000000000001</v>
      </c>
      <c r="AF305">
        <v>5888160</v>
      </c>
      <c r="AG305">
        <v>3914640</v>
      </c>
      <c r="AH305">
        <v>418520</v>
      </c>
      <c r="AI305">
        <v>38990</v>
      </c>
      <c r="AJ305">
        <v>2530410</v>
      </c>
      <c r="AK305">
        <v>3.1400342755935736E-10</v>
      </c>
      <c r="AL305">
        <v>0.42974545528654112</v>
      </c>
    </row>
    <row r="306" spans="21:38">
      <c r="U306">
        <v>-1.8691588785046613E-2</v>
      </c>
      <c r="V306">
        <v>19</v>
      </c>
      <c r="W306">
        <v>18.95</v>
      </c>
      <c r="X306">
        <f t="shared" si="4"/>
        <v>2.6350461133070203E-3</v>
      </c>
      <c r="Y306">
        <v>348500</v>
      </c>
      <c r="Z306">
        <v>251250000</v>
      </c>
      <c r="AA306">
        <v>6332245.0000000009</v>
      </c>
      <c r="AB306">
        <v>125625000</v>
      </c>
      <c r="AC306">
        <v>2.7741293532338308E-3</v>
      </c>
      <c r="AD306">
        <v>71433.460000000006</v>
      </c>
      <c r="AE306">
        <v>0.21640000000000001</v>
      </c>
      <c r="AF306">
        <v>5888160</v>
      </c>
      <c r="AG306">
        <v>3914640</v>
      </c>
      <c r="AH306">
        <v>418520</v>
      </c>
      <c r="AI306">
        <v>38990</v>
      </c>
      <c r="AJ306">
        <v>2530410</v>
      </c>
      <c r="AK306">
        <v>2.6117178798702398E-10</v>
      </c>
      <c r="AL306">
        <v>0.42974545528654112</v>
      </c>
    </row>
    <row r="307" spans="21:38">
      <c r="U307">
        <v>-1.6889131026968252E-2</v>
      </c>
      <c r="V307">
        <v>18.850000000000001</v>
      </c>
      <c r="W307">
        <v>18.829999999999998</v>
      </c>
      <c r="X307">
        <f t="shared" si="4"/>
        <v>1.0615711252655586E-3</v>
      </c>
      <c r="Y307">
        <v>898500</v>
      </c>
      <c r="Z307">
        <v>251250000</v>
      </c>
      <c r="AA307">
        <v>16298790</v>
      </c>
      <c r="AB307">
        <v>125625000</v>
      </c>
      <c r="AC307">
        <v>7.1522388059701491E-3</v>
      </c>
      <c r="AD307">
        <v>70909.899999999994</v>
      </c>
      <c r="AE307">
        <v>0.21640000000000001</v>
      </c>
      <c r="AF307">
        <v>5888160</v>
      </c>
      <c r="AG307">
        <v>3914640</v>
      </c>
      <c r="AH307">
        <v>418520</v>
      </c>
      <c r="AI307">
        <v>38990</v>
      </c>
      <c r="AJ307">
        <v>2530410</v>
      </c>
      <c r="AK307">
        <v>1.6864828963527708E-10</v>
      </c>
      <c r="AL307">
        <v>0.42974545528654112</v>
      </c>
    </row>
    <row r="308" spans="21:38">
      <c r="U308">
        <v>-0.10278701099463043</v>
      </c>
      <c r="V308">
        <v>20.61</v>
      </c>
      <c r="W308">
        <v>20.6</v>
      </c>
      <c r="X308">
        <f t="shared" si="4"/>
        <v>4.8531909730638247E-4</v>
      </c>
      <c r="Y308">
        <v>396500</v>
      </c>
      <c r="Z308">
        <v>251250000</v>
      </c>
      <c r="AA308">
        <v>7212335.0000000009</v>
      </c>
      <c r="AB308">
        <v>125625000</v>
      </c>
      <c r="AC308">
        <v>3.1562189054726367E-3</v>
      </c>
      <c r="AD308">
        <v>70290.12</v>
      </c>
      <c r="AE308">
        <v>0.21640000000000001</v>
      </c>
      <c r="AF308">
        <v>5888160</v>
      </c>
      <c r="AG308">
        <v>3914640</v>
      </c>
      <c r="AH308">
        <v>418520</v>
      </c>
      <c r="AI308">
        <v>38990</v>
      </c>
      <c r="AJ308">
        <v>2530410</v>
      </c>
      <c r="AK308">
        <v>2.2829531091543021E-10</v>
      </c>
      <c r="AL308">
        <v>0.42974545528654112</v>
      </c>
    </row>
    <row r="309" spans="21:38">
      <c r="U309">
        <v>-6.8268015170669938E-2</v>
      </c>
      <c r="V309">
        <v>20.62</v>
      </c>
      <c r="W309">
        <v>20.6</v>
      </c>
      <c r="X309">
        <f t="shared" si="4"/>
        <v>9.7040271712758733E-4</v>
      </c>
      <c r="Y309">
        <v>331500</v>
      </c>
      <c r="Z309">
        <v>251250000</v>
      </c>
      <c r="AA309">
        <v>6039930</v>
      </c>
      <c r="AB309">
        <v>125625000</v>
      </c>
      <c r="AC309">
        <v>2.6388059701492536E-3</v>
      </c>
      <c r="AD309">
        <v>70333.320000000007</v>
      </c>
      <c r="AE309">
        <v>0.21640000000000001</v>
      </c>
      <c r="AF309">
        <v>5888160</v>
      </c>
      <c r="AG309">
        <v>3914640</v>
      </c>
      <c r="AH309">
        <v>418520</v>
      </c>
      <c r="AI309">
        <v>38990</v>
      </c>
      <c r="AJ309">
        <v>2530410</v>
      </c>
      <c r="AK309">
        <v>6.3779592545995183E-9</v>
      </c>
      <c r="AL309">
        <v>0.42974545528654112</v>
      </c>
    </row>
    <row r="310" spans="21:38">
      <c r="U310">
        <v>-7.5949367088607597E-2</v>
      </c>
      <c r="V310">
        <v>20.7</v>
      </c>
      <c r="W310">
        <v>20.68</v>
      </c>
      <c r="X310">
        <f t="shared" si="4"/>
        <v>9.6665055582404911E-4</v>
      </c>
      <c r="Y310">
        <v>407000</v>
      </c>
      <c r="Z310">
        <v>251250000</v>
      </c>
      <c r="AA310">
        <v>7712650</v>
      </c>
      <c r="AB310">
        <v>125625000</v>
      </c>
      <c r="AC310">
        <v>3.2398009950248756E-3</v>
      </c>
      <c r="AD310">
        <v>70483.66</v>
      </c>
      <c r="AE310">
        <v>0.216</v>
      </c>
      <c r="AF310">
        <v>5888160</v>
      </c>
      <c r="AG310">
        <v>3914640</v>
      </c>
      <c r="AH310">
        <v>418520</v>
      </c>
      <c r="AI310">
        <v>38990</v>
      </c>
      <c r="AJ310">
        <v>2530410</v>
      </c>
      <c r="AK310">
        <v>0</v>
      </c>
      <c r="AL310">
        <v>0.42974545528654112</v>
      </c>
    </row>
    <row r="311" spans="21:38">
      <c r="U311">
        <v>-6.1099796334012184E-2</v>
      </c>
      <c r="V311">
        <v>20.6</v>
      </c>
      <c r="W311">
        <v>20.55</v>
      </c>
      <c r="X311">
        <f t="shared" si="4"/>
        <v>2.4301336573511884E-3</v>
      </c>
      <c r="Y311">
        <v>263500</v>
      </c>
      <c r="Z311">
        <v>251250000</v>
      </c>
      <c r="AA311">
        <v>4993325</v>
      </c>
      <c r="AB311">
        <v>125625000</v>
      </c>
      <c r="AC311">
        <v>2.0975124378109452E-3</v>
      </c>
      <c r="AD311">
        <v>70544.58</v>
      </c>
      <c r="AE311">
        <v>0.216</v>
      </c>
      <c r="AF311">
        <v>5888160</v>
      </c>
      <c r="AG311">
        <v>3914640</v>
      </c>
      <c r="AH311">
        <v>418520</v>
      </c>
      <c r="AI311">
        <v>38990</v>
      </c>
      <c r="AJ311">
        <v>2530410</v>
      </c>
      <c r="AK311">
        <v>0</v>
      </c>
      <c r="AL311">
        <v>0.42974545528654112</v>
      </c>
    </row>
    <row r="312" spans="21:38">
      <c r="U312">
        <v>-5.7462496821764505E-2</v>
      </c>
      <c r="V312">
        <v>20.48</v>
      </c>
      <c r="W312">
        <v>20.41</v>
      </c>
      <c r="X312">
        <f t="shared" si="4"/>
        <v>3.4238200048911853E-3</v>
      </c>
      <c r="Y312">
        <v>217500</v>
      </c>
      <c r="Z312">
        <v>251250000</v>
      </c>
      <c r="AA312">
        <v>4121625</v>
      </c>
      <c r="AB312">
        <v>125625000</v>
      </c>
      <c r="AC312">
        <v>1.7313432835820897E-3</v>
      </c>
      <c r="AD312">
        <v>70314.720000000001</v>
      </c>
      <c r="AE312">
        <v>0.216</v>
      </c>
      <c r="AF312">
        <v>5888160</v>
      </c>
      <c r="AG312">
        <v>3914640</v>
      </c>
      <c r="AH312">
        <v>418520</v>
      </c>
      <c r="AI312">
        <v>38990</v>
      </c>
      <c r="AJ312">
        <v>2530410</v>
      </c>
      <c r="AK312">
        <v>1.2810071380597449E-10</v>
      </c>
      <c r="AL312">
        <v>0.42974545528654112</v>
      </c>
    </row>
    <row r="313" spans="21:38">
      <c r="U313">
        <v>-4.1315990818668824E-2</v>
      </c>
      <c r="V313">
        <v>20.41</v>
      </c>
      <c r="W313">
        <v>20.350000000000001</v>
      </c>
      <c r="X313">
        <f t="shared" si="4"/>
        <v>2.9440628066731457E-3</v>
      </c>
      <c r="Y313">
        <v>184500</v>
      </c>
      <c r="Z313">
        <v>251250000</v>
      </c>
      <c r="AA313">
        <v>3494430.0000000005</v>
      </c>
      <c r="AB313">
        <v>125625000</v>
      </c>
      <c r="AC313">
        <v>1.4686567164179105E-3</v>
      </c>
      <c r="AD313">
        <v>69619.990000000005</v>
      </c>
      <c r="AE313">
        <v>0.216</v>
      </c>
      <c r="AF313">
        <v>5888160</v>
      </c>
      <c r="AG313">
        <v>3914640</v>
      </c>
      <c r="AH313">
        <v>418520</v>
      </c>
      <c r="AI313">
        <v>38990</v>
      </c>
      <c r="AJ313">
        <v>2530410</v>
      </c>
      <c r="AK313">
        <v>3.0250497289436814E-10</v>
      </c>
      <c r="AL313">
        <v>0.42974545528654112</v>
      </c>
    </row>
    <row r="314" spans="21:38">
      <c r="U314">
        <v>-4.2206966692092465E-2</v>
      </c>
      <c r="V314">
        <v>20.34</v>
      </c>
      <c r="W314">
        <v>20.3</v>
      </c>
      <c r="X314">
        <f t="shared" si="4"/>
        <v>1.9685039370078319E-3</v>
      </c>
      <c r="Y314">
        <v>220500</v>
      </c>
      <c r="Z314">
        <v>251250000</v>
      </c>
      <c r="AA314">
        <v>4171860.0000000005</v>
      </c>
      <c r="AB314">
        <v>125625000</v>
      </c>
      <c r="AC314">
        <v>1.755223880597015E-3</v>
      </c>
      <c r="AD314">
        <v>68416.78</v>
      </c>
      <c r="AE314">
        <v>0.216</v>
      </c>
      <c r="AF314">
        <v>5888160</v>
      </c>
      <c r="AG314">
        <v>3914640</v>
      </c>
      <c r="AH314">
        <v>418520</v>
      </c>
      <c r="AI314">
        <v>38990</v>
      </c>
      <c r="AJ314">
        <v>2530410</v>
      </c>
      <c r="AK314">
        <v>2.0187809840242979E-8</v>
      </c>
      <c r="AL314">
        <v>0.42974545528654112</v>
      </c>
    </row>
    <row r="315" spans="21:38">
      <c r="U315">
        <v>3.9793662490788612E-2</v>
      </c>
      <c r="V315">
        <v>20.170000000000002</v>
      </c>
      <c r="W315">
        <v>20.11</v>
      </c>
      <c r="X315">
        <f t="shared" si="4"/>
        <v>2.9791459781530424E-3</v>
      </c>
      <c r="Y315">
        <v>239500</v>
      </c>
      <c r="Z315">
        <v>251250000</v>
      </c>
      <c r="AA315">
        <v>4948070</v>
      </c>
      <c r="AB315">
        <v>125625000</v>
      </c>
      <c r="AC315">
        <v>1.9064676616915423E-3</v>
      </c>
      <c r="AD315">
        <v>67756.039999999994</v>
      </c>
      <c r="AE315">
        <v>0.216</v>
      </c>
      <c r="AF315">
        <v>5888160</v>
      </c>
      <c r="AG315">
        <v>3914640</v>
      </c>
      <c r="AH315">
        <v>418520</v>
      </c>
      <c r="AI315">
        <v>38990</v>
      </c>
      <c r="AJ315">
        <v>2530410</v>
      </c>
      <c r="AK315">
        <v>3.92044617296298E-10</v>
      </c>
      <c r="AL315">
        <v>0.42974545528654112</v>
      </c>
    </row>
    <row r="316" spans="21:38">
      <c r="U316">
        <v>4.1738276454701587E-2</v>
      </c>
      <c r="V316">
        <v>20.07</v>
      </c>
      <c r="W316">
        <v>20</v>
      </c>
      <c r="X316">
        <f t="shared" si="4"/>
        <v>3.4938857000249707E-3</v>
      </c>
      <c r="Y316">
        <v>233000</v>
      </c>
      <c r="Z316">
        <v>251250000</v>
      </c>
      <c r="AA316">
        <v>4804460</v>
      </c>
      <c r="AB316">
        <v>125625000</v>
      </c>
      <c r="AC316">
        <v>1.854726368159204E-3</v>
      </c>
      <c r="AD316">
        <v>66886.259999999995</v>
      </c>
      <c r="AE316">
        <v>0.216</v>
      </c>
      <c r="AF316">
        <v>5888160</v>
      </c>
      <c r="AG316">
        <v>3914640</v>
      </c>
      <c r="AH316">
        <v>418520</v>
      </c>
      <c r="AI316">
        <v>38990</v>
      </c>
      <c r="AJ316">
        <v>2530410</v>
      </c>
      <c r="AK316">
        <v>7.0419504905530637E-10</v>
      </c>
      <c r="AL316">
        <v>0.42974545528654112</v>
      </c>
    </row>
    <row r="317" spans="21:38">
      <c r="U317">
        <v>6.3877197326070764E-2</v>
      </c>
      <c r="V317">
        <v>20.100000000000001</v>
      </c>
      <c r="W317">
        <v>20</v>
      </c>
      <c r="X317">
        <f t="shared" si="4"/>
        <v>4.9875311720698964E-3</v>
      </c>
      <c r="Y317">
        <v>415000</v>
      </c>
      <c r="Z317">
        <v>251250000</v>
      </c>
      <c r="AA317">
        <v>8586350</v>
      </c>
      <c r="AB317">
        <v>125625000</v>
      </c>
      <c r="AC317">
        <v>3.3034825870646768E-3</v>
      </c>
      <c r="AD317">
        <v>66796.320000000007</v>
      </c>
      <c r="AE317">
        <v>0.216</v>
      </c>
      <c r="AF317">
        <v>5888160</v>
      </c>
      <c r="AG317">
        <v>3914640</v>
      </c>
      <c r="AH317">
        <v>418520</v>
      </c>
      <c r="AI317">
        <v>38990</v>
      </c>
      <c r="AJ317">
        <v>2530410</v>
      </c>
      <c r="AK317">
        <v>4.5206762693234281E-10</v>
      </c>
      <c r="AL317">
        <v>0.42974545528654112</v>
      </c>
    </row>
    <row r="318" spans="21:38">
      <c r="U318">
        <v>6.6567312468951798E-2</v>
      </c>
      <c r="V318">
        <v>19.809999999999999</v>
      </c>
      <c r="W318">
        <v>19.600000000000001</v>
      </c>
      <c r="X318">
        <f t="shared" si="4"/>
        <v>1.06571936056837E-2</v>
      </c>
      <c r="Y318">
        <v>1022500</v>
      </c>
      <c r="Z318">
        <v>251250000</v>
      </c>
      <c r="AA318">
        <v>21073725</v>
      </c>
      <c r="AB318">
        <v>125625000</v>
      </c>
      <c r="AC318">
        <v>8.1393034825870646E-3</v>
      </c>
      <c r="AD318">
        <v>67005.11</v>
      </c>
      <c r="AE318">
        <v>0.216</v>
      </c>
      <c r="AF318">
        <v>5888160</v>
      </c>
      <c r="AG318">
        <v>3914640</v>
      </c>
      <c r="AH318">
        <v>418520</v>
      </c>
      <c r="AI318">
        <v>38990</v>
      </c>
      <c r="AJ318">
        <v>2530410</v>
      </c>
      <c r="AK318">
        <v>3.0121187640058657E-10</v>
      </c>
      <c r="AL318">
        <v>0.42974545528654112</v>
      </c>
    </row>
    <row r="319" spans="21:38">
      <c r="U319">
        <v>2.4703557312252968E-2</v>
      </c>
      <c r="V319">
        <v>20.05</v>
      </c>
      <c r="W319">
        <v>20.010000000000002</v>
      </c>
      <c r="X319">
        <f t="shared" si="4"/>
        <v>1.997004493260067E-3</v>
      </c>
      <c r="Y319">
        <v>475000</v>
      </c>
      <c r="Z319">
        <v>251250000</v>
      </c>
      <c r="AA319">
        <v>9728000</v>
      </c>
      <c r="AB319">
        <v>125625000</v>
      </c>
      <c r="AC319">
        <v>3.781094527363184E-3</v>
      </c>
      <c r="AD319">
        <v>67142.12</v>
      </c>
      <c r="AE319">
        <v>0.216</v>
      </c>
      <c r="AF319">
        <v>5888160</v>
      </c>
      <c r="AG319">
        <v>3914640</v>
      </c>
      <c r="AH319">
        <v>418520</v>
      </c>
      <c r="AI319">
        <v>38990</v>
      </c>
      <c r="AJ319">
        <v>2530410</v>
      </c>
      <c r="AK319">
        <v>6.0587064419398712E-10</v>
      </c>
      <c r="AL319">
        <v>0.42974545528654112</v>
      </c>
    </row>
    <row r="320" spans="21:38">
      <c r="U320">
        <v>1.5748031496063006E-2</v>
      </c>
      <c r="V320">
        <v>20.239999999999998</v>
      </c>
      <c r="W320">
        <v>20.22</v>
      </c>
      <c r="X320">
        <f t="shared" si="4"/>
        <v>9.8863074641619263E-4</v>
      </c>
      <c r="Y320">
        <v>211500</v>
      </c>
      <c r="Z320">
        <v>251250000</v>
      </c>
      <c r="AA320">
        <v>4306140</v>
      </c>
      <c r="AB320">
        <v>125625000</v>
      </c>
      <c r="AC320">
        <v>1.6835820895522388E-3</v>
      </c>
      <c r="AD320">
        <v>66547.789999999994</v>
      </c>
      <c r="AE320">
        <v>0.216</v>
      </c>
      <c r="AF320">
        <v>5888160</v>
      </c>
      <c r="AG320">
        <v>3914640</v>
      </c>
      <c r="AH320">
        <v>418520</v>
      </c>
      <c r="AI320">
        <v>38990</v>
      </c>
      <c r="AJ320">
        <v>2530410</v>
      </c>
      <c r="AK320">
        <v>9.1608103209424734E-10</v>
      </c>
      <c r="AL320">
        <v>0.42974545528654112</v>
      </c>
    </row>
    <row r="321" spans="21:38">
      <c r="U321">
        <v>4.9261083743843059E-3</v>
      </c>
      <c r="V321">
        <v>20.45</v>
      </c>
      <c r="W321">
        <v>20.260000000000002</v>
      </c>
      <c r="X321">
        <f t="shared" si="4"/>
        <v>9.3343158929008949E-3</v>
      </c>
      <c r="Y321">
        <v>152000</v>
      </c>
      <c r="Z321">
        <v>251250000</v>
      </c>
      <c r="AA321">
        <v>3082560</v>
      </c>
      <c r="AB321">
        <v>125625000</v>
      </c>
      <c r="AC321">
        <v>1.209950248756219E-3</v>
      </c>
      <c r="AD321">
        <v>65906.28</v>
      </c>
      <c r="AE321">
        <v>0.216</v>
      </c>
      <c r="AF321">
        <v>5888160</v>
      </c>
      <c r="AG321">
        <v>3914640</v>
      </c>
      <c r="AH321">
        <v>418520</v>
      </c>
      <c r="AI321">
        <v>38990</v>
      </c>
      <c r="AJ321">
        <v>2530410</v>
      </c>
      <c r="AK321">
        <v>3.0680478281657795E-9</v>
      </c>
      <c r="AL321">
        <v>0.42974545528654112</v>
      </c>
    </row>
    <row r="322" spans="21:38">
      <c r="U322">
        <v>-1.0321946424182889E-2</v>
      </c>
      <c r="V322">
        <v>20.5</v>
      </c>
      <c r="W322">
        <v>20.46</v>
      </c>
      <c r="X322">
        <f t="shared" si="4"/>
        <v>1.9531249999999584E-3</v>
      </c>
      <c r="Y322">
        <v>233000</v>
      </c>
      <c r="Z322">
        <v>251250000</v>
      </c>
      <c r="AA322">
        <v>4680970</v>
      </c>
      <c r="AB322">
        <v>125625000</v>
      </c>
      <c r="AC322">
        <v>1.854726368159204E-3</v>
      </c>
      <c r="AD322">
        <v>65525.65</v>
      </c>
      <c r="AE322">
        <v>0.216</v>
      </c>
      <c r="AF322">
        <v>5888160</v>
      </c>
      <c r="AG322">
        <v>3914640</v>
      </c>
      <c r="AH322">
        <v>418520</v>
      </c>
      <c r="AI322">
        <v>38990</v>
      </c>
      <c r="AJ322">
        <v>2530410</v>
      </c>
      <c r="AK322">
        <v>0</v>
      </c>
      <c r="AL322">
        <v>0.42974545528654112</v>
      </c>
    </row>
    <row r="323" spans="21:38">
      <c r="U323">
        <v>-6.3369102800177726E-2</v>
      </c>
      <c r="V323">
        <v>79.5</v>
      </c>
      <c r="W323">
        <v>79.25</v>
      </c>
      <c r="X323">
        <f t="shared" si="4"/>
        <v>3.1496062992125984E-3</v>
      </c>
      <c r="Y323">
        <v>2940425</v>
      </c>
      <c r="Z323">
        <v>335633933</v>
      </c>
      <c r="AA323">
        <v>91153175</v>
      </c>
      <c r="AB323">
        <v>83908483</v>
      </c>
      <c r="AC323">
        <v>3.5043238715208327E-2</v>
      </c>
      <c r="AD323">
        <v>75983.039999999994</v>
      </c>
      <c r="AE323">
        <v>0.2157</v>
      </c>
      <c r="AF323">
        <v>67110452.420000002</v>
      </c>
      <c r="AG323">
        <v>41420559.380000003</v>
      </c>
      <c r="AH323">
        <v>1359660.69</v>
      </c>
      <c r="AI323">
        <v>98140892</v>
      </c>
      <c r="AJ323">
        <v>258003519</v>
      </c>
      <c r="AK323">
        <v>3.9066362579084067E-11</v>
      </c>
      <c r="AL323">
        <v>3.8444610294880199</v>
      </c>
    </row>
    <row r="324" spans="21:38">
      <c r="U324">
        <v>-3.8803025320618252E-2</v>
      </c>
      <c r="V324">
        <v>76.099999999999994</v>
      </c>
      <c r="W324">
        <v>75.72</v>
      </c>
      <c r="X324">
        <f t="shared" ref="X324:X387" si="5">(V324-W324)/AVERAGE(V324:W324)</f>
        <v>5.005928072717632E-3</v>
      </c>
      <c r="Y324">
        <v>756232</v>
      </c>
      <c r="Z324">
        <v>335633933</v>
      </c>
      <c r="AA324">
        <v>23360006.48</v>
      </c>
      <c r="AB324">
        <v>83908483</v>
      </c>
      <c r="AC324">
        <v>9.0125810044736476E-3</v>
      </c>
      <c r="AD324">
        <v>75114.47</v>
      </c>
      <c r="AE324">
        <v>0.2157</v>
      </c>
      <c r="AF324">
        <v>67110452.420000002</v>
      </c>
      <c r="AG324">
        <v>41420559.380000003</v>
      </c>
      <c r="AH324">
        <v>1359660.69</v>
      </c>
      <c r="AI324">
        <v>98140892</v>
      </c>
      <c r="AJ324">
        <v>258003519</v>
      </c>
      <c r="AK324">
        <v>2.8823158902820666E-9</v>
      </c>
      <c r="AL324">
        <v>3.8444610294880199</v>
      </c>
    </row>
    <row r="325" spans="21:38">
      <c r="U325">
        <v>-3.1783248664843007E-2</v>
      </c>
      <c r="V325">
        <v>76.2</v>
      </c>
      <c r="W325">
        <v>75.7</v>
      </c>
      <c r="X325">
        <f t="shared" si="5"/>
        <v>6.5832784726793945E-3</v>
      </c>
      <c r="Y325">
        <v>341166</v>
      </c>
      <c r="Z325">
        <v>335633933</v>
      </c>
      <c r="AA325">
        <v>11299417.92</v>
      </c>
      <c r="AB325">
        <v>83908483</v>
      </c>
      <c r="AC325">
        <v>4.0659297820936652E-3</v>
      </c>
      <c r="AD325">
        <v>74956.67</v>
      </c>
      <c r="AE325">
        <v>0.2157</v>
      </c>
      <c r="AF325">
        <v>67110452.420000002</v>
      </c>
      <c r="AG325">
        <v>41420559.380000003</v>
      </c>
      <c r="AH325">
        <v>1359660.69</v>
      </c>
      <c r="AI325">
        <v>98140892</v>
      </c>
      <c r="AJ325">
        <v>258003519</v>
      </c>
      <c r="AK325">
        <v>2.2652284959331127E-9</v>
      </c>
      <c r="AL325">
        <v>3.8444610294880199</v>
      </c>
    </row>
    <row r="326" spans="21:38">
      <c r="U326">
        <v>-5.3097345132743404E-2</v>
      </c>
      <c r="V326">
        <v>77.349999999999994</v>
      </c>
      <c r="W326">
        <v>77.150000000000006</v>
      </c>
      <c r="X326">
        <f t="shared" si="5"/>
        <v>2.5889967637538983E-3</v>
      </c>
      <c r="Y326">
        <v>1874139</v>
      </c>
      <c r="Z326">
        <v>335633933</v>
      </c>
      <c r="AA326">
        <v>63701984.610000007</v>
      </c>
      <c r="AB326">
        <v>83908483</v>
      </c>
      <c r="AC326">
        <v>2.2335512846776172E-2</v>
      </c>
      <c r="AD326">
        <v>75206.77</v>
      </c>
      <c r="AE326">
        <v>0.2157</v>
      </c>
      <c r="AF326">
        <v>67110452.420000002</v>
      </c>
      <c r="AG326">
        <v>41420559.380000003</v>
      </c>
      <c r="AH326">
        <v>1359660.69</v>
      </c>
      <c r="AI326">
        <v>98140892</v>
      </c>
      <c r="AJ326">
        <v>258003519</v>
      </c>
      <c r="AK326">
        <v>2.7661846773423344E-11</v>
      </c>
      <c r="AL326">
        <v>3.8444610294880199</v>
      </c>
    </row>
    <row r="327" spans="21:38">
      <c r="U327">
        <v>-3.7155669442665032E-2</v>
      </c>
      <c r="V327">
        <v>79</v>
      </c>
      <c r="W327">
        <v>78.900000000000006</v>
      </c>
      <c r="X327">
        <f t="shared" si="5"/>
        <v>1.266624445851733E-3</v>
      </c>
      <c r="Y327">
        <v>1277816</v>
      </c>
      <c r="Z327">
        <v>335633933</v>
      </c>
      <c r="AA327">
        <v>43509634.799999997</v>
      </c>
      <c r="AB327">
        <v>83908483</v>
      </c>
      <c r="AC327">
        <v>1.5228686710972954E-2</v>
      </c>
      <c r="AD327">
        <v>75084</v>
      </c>
      <c r="AE327">
        <v>0.2157</v>
      </c>
      <c r="AF327">
        <v>67110452.420000002</v>
      </c>
      <c r="AG327">
        <v>41420559.380000003</v>
      </c>
      <c r="AH327">
        <v>1359660.69</v>
      </c>
      <c r="AI327">
        <v>98140892</v>
      </c>
      <c r="AJ327">
        <v>258003519</v>
      </c>
      <c r="AK327">
        <v>9.5737276764632675E-10</v>
      </c>
      <c r="AL327">
        <v>3.8444610294880199</v>
      </c>
    </row>
    <row r="328" spans="21:38">
      <c r="U328">
        <v>-3.1492063492063363E-2</v>
      </c>
      <c r="V328">
        <v>78.94</v>
      </c>
      <c r="W328">
        <v>78.7</v>
      </c>
      <c r="X328">
        <f t="shared" si="5"/>
        <v>3.0449124587667458E-3</v>
      </c>
      <c r="Y328">
        <v>3581577</v>
      </c>
      <c r="Z328">
        <v>335633933</v>
      </c>
      <c r="AA328">
        <v>127253430.81</v>
      </c>
      <c r="AB328">
        <v>83908483</v>
      </c>
      <c r="AC328">
        <v>4.2684325493049374E-2</v>
      </c>
      <c r="AD328">
        <v>75342.350000000006</v>
      </c>
      <c r="AE328">
        <v>0.2157</v>
      </c>
      <c r="AF328">
        <v>67110452.420000002</v>
      </c>
      <c r="AG328">
        <v>41420559.380000003</v>
      </c>
      <c r="AH328">
        <v>1359660.69</v>
      </c>
      <c r="AI328">
        <v>98140892</v>
      </c>
      <c r="AJ328">
        <v>258003519</v>
      </c>
      <c r="AK328">
        <v>3.4470088555905531E-10</v>
      </c>
      <c r="AL328">
        <v>3.8444610294880199</v>
      </c>
    </row>
    <row r="329" spans="21:38">
      <c r="U329">
        <v>-4.499510922725794E-2</v>
      </c>
      <c r="V329">
        <v>77.69</v>
      </c>
      <c r="W329">
        <v>77.25</v>
      </c>
      <c r="X329">
        <f t="shared" si="5"/>
        <v>5.679617916612853E-3</v>
      </c>
      <c r="Y329">
        <v>1402503</v>
      </c>
      <c r="Z329">
        <v>335633933</v>
      </c>
      <c r="AA329">
        <v>52117011.479999997</v>
      </c>
      <c r="AB329">
        <v>83908483</v>
      </c>
      <c r="AC329">
        <v>1.6714674724842778E-2</v>
      </c>
      <c r="AD329">
        <v>74930.7</v>
      </c>
      <c r="AE329">
        <v>0.2157</v>
      </c>
      <c r="AF329">
        <v>67110452.420000002</v>
      </c>
      <c r="AG329">
        <v>41420559.380000003</v>
      </c>
      <c r="AH329">
        <v>1359660.69</v>
      </c>
      <c r="AI329">
        <v>98140892</v>
      </c>
      <c r="AJ329">
        <v>258003519</v>
      </c>
      <c r="AK329">
        <v>5.6967212420402027E-11</v>
      </c>
      <c r="AL329">
        <v>3.8444610294880199</v>
      </c>
    </row>
    <row r="330" spans="21:38">
      <c r="U330">
        <v>-3.5193696651345925E-2</v>
      </c>
      <c r="V330">
        <v>75</v>
      </c>
      <c r="W330">
        <v>74.83</v>
      </c>
      <c r="X330">
        <f t="shared" si="5"/>
        <v>2.2692384702663248E-3</v>
      </c>
      <c r="Y330">
        <v>478695</v>
      </c>
      <c r="Z330">
        <v>335633933</v>
      </c>
      <c r="AA330">
        <v>17735649.75</v>
      </c>
      <c r="AB330">
        <v>83908483</v>
      </c>
      <c r="AC330">
        <v>5.7049654919872645E-3</v>
      </c>
      <c r="AD330">
        <v>74663.98</v>
      </c>
      <c r="AE330">
        <v>0.2157</v>
      </c>
      <c r="AF330">
        <v>67110452.420000002</v>
      </c>
      <c r="AG330">
        <v>41420559.380000003</v>
      </c>
      <c r="AH330">
        <v>1359660.69</v>
      </c>
      <c r="AI330">
        <v>98140892</v>
      </c>
      <c r="AJ330">
        <v>258003519</v>
      </c>
      <c r="AK330">
        <v>5.0671547032412035E-10</v>
      </c>
      <c r="AL330">
        <v>3.8444610294880199</v>
      </c>
    </row>
    <row r="331" spans="21:38">
      <c r="U331">
        <v>-6.3060158617576911E-2</v>
      </c>
      <c r="V331">
        <v>76.989999999999995</v>
      </c>
      <c r="W331">
        <v>76.8</v>
      </c>
      <c r="X331">
        <f t="shared" si="5"/>
        <v>2.4709018791858736E-3</v>
      </c>
      <c r="Y331">
        <v>602695</v>
      </c>
      <c r="Z331">
        <v>335633933</v>
      </c>
      <c r="AA331">
        <v>22130960.399999999</v>
      </c>
      <c r="AB331">
        <v>83908483</v>
      </c>
      <c r="AC331">
        <v>7.1827660142538864E-3</v>
      </c>
      <c r="AD331">
        <v>74531.19</v>
      </c>
      <c r="AE331">
        <v>0.21590000000000001</v>
      </c>
      <c r="AF331">
        <v>67110452.420000002</v>
      </c>
      <c r="AG331">
        <v>41420559.380000003</v>
      </c>
      <c r="AH331">
        <v>1359660.69</v>
      </c>
      <c r="AI331">
        <v>2874936.22</v>
      </c>
      <c r="AJ331">
        <v>27656810.59</v>
      </c>
      <c r="AK331">
        <v>4.2662391545777678E-10</v>
      </c>
      <c r="AL331">
        <v>0.41210883838055934</v>
      </c>
    </row>
    <row r="332" spans="21:38">
      <c r="U332">
        <v>-6.0098896918980529E-2</v>
      </c>
      <c r="V332">
        <v>78</v>
      </c>
      <c r="W332">
        <v>77.86</v>
      </c>
      <c r="X332">
        <f t="shared" si="5"/>
        <v>1.7964840241242212E-3</v>
      </c>
      <c r="Y332">
        <v>2645124</v>
      </c>
      <c r="Z332">
        <v>335633933</v>
      </c>
      <c r="AA332">
        <v>98054746.680000007</v>
      </c>
      <c r="AB332">
        <v>83908483</v>
      </c>
      <c r="AC332">
        <v>3.1523916360161108E-2</v>
      </c>
      <c r="AD332">
        <v>73799.11</v>
      </c>
      <c r="AE332">
        <v>0.21590000000000001</v>
      </c>
      <c r="AF332">
        <v>67110452.420000002</v>
      </c>
      <c r="AG332">
        <v>41420559.380000003</v>
      </c>
      <c r="AH332">
        <v>1359660.69</v>
      </c>
      <c r="AI332">
        <v>2874936.22</v>
      </c>
      <c r="AJ332">
        <v>27656810.59</v>
      </c>
      <c r="AK332">
        <v>5.4225618983532332E-9</v>
      </c>
      <c r="AL332">
        <v>0.41210883838055934</v>
      </c>
    </row>
    <row r="333" spans="21:38">
      <c r="U333">
        <v>-7.2998643147896808E-2</v>
      </c>
      <c r="V333">
        <v>72</v>
      </c>
      <c r="W333">
        <v>76.39</v>
      </c>
      <c r="X333">
        <f t="shared" si="5"/>
        <v>-5.9168407574634423E-2</v>
      </c>
      <c r="Y333">
        <v>3280441</v>
      </c>
      <c r="Z333">
        <v>335633933</v>
      </c>
      <c r="AA333">
        <v>259679709.56</v>
      </c>
      <c r="AB333">
        <v>83908483</v>
      </c>
      <c r="AC333">
        <v>3.9095463089232584E-2</v>
      </c>
      <c r="AD333">
        <v>73085.5</v>
      </c>
      <c r="AE333">
        <v>0.21590000000000001</v>
      </c>
      <c r="AF333">
        <v>67110452.420000002</v>
      </c>
      <c r="AG333">
        <v>41420559.380000003</v>
      </c>
      <c r="AH333">
        <v>1359660.69</v>
      </c>
      <c r="AI333">
        <v>2874936.22</v>
      </c>
      <c r="AJ333">
        <v>27656810.59</v>
      </c>
      <c r="AK333">
        <v>1.5906102108611139E-10</v>
      </c>
      <c r="AL333">
        <v>0.41210883838055934</v>
      </c>
    </row>
    <row r="334" spans="21:38">
      <c r="U334">
        <v>-2.399435426958367E-2</v>
      </c>
      <c r="V334">
        <v>71.739999999999995</v>
      </c>
      <c r="W334">
        <v>71.7</v>
      </c>
      <c r="X334">
        <f t="shared" si="5"/>
        <v>5.5772448410474121E-4</v>
      </c>
      <c r="Y334">
        <v>387017</v>
      </c>
      <c r="Z334">
        <v>335633933</v>
      </c>
      <c r="AA334">
        <v>29421032.34</v>
      </c>
      <c r="AB334">
        <v>83908483</v>
      </c>
      <c r="AC334">
        <v>4.6123703606940434E-3</v>
      </c>
      <c r="AD334">
        <v>72658.05</v>
      </c>
      <c r="AE334">
        <v>0.21590000000000001</v>
      </c>
      <c r="AF334">
        <v>67110452.420000002</v>
      </c>
      <c r="AG334">
        <v>41420559.380000003</v>
      </c>
      <c r="AH334">
        <v>1359660.69</v>
      </c>
      <c r="AI334">
        <v>2874936.22</v>
      </c>
      <c r="AJ334">
        <v>27656810.59</v>
      </c>
      <c r="AK334">
        <v>1.3804113581554741E-10</v>
      </c>
      <c r="AL334">
        <v>0.41210883838055934</v>
      </c>
    </row>
    <row r="335" spans="21:38">
      <c r="U335">
        <v>-4.347826086956514E-2</v>
      </c>
      <c r="V335">
        <v>70.75</v>
      </c>
      <c r="W335">
        <v>70.7</v>
      </c>
      <c r="X335">
        <f t="shared" si="5"/>
        <v>7.069635913750041E-4</v>
      </c>
      <c r="Y335">
        <v>354877</v>
      </c>
      <c r="Z335">
        <v>335633933</v>
      </c>
      <c r="AA335">
        <v>27087761.41</v>
      </c>
      <c r="AB335">
        <v>83908483</v>
      </c>
      <c r="AC335">
        <v>4.2293339995194525E-3</v>
      </c>
      <c r="AD335">
        <v>72601.820000000007</v>
      </c>
      <c r="AE335">
        <v>0.21590000000000001</v>
      </c>
      <c r="AF335">
        <v>67110452.420000002</v>
      </c>
      <c r="AG335">
        <v>41420559.380000003</v>
      </c>
      <c r="AH335">
        <v>1359660.69</v>
      </c>
      <c r="AI335">
        <v>2874936.22</v>
      </c>
      <c r="AJ335">
        <v>27656810.59</v>
      </c>
      <c r="AK335">
        <v>6.3223879217298658E-10</v>
      </c>
      <c r="AL335">
        <v>0.41210883838055934</v>
      </c>
    </row>
    <row r="336" spans="21:38">
      <c r="U336">
        <v>-3.6011080332409892E-2</v>
      </c>
      <c r="V336">
        <v>71.900000000000006</v>
      </c>
      <c r="W336">
        <v>71.650000000000006</v>
      </c>
      <c r="X336">
        <f t="shared" si="5"/>
        <v>3.4831069313827931E-3</v>
      </c>
      <c r="Y336">
        <v>2400289</v>
      </c>
      <c r="Z336">
        <v>335633933</v>
      </c>
      <c r="AA336">
        <v>186406443.73999998</v>
      </c>
      <c r="AB336">
        <v>83908483</v>
      </c>
      <c r="AC336">
        <v>2.86060349821841E-2</v>
      </c>
      <c r="AD336">
        <v>72761.2</v>
      </c>
      <c r="AE336">
        <v>0.21590000000000001</v>
      </c>
      <c r="AF336">
        <v>67110452.420000002</v>
      </c>
      <c r="AG336">
        <v>41420559.380000003</v>
      </c>
      <c r="AH336">
        <v>1359660.69</v>
      </c>
      <c r="AI336">
        <v>2874936.22</v>
      </c>
      <c r="AJ336">
        <v>27656810.59</v>
      </c>
      <c r="AK336">
        <v>7.2237026168758432E-11</v>
      </c>
      <c r="AL336">
        <v>0.41210883838055934</v>
      </c>
    </row>
    <row r="337" spans="21:38">
      <c r="U337">
        <v>-4.139900071377596E-2</v>
      </c>
      <c r="V337">
        <v>70</v>
      </c>
      <c r="W337">
        <v>69.5</v>
      </c>
      <c r="X337">
        <f t="shared" si="5"/>
        <v>7.1684587813620072E-3</v>
      </c>
      <c r="Y337">
        <v>1286442</v>
      </c>
      <c r="Z337">
        <v>335633933</v>
      </c>
      <c r="AA337">
        <v>101268714.23999999</v>
      </c>
      <c r="AB337">
        <v>83908483</v>
      </c>
      <c r="AC337">
        <v>1.5331489189239662E-2</v>
      </c>
      <c r="AD337">
        <v>72764.240000000005</v>
      </c>
      <c r="AE337">
        <v>0.21590000000000001</v>
      </c>
      <c r="AF337">
        <v>67110452.420000002</v>
      </c>
      <c r="AG337">
        <v>41420559.380000003</v>
      </c>
      <c r="AH337">
        <v>1359660.69</v>
      </c>
      <c r="AI337">
        <v>2874936.22</v>
      </c>
      <c r="AJ337">
        <v>27656810.59</v>
      </c>
      <c r="AK337">
        <v>3.499900066933415E-11</v>
      </c>
      <c r="AL337">
        <v>0.41210883838055934</v>
      </c>
    </row>
    <row r="338" spans="21:38">
      <c r="U338">
        <v>-7.4919300352826304E-2</v>
      </c>
      <c r="V338">
        <v>68.400000000000006</v>
      </c>
      <c r="W338">
        <v>68.099999999999994</v>
      </c>
      <c r="X338">
        <f t="shared" si="5"/>
        <v>4.3956043956045621E-3</v>
      </c>
      <c r="Y338">
        <v>1123920</v>
      </c>
      <c r="Z338">
        <v>335633933</v>
      </c>
      <c r="AA338">
        <v>88789680</v>
      </c>
      <c r="AB338">
        <v>83908483</v>
      </c>
      <c r="AC338">
        <v>1.3394593249886308E-2</v>
      </c>
      <c r="AD338">
        <v>71902.09</v>
      </c>
      <c r="AE338">
        <v>0.21590000000000001</v>
      </c>
      <c r="AF338">
        <v>67110452.420000002</v>
      </c>
      <c r="AG338">
        <v>41420559.380000003</v>
      </c>
      <c r="AH338">
        <v>1359660.69</v>
      </c>
      <c r="AI338">
        <v>2874936.22</v>
      </c>
      <c r="AJ338">
        <v>27656810.59</v>
      </c>
      <c r="AK338">
        <v>1.8696069359630574E-10</v>
      </c>
      <c r="AL338">
        <v>0.41210883838055934</v>
      </c>
    </row>
    <row r="339" spans="21:38">
      <c r="U339">
        <v>-3.8910505836575876E-2</v>
      </c>
      <c r="V339">
        <v>64.900000000000006</v>
      </c>
      <c r="W339">
        <v>64.41</v>
      </c>
      <c r="X339">
        <f t="shared" si="5"/>
        <v>7.5786868764984782E-3</v>
      </c>
      <c r="Y339">
        <v>565234</v>
      </c>
      <c r="Z339">
        <v>335633933</v>
      </c>
      <c r="AA339">
        <v>43924334.139999993</v>
      </c>
      <c r="AB339">
        <v>83908483</v>
      </c>
      <c r="AC339">
        <v>6.7363153258294516E-3</v>
      </c>
      <c r="AD339">
        <v>70657.64</v>
      </c>
      <c r="AE339">
        <v>0.21590000000000001</v>
      </c>
      <c r="AF339">
        <v>67110452.420000002</v>
      </c>
      <c r="AG339">
        <v>41420559.380000003</v>
      </c>
      <c r="AH339">
        <v>1359660.69</v>
      </c>
      <c r="AI339">
        <v>2874936.22</v>
      </c>
      <c r="AJ339">
        <v>27656810.59</v>
      </c>
      <c r="AK339">
        <v>7.9435384190073821E-10</v>
      </c>
      <c r="AL339">
        <v>0.41210883838055934</v>
      </c>
    </row>
    <row r="340" spans="21:38">
      <c r="U340">
        <v>-8.463320463320459E-2</v>
      </c>
      <c r="V340">
        <v>63.91</v>
      </c>
      <c r="W340">
        <v>63.61</v>
      </c>
      <c r="X340">
        <f t="shared" si="5"/>
        <v>4.7051442910915489E-3</v>
      </c>
      <c r="Y340">
        <v>2285608</v>
      </c>
      <c r="Z340">
        <v>335633933</v>
      </c>
      <c r="AA340">
        <v>171626304.72</v>
      </c>
      <c r="AB340">
        <v>83908483</v>
      </c>
      <c r="AC340">
        <v>2.7239295936264275E-2</v>
      </c>
      <c r="AD340">
        <v>71102.55</v>
      </c>
      <c r="AE340">
        <v>0.21590000000000001</v>
      </c>
      <c r="AF340">
        <v>67110452.420000002</v>
      </c>
      <c r="AG340">
        <v>41420559.380000003</v>
      </c>
      <c r="AH340">
        <v>1359660.69</v>
      </c>
      <c r="AI340">
        <v>2874936.22</v>
      </c>
      <c r="AJ340">
        <v>27656810.59</v>
      </c>
      <c r="AK340">
        <v>1.3566124691402008E-10</v>
      </c>
      <c r="AL340">
        <v>0.41210883838055934</v>
      </c>
    </row>
    <row r="341" spans="21:38">
      <c r="U341">
        <v>-4.8565121412803496E-2</v>
      </c>
      <c r="V341">
        <v>66.849999999999994</v>
      </c>
      <c r="W341">
        <v>66.84</v>
      </c>
      <c r="X341">
        <f t="shared" si="5"/>
        <v>1.4959982048007937E-4</v>
      </c>
      <c r="Y341">
        <v>1351050</v>
      </c>
      <c r="Z341">
        <v>335633933</v>
      </c>
      <c r="AA341">
        <v>103868724</v>
      </c>
      <c r="AB341">
        <v>83908483</v>
      </c>
      <c r="AC341">
        <v>1.6101470932325161E-2</v>
      </c>
      <c r="AD341">
        <v>71695.03</v>
      </c>
      <c r="AE341">
        <v>0.21640000000000001</v>
      </c>
      <c r="AF341">
        <v>67110452.420000002</v>
      </c>
      <c r="AG341">
        <v>41420559.380000003</v>
      </c>
      <c r="AH341">
        <v>1359660.69</v>
      </c>
      <c r="AI341">
        <v>2874936.22</v>
      </c>
      <c r="AJ341">
        <v>27656810.59</v>
      </c>
      <c r="AK341">
        <v>1.4310537038439808E-10</v>
      </c>
      <c r="AL341">
        <v>0.41210883838055934</v>
      </c>
    </row>
    <row r="342" spans="21:38">
      <c r="U342">
        <v>-3.3050599590523623E-2</v>
      </c>
      <c r="V342">
        <v>68.75</v>
      </c>
      <c r="W342">
        <v>68.55</v>
      </c>
      <c r="X342">
        <f t="shared" si="5"/>
        <v>2.9133284777859117E-3</v>
      </c>
      <c r="Y342">
        <v>1500722</v>
      </c>
      <c r="Z342">
        <v>335633933</v>
      </c>
      <c r="AA342">
        <v>117116344.88000001</v>
      </c>
      <c r="AB342">
        <v>83908483</v>
      </c>
      <c r="AC342">
        <v>1.7885223833685564E-2</v>
      </c>
      <c r="AD342">
        <v>72742.75</v>
      </c>
      <c r="AE342">
        <v>0.21640000000000001</v>
      </c>
      <c r="AF342">
        <v>67110452.420000002</v>
      </c>
      <c r="AG342">
        <v>41420559.380000003</v>
      </c>
      <c r="AH342">
        <v>1359660.69</v>
      </c>
      <c r="AI342">
        <v>2874936.22</v>
      </c>
      <c r="AJ342">
        <v>27656810.59</v>
      </c>
      <c r="AK342">
        <v>2.0388483950454846E-10</v>
      </c>
      <c r="AL342">
        <v>0.41210883838055934</v>
      </c>
    </row>
    <row r="343" spans="21:38">
      <c r="U343">
        <v>-4.8780487804877967E-2</v>
      </c>
      <c r="V343">
        <v>68.25</v>
      </c>
      <c r="W343">
        <v>67.959999999999994</v>
      </c>
      <c r="X343">
        <f t="shared" si="5"/>
        <v>4.2581308273989616E-3</v>
      </c>
      <c r="Y343">
        <v>830039</v>
      </c>
      <c r="Z343">
        <v>335633933</v>
      </c>
      <c r="AA343">
        <v>63265572.579999998</v>
      </c>
      <c r="AB343">
        <v>83908483</v>
      </c>
      <c r="AC343">
        <v>9.8921940943682649E-3</v>
      </c>
      <c r="AD343">
        <v>71971.399999999994</v>
      </c>
      <c r="AE343">
        <v>0.21640000000000001</v>
      </c>
      <c r="AF343">
        <v>67110452.420000002</v>
      </c>
      <c r="AG343">
        <v>41420559.380000003</v>
      </c>
      <c r="AH343">
        <v>1359660.69</v>
      </c>
      <c r="AI343">
        <v>2874936.22</v>
      </c>
      <c r="AJ343">
        <v>27656810.59</v>
      </c>
      <c r="AK343">
        <v>1.147775778333724E-9</v>
      </c>
      <c r="AL343">
        <v>0.41210883838055934</v>
      </c>
    </row>
    <row r="344" spans="21:38">
      <c r="U344">
        <v>-5.2376048256583818E-2</v>
      </c>
      <c r="V344">
        <v>69.739999999999995</v>
      </c>
      <c r="W344">
        <v>69.599999999999994</v>
      </c>
      <c r="X344">
        <f t="shared" si="5"/>
        <v>2.0094732309458964E-3</v>
      </c>
      <c r="Y344">
        <v>2501736</v>
      </c>
      <c r="Z344">
        <v>335633933</v>
      </c>
      <c r="AA344">
        <v>177773360.16</v>
      </c>
      <c r="AB344">
        <v>83908483</v>
      </c>
      <c r="AC344">
        <v>2.9815054575590409E-2</v>
      </c>
      <c r="AD344">
        <v>72051.89</v>
      </c>
      <c r="AE344">
        <v>0.21640000000000001</v>
      </c>
      <c r="AF344">
        <v>67110452.420000002</v>
      </c>
      <c r="AG344">
        <v>41420559.380000003</v>
      </c>
      <c r="AH344">
        <v>1359660.69</v>
      </c>
      <c r="AI344">
        <v>2874936.22</v>
      </c>
      <c r="AJ344">
        <v>27656810.59</v>
      </c>
      <c r="AK344">
        <v>3.104293921137334E-11</v>
      </c>
      <c r="AL344">
        <v>0.41210883838055934</v>
      </c>
    </row>
    <row r="345" spans="21:38">
      <c r="U345">
        <v>-3.7735849056603772E-2</v>
      </c>
      <c r="V345">
        <v>66.45</v>
      </c>
      <c r="W345">
        <v>66.02</v>
      </c>
      <c r="X345">
        <f t="shared" si="5"/>
        <v>6.4920359326641024E-3</v>
      </c>
      <c r="Y345">
        <v>1653900</v>
      </c>
      <c r="Z345">
        <v>335633933</v>
      </c>
      <c r="AA345">
        <v>116881113</v>
      </c>
      <c r="AB345">
        <v>83908483</v>
      </c>
      <c r="AC345">
        <v>1.971076035303844E-2</v>
      </c>
      <c r="AD345">
        <v>71359.41</v>
      </c>
      <c r="AE345">
        <v>0.21640000000000001</v>
      </c>
      <c r="AF345">
        <v>67110452.420000002</v>
      </c>
      <c r="AG345">
        <v>41420559.380000003</v>
      </c>
      <c r="AH345">
        <v>1359660.69</v>
      </c>
      <c r="AI345">
        <v>2874936.22</v>
      </c>
      <c r="AJ345">
        <v>27656810.59</v>
      </c>
      <c r="AK345">
        <v>1.0876905610510742E-10</v>
      </c>
      <c r="AL345">
        <v>0.41210883838055934</v>
      </c>
    </row>
    <row r="346" spans="21:38">
      <c r="U346">
        <v>-4.3478260869565168E-2</v>
      </c>
      <c r="V346">
        <v>64.5</v>
      </c>
      <c r="W346">
        <v>64.489999999999995</v>
      </c>
      <c r="X346">
        <f t="shared" si="5"/>
        <v>1.5505077913024445E-4</v>
      </c>
      <c r="Y346">
        <v>888907</v>
      </c>
      <c r="Z346">
        <v>335633933</v>
      </c>
      <c r="AA346">
        <v>63627963.059999995</v>
      </c>
      <c r="AB346">
        <v>83908483</v>
      </c>
      <c r="AC346">
        <v>1.0593767974568197E-2</v>
      </c>
      <c r="AD346">
        <v>71433.460000000006</v>
      </c>
      <c r="AE346">
        <v>0.21640000000000001</v>
      </c>
      <c r="AF346">
        <v>67110452.420000002</v>
      </c>
      <c r="AG346">
        <v>41420559.380000003</v>
      </c>
      <c r="AH346">
        <v>1359660.69</v>
      </c>
      <c r="AI346">
        <v>2874936.22</v>
      </c>
      <c r="AJ346">
        <v>27656810.59</v>
      </c>
      <c r="AK346">
        <v>3.0895409365191128E-10</v>
      </c>
      <c r="AL346">
        <v>0.41210883838055934</v>
      </c>
    </row>
    <row r="347" spans="21:38">
      <c r="U347">
        <v>-1.3710503506421834E-2</v>
      </c>
      <c r="V347">
        <v>63.4</v>
      </c>
      <c r="W347">
        <v>63.33</v>
      </c>
      <c r="X347">
        <f t="shared" si="5"/>
        <v>1.1047108024934947E-3</v>
      </c>
      <c r="Y347">
        <v>134407</v>
      </c>
      <c r="Z347">
        <v>335633933</v>
      </c>
      <c r="AA347">
        <v>9435371.4000000004</v>
      </c>
      <c r="AB347">
        <v>83908483</v>
      </c>
      <c r="AC347">
        <v>1.6018285064216928E-3</v>
      </c>
      <c r="AD347">
        <v>70909.899999999994</v>
      </c>
      <c r="AE347">
        <v>0.21640000000000001</v>
      </c>
      <c r="AF347">
        <v>67110452.420000002</v>
      </c>
      <c r="AG347">
        <v>41420559.380000003</v>
      </c>
      <c r="AH347">
        <v>1359660.69</v>
      </c>
      <c r="AI347">
        <v>2874936.22</v>
      </c>
      <c r="AJ347">
        <v>27656810.59</v>
      </c>
      <c r="AK347">
        <v>3.2201266766535083E-9</v>
      </c>
      <c r="AL347">
        <v>0.41210883838055934</v>
      </c>
    </row>
    <row r="348" spans="21:38">
      <c r="U348">
        <v>-1.5469958590514804E-2</v>
      </c>
      <c r="V348">
        <v>63.8</v>
      </c>
      <c r="W348">
        <v>63.53</v>
      </c>
      <c r="X348">
        <f t="shared" si="5"/>
        <v>4.2409487159349099E-3</v>
      </c>
      <c r="Y348">
        <v>186978</v>
      </c>
      <c r="Z348">
        <v>335633933</v>
      </c>
      <c r="AA348">
        <v>12738811.139999999</v>
      </c>
      <c r="AB348">
        <v>83908483</v>
      </c>
      <c r="AC348">
        <v>2.2283563391320041E-3</v>
      </c>
      <c r="AD348">
        <v>70290.12</v>
      </c>
      <c r="AE348">
        <v>0.21640000000000001</v>
      </c>
      <c r="AF348">
        <v>67110452.420000002</v>
      </c>
      <c r="AG348">
        <v>41420559.380000003</v>
      </c>
      <c r="AH348">
        <v>1359660.69</v>
      </c>
      <c r="AI348">
        <v>2874936.22</v>
      </c>
      <c r="AJ348">
        <v>27656810.59</v>
      </c>
      <c r="AK348">
        <v>4.559574100632511E-9</v>
      </c>
      <c r="AL348">
        <v>0.41210883838055934</v>
      </c>
    </row>
    <row r="349" spans="21:38">
      <c r="U349">
        <v>-1.8955873213175867E-2</v>
      </c>
      <c r="V349">
        <v>63.9</v>
      </c>
      <c r="W349">
        <v>63.8</v>
      </c>
      <c r="X349">
        <f t="shared" si="5"/>
        <v>1.5661707126076966E-3</v>
      </c>
      <c r="Y349">
        <v>324976</v>
      </c>
      <c r="Z349">
        <v>335633933</v>
      </c>
      <c r="AA349">
        <v>20925204.640000001</v>
      </c>
      <c r="AB349">
        <v>83908483</v>
      </c>
      <c r="AC349">
        <v>3.8729814719686922E-3</v>
      </c>
      <c r="AD349">
        <v>70333.320000000007</v>
      </c>
      <c r="AE349">
        <v>0.21640000000000001</v>
      </c>
      <c r="AF349">
        <v>67110452.420000002</v>
      </c>
      <c r="AG349">
        <v>41420559.380000003</v>
      </c>
      <c r="AH349">
        <v>1359660.69</v>
      </c>
      <c r="AI349">
        <v>2874936.22</v>
      </c>
      <c r="AJ349">
        <v>27656810.59</v>
      </c>
      <c r="AK349">
        <v>5.0249219642402477E-10</v>
      </c>
      <c r="AL349">
        <v>0.41210883838055934</v>
      </c>
    </row>
    <row r="350" spans="21:38">
      <c r="U350">
        <v>-5.245153933865454E-2</v>
      </c>
      <c r="V350">
        <v>64.78</v>
      </c>
      <c r="W350">
        <v>64.599999999999994</v>
      </c>
      <c r="X350">
        <f t="shared" si="5"/>
        <v>2.7825011593755884E-3</v>
      </c>
      <c r="Y350">
        <v>900843</v>
      </c>
      <c r="Z350">
        <v>335633933</v>
      </c>
      <c r="AA350">
        <v>57401715.960000001</v>
      </c>
      <c r="AB350">
        <v>83908483</v>
      </c>
      <c r="AC350">
        <v>1.0736018192582507E-2</v>
      </c>
      <c r="AD350">
        <v>70483.66</v>
      </c>
      <c r="AE350">
        <v>0.216</v>
      </c>
      <c r="AF350">
        <v>67110452.420000002</v>
      </c>
      <c r="AG350">
        <v>41420559.380000003</v>
      </c>
      <c r="AH350">
        <v>1359660.69</v>
      </c>
      <c r="AI350">
        <v>2874936.22</v>
      </c>
      <c r="AJ350">
        <v>27656810.59</v>
      </c>
      <c r="AK350">
        <v>7.8830787540052301E-10</v>
      </c>
      <c r="AL350">
        <v>0.41210883838055934</v>
      </c>
    </row>
    <row r="351" spans="21:38">
      <c r="U351">
        <v>-2.2685469037400426E-2</v>
      </c>
      <c r="V351">
        <v>64.989999999999995</v>
      </c>
      <c r="W351">
        <v>64.849999999999994</v>
      </c>
      <c r="X351">
        <f t="shared" si="5"/>
        <v>2.156500308071482E-3</v>
      </c>
      <c r="Y351">
        <v>454580</v>
      </c>
      <c r="Z351">
        <v>335633933</v>
      </c>
      <c r="AA351">
        <v>30338669.199999999</v>
      </c>
      <c r="AB351">
        <v>83908483</v>
      </c>
      <c r="AC351">
        <v>5.4175690436448478E-3</v>
      </c>
      <c r="AD351">
        <v>70544.58</v>
      </c>
      <c r="AE351">
        <v>0.216</v>
      </c>
      <c r="AF351">
        <v>67110452.420000002</v>
      </c>
      <c r="AG351">
        <v>41420559.380000003</v>
      </c>
      <c r="AH351">
        <v>1359660.69</v>
      </c>
      <c r="AI351">
        <v>2874936.22</v>
      </c>
      <c r="AJ351">
        <v>27656810.59</v>
      </c>
      <c r="AK351">
        <v>9.4503904263699093E-10</v>
      </c>
      <c r="AL351">
        <v>0.41210883838055934</v>
      </c>
    </row>
    <row r="352" spans="21:38">
      <c r="U352">
        <v>-2.6020637056976145E-2</v>
      </c>
      <c r="V352">
        <v>66.599999999999994</v>
      </c>
      <c r="W352">
        <v>66.510000000000005</v>
      </c>
      <c r="X352">
        <f t="shared" si="5"/>
        <v>1.3522650439484515E-3</v>
      </c>
      <c r="Y352">
        <v>692361</v>
      </c>
      <c r="Z352">
        <v>335633933</v>
      </c>
      <c r="AA352">
        <v>47572124.309999995</v>
      </c>
      <c r="AB352">
        <v>83908483</v>
      </c>
      <c r="AC352">
        <v>8.2513826402987166E-3</v>
      </c>
      <c r="AD352">
        <v>70314.720000000001</v>
      </c>
      <c r="AE352">
        <v>0.216</v>
      </c>
      <c r="AF352">
        <v>67110452.420000002</v>
      </c>
      <c r="AG352">
        <v>41420559.380000003</v>
      </c>
      <c r="AH352">
        <v>1359660.69</v>
      </c>
      <c r="AI352">
        <v>2874936.22</v>
      </c>
      <c r="AJ352">
        <v>27656810.59</v>
      </c>
      <c r="AK352">
        <v>2.2260499757281587E-10</v>
      </c>
      <c r="AL352">
        <v>0.41210883838055934</v>
      </c>
    </row>
    <row r="353" spans="21:38">
      <c r="U353">
        <v>-5.2787708222408136E-2</v>
      </c>
      <c r="V353">
        <v>66.75</v>
      </c>
      <c r="W353">
        <v>66.650000000000006</v>
      </c>
      <c r="X353">
        <f t="shared" si="5"/>
        <v>1.4992503748125084E-3</v>
      </c>
      <c r="Y353">
        <v>545396</v>
      </c>
      <c r="Z353">
        <v>335633933</v>
      </c>
      <c r="AA353">
        <v>37081474.039999999</v>
      </c>
      <c r="AB353">
        <v>83908483</v>
      </c>
      <c r="AC353">
        <v>6.4998910777590863E-3</v>
      </c>
      <c r="AD353">
        <v>69619.990000000005</v>
      </c>
      <c r="AE353">
        <v>0.216</v>
      </c>
      <c r="AF353">
        <v>67110452.420000002</v>
      </c>
      <c r="AG353">
        <v>41420559.380000003</v>
      </c>
      <c r="AH353">
        <v>1359660.69</v>
      </c>
      <c r="AI353">
        <v>2874936.22</v>
      </c>
      <c r="AJ353">
        <v>27656810.59</v>
      </c>
      <c r="AK353">
        <v>5.5170803671297574E-10</v>
      </c>
      <c r="AL353">
        <v>0.41210883838055934</v>
      </c>
    </row>
    <row r="354" spans="21:38">
      <c r="U354">
        <v>-2.2872054647325116E-2</v>
      </c>
      <c r="V354">
        <v>64.5</v>
      </c>
      <c r="W354">
        <v>64.400000000000006</v>
      </c>
      <c r="X354">
        <f t="shared" si="5"/>
        <v>1.5515903801395549E-3</v>
      </c>
      <c r="Y354">
        <v>153968</v>
      </c>
      <c r="Z354">
        <v>335633933</v>
      </c>
      <c r="AA354">
        <v>10686918.879999999</v>
      </c>
      <c r="AB354">
        <v>83908483</v>
      </c>
      <c r="AC354">
        <v>1.8349515388092525E-3</v>
      </c>
      <c r="AD354">
        <v>68416.78</v>
      </c>
      <c r="AE354">
        <v>0.216</v>
      </c>
      <c r="AF354">
        <v>67110452.420000002</v>
      </c>
      <c r="AG354">
        <v>41420559.380000003</v>
      </c>
      <c r="AH354">
        <v>1359660.69</v>
      </c>
      <c r="AI354">
        <v>2874936.22</v>
      </c>
      <c r="AJ354">
        <v>27656810.59</v>
      </c>
      <c r="AK354">
        <v>4.5520914442265657E-9</v>
      </c>
      <c r="AL354">
        <v>0.41210883838055934</v>
      </c>
    </row>
    <row r="355" spans="21:38">
      <c r="U355">
        <v>-6.4739702291880072E-2</v>
      </c>
      <c r="V355">
        <v>64.680000000000007</v>
      </c>
      <c r="W355">
        <v>64.52</v>
      </c>
      <c r="X355">
        <f t="shared" si="5"/>
        <v>2.4767801857586815E-3</v>
      </c>
      <c r="Y355">
        <v>524673</v>
      </c>
      <c r="Z355">
        <v>335633933</v>
      </c>
      <c r="AA355">
        <v>34728105.869999997</v>
      </c>
      <c r="AB355">
        <v>83908483</v>
      </c>
      <c r="AC355">
        <v>6.2529196243483508E-3</v>
      </c>
      <c r="AD355">
        <v>67756.039999999994</v>
      </c>
      <c r="AE355">
        <v>0.216</v>
      </c>
      <c r="AF355">
        <v>67110452.420000002</v>
      </c>
      <c r="AG355">
        <v>41420559.380000003</v>
      </c>
      <c r="AH355">
        <v>1359660.69</v>
      </c>
      <c r="AI355">
        <v>2874936.22</v>
      </c>
      <c r="AJ355">
        <v>27656810.59</v>
      </c>
      <c r="AK355">
        <v>6.8135686145671147E-10</v>
      </c>
      <c r="AL355">
        <v>0.41210883838055934</v>
      </c>
    </row>
    <row r="356" spans="21:38">
      <c r="U356">
        <v>-2.8663446054750422E-2</v>
      </c>
      <c r="V356">
        <v>61.75</v>
      </c>
      <c r="W356">
        <v>61.7</v>
      </c>
      <c r="X356">
        <f t="shared" si="5"/>
        <v>8.1004455245033873E-4</v>
      </c>
      <c r="Y356">
        <v>23887</v>
      </c>
      <c r="Z356">
        <v>335633933</v>
      </c>
      <c r="AA356">
        <v>1544533.42</v>
      </c>
      <c r="AB356">
        <v>83908483</v>
      </c>
      <c r="AC356">
        <v>2.8467920222082909E-4</v>
      </c>
      <c r="AD356">
        <v>66886.259999999995</v>
      </c>
      <c r="AE356">
        <v>0.216</v>
      </c>
      <c r="AF356">
        <v>67110452.420000002</v>
      </c>
      <c r="AG356">
        <v>41420559.380000003</v>
      </c>
      <c r="AH356">
        <v>1359660.69</v>
      </c>
      <c r="AI356">
        <v>2874936.22</v>
      </c>
      <c r="AJ356">
        <v>27656810.59</v>
      </c>
      <c r="AK356">
        <v>1.3492690619963252E-8</v>
      </c>
      <c r="AL356">
        <v>0.41210883838055934</v>
      </c>
    </row>
    <row r="357" spans="21:38">
      <c r="U357">
        <v>-2.319072371051584E-2</v>
      </c>
      <c r="V357">
        <v>61.95</v>
      </c>
      <c r="W357">
        <v>61.8</v>
      </c>
      <c r="X357">
        <f t="shared" si="5"/>
        <v>2.4242424242425162E-3</v>
      </c>
      <c r="Y357">
        <v>493390</v>
      </c>
      <c r="Z357">
        <v>335633933</v>
      </c>
      <c r="AA357">
        <v>31251322.600000001</v>
      </c>
      <c r="AB357">
        <v>83908483</v>
      </c>
      <c r="AC357">
        <v>5.8800967716220063E-3</v>
      </c>
      <c r="AD357">
        <v>66796.320000000007</v>
      </c>
      <c r="AE357">
        <v>0.216</v>
      </c>
      <c r="AF357">
        <v>67110452.420000002</v>
      </c>
      <c r="AG357">
        <v>41420559.380000003</v>
      </c>
      <c r="AH357">
        <v>1359660.69</v>
      </c>
      <c r="AI357">
        <v>2874936.22</v>
      </c>
      <c r="AJ357">
        <v>27656810.59</v>
      </c>
      <c r="AK357">
        <v>1.40830254639685E-10</v>
      </c>
      <c r="AL357">
        <v>0.41210883838055934</v>
      </c>
    </row>
    <row r="358" spans="21:38">
      <c r="U358">
        <v>-2.5432430297764781E-2</v>
      </c>
      <c r="V358">
        <v>63</v>
      </c>
      <c r="W358">
        <v>62.6</v>
      </c>
      <c r="X358">
        <f t="shared" si="5"/>
        <v>6.3694267515923345E-3</v>
      </c>
      <c r="Y358">
        <v>280278</v>
      </c>
      <c r="Z358">
        <v>335633933</v>
      </c>
      <c r="AA358">
        <v>17831286.359999999</v>
      </c>
      <c r="AB358">
        <v>83908483</v>
      </c>
      <c r="AC358">
        <v>3.3402820546761642E-3</v>
      </c>
      <c r="AD358">
        <v>67005.11</v>
      </c>
      <c r="AE358">
        <v>0.216</v>
      </c>
      <c r="AF358">
        <v>67110452.420000002</v>
      </c>
      <c r="AG358">
        <v>41420559.380000003</v>
      </c>
      <c r="AH358">
        <v>1359660.69</v>
      </c>
      <c r="AI358">
        <v>2874936.22</v>
      </c>
      <c r="AJ358">
        <v>27656810.59</v>
      </c>
      <c r="AK358">
        <v>2.1951308734480626E-10</v>
      </c>
      <c r="AL358">
        <v>0.41210883838055934</v>
      </c>
    </row>
    <row r="359" spans="21:38">
      <c r="U359">
        <v>-2.2301378349078593E-2</v>
      </c>
      <c r="V359">
        <v>64.75</v>
      </c>
      <c r="W359">
        <v>63.85</v>
      </c>
      <c r="X359">
        <f t="shared" si="5"/>
        <v>1.3996889580093291E-2</v>
      </c>
      <c r="Y359">
        <v>178670</v>
      </c>
      <c r="Z359">
        <v>335633933</v>
      </c>
      <c r="AA359">
        <v>11411652.9</v>
      </c>
      <c r="AB359">
        <v>83908483</v>
      </c>
      <c r="AC359">
        <v>2.1293437041401404E-3</v>
      </c>
      <c r="AD359">
        <v>67142.12</v>
      </c>
      <c r="AE359">
        <v>0.216</v>
      </c>
      <c r="AF359">
        <v>67110452.420000002</v>
      </c>
      <c r="AG359">
        <v>41420559.380000003</v>
      </c>
      <c r="AH359">
        <v>1359660.69</v>
      </c>
      <c r="AI359">
        <v>2874936.22</v>
      </c>
      <c r="AJ359">
        <v>27656810.59</v>
      </c>
      <c r="AK359">
        <v>9.365630409252553E-10</v>
      </c>
      <c r="AL359">
        <v>0.41210883838055934</v>
      </c>
    </row>
    <row r="360" spans="21:38">
      <c r="U360">
        <v>-2.3009806192571924E-2</v>
      </c>
      <c r="V360">
        <v>64.45</v>
      </c>
      <c r="W360">
        <v>64.400000000000006</v>
      </c>
      <c r="X360">
        <f t="shared" si="5"/>
        <v>7.7609623593321143E-4</v>
      </c>
      <c r="Y360">
        <v>41853</v>
      </c>
      <c r="Z360">
        <v>335633933</v>
      </c>
      <c r="AA360">
        <v>2702029.68</v>
      </c>
      <c r="AB360">
        <v>83908483</v>
      </c>
      <c r="AC360">
        <v>4.9879342950342694E-4</v>
      </c>
      <c r="AD360">
        <v>66547.789999999994</v>
      </c>
      <c r="AE360">
        <v>0.216</v>
      </c>
      <c r="AF360">
        <v>67110452.420000002</v>
      </c>
      <c r="AG360">
        <v>41420559.380000003</v>
      </c>
      <c r="AH360">
        <v>1359660.69</v>
      </c>
      <c r="AI360">
        <v>2874936.22</v>
      </c>
      <c r="AJ360">
        <v>27656810.59</v>
      </c>
      <c r="AK360">
        <v>2.2222623911534345E-9</v>
      </c>
      <c r="AL360">
        <v>0.41210883838055934</v>
      </c>
    </row>
    <row r="361" spans="21:38">
      <c r="U361">
        <v>-1.9263632126767048E-2</v>
      </c>
      <c r="V361">
        <v>64.5</v>
      </c>
      <c r="W361">
        <v>63.76</v>
      </c>
      <c r="X361">
        <f t="shared" si="5"/>
        <v>1.1539061281771434E-2</v>
      </c>
      <c r="Y361">
        <v>91965</v>
      </c>
      <c r="Z361">
        <v>335633933</v>
      </c>
      <c r="AA361">
        <v>5973126.75</v>
      </c>
      <c r="AB361">
        <v>83908483</v>
      </c>
      <c r="AC361">
        <v>1.0960155244374994E-3</v>
      </c>
      <c r="AD361">
        <v>65906.28</v>
      </c>
      <c r="AE361">
        <v>0.216</v>
      </c>
      <c r="AF361">
        <v>67110452.420000002</v>
      </c>
      <c r="AG361">
        <v>41420559.380000003</v>
      </c>
      <c r="AH361">
        <v>1359660.69</v>
      </c>
      <c r="AI361">
        <v>2874936.22</v>
      </c>
      <c r="AJ361">
        <v>27656810.59</v>
      </c>
      <c r="AK361">
        <v>3.9513516490024571E-9</v>
      </c>
      <c r="AL361">
        <v>0.41210883838055934</v>
      </c>
    </row>
    <row r="362" spans="21:38">
      <c r="U362">
        <v>-1.6552154903185436E-2</v>
      </c>
      <c r="V362">
        <v>64.069999999999993</v>
      </c>
      <c r="W362">
        <v>63.55</v>
      </c>
      <c r="X362">
        <f t="shared" si="5"/>
        <v>8.1491929164707114E-3</v>
      </c>
      <c r="Y362">
        <v>44622</v>
      </c>
      <c r="Z362">
        <v>335633933</v>
      </c>
      <c r="AA362">
        <v>2968255.44</v>
      </c>
      <c r="AB362">
        <v>83908483</v>
      </c>
      <c r="AC362">
        <v>5.3179366858533241E-4</v>
      </c>
      <c r="AD362">
        <v>65525.65</v>
      </c>
      <c r="AE362">
        <v>0.216</v>
      </c>
      <c r="AF362">
        <v>67110452.420000002</v>
      </c>
      <c r="AG362">
        <v>41420559.380000003</v>
      </c>
      <c r="AH362">
        <v>1359660.69</v>
      </c>
      <c r="AI362">
        <v>2874936.22</v>
      </c>
      <c r="AJ362">
        <v>27656810.59</v>
      </c>
      <c r="AK362">
        <v>0</v>
      </c>
      <c r="AL362">
        <v>0.41210883838055934</v>
      </c>
    </row>
    <row r="363" spans="21:38">
      <c r="U363">
        <v>9.7686375321336685E-2</v>
      </c>
      <c r="V363">
        <v>9.93</v>
      </c>
      <c r="W363">
        <v>9.52</v>
      </c>
      <c r="X363">
        <f t="shared" si="5"/>
        <v>4.215938303341904E-2</v>
      </c>
      <c r="Y363">
        <v>88000</v>
      </c>
      <c r="Z363">
        <v>15000000</v>
      </c>
      <c r="AA363">
        <v>867680</v>
      </c>
      <c r="AB363">
        <v>11880000</v>
      </c>
      <c r="AC363">
        <v>7.4074074074074077E-3</v>
      </c>
      <c r="AD363">
        <v>75983.039999999994</v>
      </c>
      <c r="AE363">
        <v>0.2157</v>
      </c>
      <c r="AF363">
        <v>207530000</v>
      </c>
      <c r="AG363">
        <v>23450000</v>
      </c>
      <c r="AH363">
        <v>390000</v>
      </c>
      <c r="AI363">
        <v>41640000</v>
      </c>
      <c r="AJ363">
        <v>41640000</v>
      </c>
      <c r="AK363">
        <v>7.2031163562603744E-8</v>
      </c>
      <c r="AL363">
        <v>0.20064568977979089</v>
      </c>
    </row>
    <row r="364" spans="21:38">
      <c r="U364">
        <v>2.1528525296018678E-3</v>
      </c>
      <c r="V364">
        <v>9.59</v>
      </c>
      <c r="W364">
        <v>9.3000000000000007</v>
      </c>
      <c r="X364">
        <f t="shared" si="5"/>
        <v>3.0704076230809861E-2</v>
      </c>
      <c r="Y364">
        <v>3500</v>
      </c>
      <c r="Z364">
        <v>15000000</v>
      </c>
      <c r="AA364">
        <v>32479.999999999996</v>
      </c>
      <c r="AB364">
        <v>11880000</v>
      </c>
      <c r="AC364">
        <v>2.9461279461279459E-4</v>
      </c>
      <c r="AD364">
        <v>75114.47</v>
      </c>
      <c r="AE364">
        <v>0.2157</v>
      </c>
      <c r="AF364">
        <v>207530000</v>
      </c>
      <c r="AG364">
        <v>23450000</v>
      </c>
      <c r="AH364">
        <v>390000</v>
      </c>
      <c r="AI364">
        <v>41640000</v>
      </c>
      <c r="AJ364">
        <v>41640000</v>
      </c>
      <c r="AK364">
        <v>5.8582155615035017E-7</v>
      </c>
      <c r="AL364">
        <v>0.20064568977979089</v>
      </c>
    </row>
    <row r="365" spans="21:38">
      <c r="U365">
        <v>6.8601583113456488E-2</v>
      </c>
      <c r="V365">
        <v>9.6300000000000008</v>
      </c>
      <c r="W365">
        <v>9.25</v>
      </c>
      <c r="X365">
        <f t="shared" si="5"/>
        <v>4.0254237288135673E-2</v>
      </c>
      <c r="Y365">
        <v>66000</v>
      </c>
      <c r="Z365">
        <v>15000000</v>
      </c>
      <c r="AA365">
        <v>624360</v>
      </c>
      <c r="AB365">
        <v>11880000</v>
      </c>
      <c r="AC365">
        <v>5.5555555555555558E-3</v>
      </c>
      <c r="AD365">
        <v>74956.67</v>
      </c>
      <c r="AE365">
        <v>0.2157</v>
      </c>
      <c r="AF365">
        <v>207530000</v>
      </c>
      <c r="AG365">
        <v>23450000</v>
      </c>
      <c r="AH365">
        <v>390000</v>
      </c>
      <c r="AI365">
        <v>41640000</v>
      </c>
      <c r="AJ365">
        <v>41640000</v>
      </c>
      <c r="AK365">
        <v>6.7437477029107953E-9</v>
      </c>
      <c r="AL365">
        <v>0.20064568977979089</v>
      </c>
    </row>
    <row r="366" spans="21:38">
      <c r="U366">
        <v>1.1512297226582882E-2</v>
      </c>
      <c r="V366">
        <v>9.5</v>
      </c>
      <c r="W366">
        <v>9.3800000000000008</v>
      </c>
      <c r="X366">
        <f t="shared" si="5"/>
        <v>1.2711864406779577E-2</v>
      </c>
      <c r="Y366">
        <v>18500</v>
      </c>
      <c r="Z366">
        <v>15000000</v>
      </c>
      <c r="AA366">
        <v>175750</v>
      </c>
      <c r="AB366">
        <v>11880000</v>
      </c>
      <c r="AC366">
        <v>1.5572390572390572E-3</v>
      </c>
      <c r="AD366">
        <v>75206.77</v>
      </c>
      <c r="AE366">
        <v>0.2157</v>
      </c>
      <c r="AF366">
        <v>207530000</v>
      </c>
      <c r="AG366">
        <v>23450000</v>
      </c>
      <c r="AH366">
        <v>390000</v>
      </c>
      <c r="AI366">
        <v>41640000</v>
      </c>
      <c r="AJ366">
        <v>41640000</v>
      </c>
      <c r="AK366">
        <v>1.0002927327261945E-7</v>
      </c>
      <c r="AL366">
        <v>0.20064568977979089</v>
      </c>
    </row>
    <row r="367" spans="21:38">
      <c r="U367">
        <v>1.1381272633212749E-2</v>
      </c>
      <c r="V367">
        <v>10</v>
      </c>
      <c r="W367">
        <v>9.6</v>
      </c>
      <c r="X367">
        <f t="shared" si="5"/>
        <v>4.0816326530612276E-2</v>
      </c>
      <c r="Y367">
        <v>6500</v>
      </c>
      <c r="Z367">
        <v>15000000</v>
      </c>
      <c r="AA367">
        <v>62855</v>
      </c>
      <c r="AB367">
        <v>11880000</v>
      </c>
      <c r="AC367">
        <v>5.4713804713804712E-4</v>
      </c>
      <c r="AD367">
        <v>75084</v>
      </c>
      <c r="AE367">
        <v>0.2157</v>
      </c>
      <c r="AF367">
        <v>207530000</v>
      </c>
      <c r="AG367">
        <v>23450000</v>
      </c>
      <c r="AH367">
        <v>390000</v>
      </c>
      <c r="AI367">
        <v>41640000</v>
      </c>
      <c r="AJ367">
        <v>41640000</v>
      </c>
      <c r="AK367">
        <v>1.7894270563648285E-7</v>
      </c>
      <c r="AL367">
        <v>0.20064568977979089</v>
      </c>
    </row>
    <row r="368" spans="21:38">
      <c r="U368">
        <v>5.9029514757378679E-2</v>
      </c>
      <c r="V368">
        <v>10</v>
      </c>
      <c r="W368">
        <v>9.75</v>
      </c>
      <c r="X368">
        <f t="shared" si="5"/>
        <v>2.5316455696202531E-2</v>
      </c>
      <c r="Y368">
        <v>25500</v>
      </c>
      <c r="Z368">
        <v>15000000</v>
      </c>
      <c r="AA368">
        <v>249389.99999999997</v>
      </c>
      <c r="AB368">
        <v>11880000</v>
      </c>
      <c r="AC368">
        <v>2.1464646464646464E-3</v>
      </c>
      <c r="AD368">
        <v>75342.350000000006</v>
      </c>
      <c r="AE368">
        <v>0.2157</v>
      </c>
      <c r="AF368">
        <v>207530000</v>
      </c>
      <c r="AG368">
        <v>23450000</v>
      </c>
      <c r="AH368">
        <v>390000</v>
      </c>
      <c r="AI368">
        <v>41640000</v>
      </c>
      <c r="AJ368">
        <v>41640000</v>
      </c>
      <c r="AK368">
        <v>8.0356390233452624E-8</v>
      </c>
      <c r="AL368">
        <v>0.20064568977979089</v>
      </c>
    </row>
    <row r="369" spans="21:38">
      <c r="U369">
        <v>3.9775624681285121E-2</v>
      </c>
      <c r="V369">
        <v>10.25</v>
      </c>
      <c r="W369">
        <v>9.8800000000000008</v>
      </c>
      <c r="X369">
        <f t="shared" si="5"/>
        <v>3.6761053154495696E-2</v>
      </c>
      <c r="Y369">
        <v>26000</v>
      </c>
      <c r="Z369">
        <v>15000000</v>
      </c>
      <c r="AA369">
        <v>259480</v>
      </c>
      <c r="AB369">
        <v>11880000</v>
      </c>
      <c r="AC369">
        <v>2.1885521885521885E-3</v>
      </c>
      <c r="AD369">
        <v>74930.7</v>
      </c>
      <c r="AE369">
        <v>0.2157</v>
      </c>
      <c r="AF369">
        <v>207530000</v>
      </c>
      <c r="AG369">
        <v>23450000</v>
      </c>
      <c r="AH369">
        <v>390000</v>
      </c>
      <c r="AI369">
        <v>41640000</v>
      </c>
      <c r="AJ369">
        <v>41640000</v>
      </c>
      <c r="AK369">
        <v>1.9085790628876786E-7</v>
      </c>
      <c r="AL369">
        <v>0.20064568977979089</v>
      </c>
    </row>
    <row r="370" spans="21:38">
      <c r="U370">
        <v>7.8725398313027162E-2</v>
      </c>
      <c r="V370">
        <v>10.5</v>
      </c>
      <c r="W370">
        <v>10.41</v>
      </c>
      <c r="X370">
        <f t="shared" si="5"/>
        <v>8.6083213773314061E-3</v>
      </c>
      <c r="Y370">
        <v>290500</v>
      </c>
      <c r="Z370">
        <v>15000000</v>
      </c>
      <c r="AA370">
        <v>3050250</v>
      </c>
      <c r="AB370">
        <v>11880000</v>
      </c>
      <c r="AC370">
        <v>2.4452861952861952E-2</v>
      </c>
      <c r="AD370">
        <v>74663.98</v>
      </c>
      <c r="AE370">
        <v>0.2157</v>
      </c>
      <c r="AF370">
        <v>207530000</v>
      </c>
      <c r="AG370">
        <v>23450000</v>
      </c>
      <c r="AH370">
        <v>390000</v>
      </c>
      <c r="AI370">
        <v>41640000</v>
      </c>
      <c r="AJ370">
        <v>41640000</v>
      </c>
      <c r="AK370">
        <v>1.3321626547857257E-8</v>
      </c>
      <c r="AL370">
        <v>0.20064568977979089</v>
      </c>
    </row>
    <row r="371" spans="21:38">
      <c r="U371">
        <v>0.12532366649404442</v>
      </c>
      <c r="V371">
        <v>10.1</v>
      </c>
      <c r="W371">
        <v>10.02</v>
      </c>
      <c r="X371">
        <f t="shared" si="5"/>
        <v>7.9522862823061709E-3</v>
      </c>
      <c r="Y371">
        <v>1350500</v>
      </c>
      <c r="Z371">
        <v>15000000</v>
      </c>
      <c r="AA371">
        <v>13626545</v>
      </c>
      <c r="AB371">
        <v>11880000</v>
      </c>
      <c r="AC371">
        <v>0.11367845117845118</v>
      </c>
      <c r="AD371">
        <v>74531.19</v>
      </c>
      <c r="AE371">
        <v>0.21590000000000001</v>
      </c>
      <c r="AF371">
        <v>207530000</v>
      </c>
      <c r="AG371">
        <v>23450000</v>
      </c>
      <c r="AH371">
        <v>390000</v>
      </c>
      <c r="AI371">
        <v>41640000</v>
      </c>
      <c r="AJ371">
        <v>41640000</v>
      </c>
      <c r="AK371">
        <v>5.5548169952592636E-9</v>
      </c>
      <c r="AL371">
        <v>0.20064568977979089</v>
      </c>
    </row>
    <row r="372" spans="21:38">
      <c r="U372">
        <v>7.0175438596491085E-2</v>
      </c>
      <c r="V372">
        <v>9.43</v>
      </c>
      <c r="W372">
        <v>9.33</v>
      </c>
      <c r="X372">
        <f t="shared" si="5"/>
        <v>1.0660980810234505E-2</v>
      </c>
      <c r="Y372">
        <v>976000</v>
      </c>
      <c r="Z372">
        <v>15000000</v>
      </c>
      <c r="AA372">
        <v>9154880</v>
      </c>
      <c r="AB372">
        <v>11880000</v>
      </c>
      <c r="AC372">
        <v>8.2154882154882161E-2</v>
      </c>
      <c r="AD372">
        <v>73799.11</v>
      </c>
      <c r="AE372">
        <v>0.21590000000000001</v>
      </c>
      <c r="AF372">
        <v>207530000</v>
      </c>
      <c r="AG372">
        <v>23450000</v>
      </c>
      <c r="AH372">
        <v>390000</v>
      </c>
      <c r="AI372">
        <v>41640000</v>
      </c>
      <c r="AJ372">
        <v>41640000</v>
      </c>
      <c r="AK372">
        <v>1.5351434485273577E-9</v>
      </c>
      <c r="AL372">
        <v>0.20064568977979089</v>
      </c>
    </row>
    <row r="373" spans="21:38">
      <c r="U373">
        <v>8.3201685097419778E-2</v>
      </c>
      <c r="V373">
        <v>9.25</v>
      </c>
      <c r="W373">
        <v>8.82</v>
      </c>
      <c r="X373">
        <f t="shared" si="5"/>
        <v>4.759269507470943E-2</v>
      </c>
      <c r="Y373">
        <v>28000</v>
      </c>
      <c r="Z373">
        <v>15000000</v>
      </c>
      <c r="AA373">
        <v>259000</v>
      </c>
      <c r="AB373">
        <v>11880000</v>
      </c>
      <c r="AC373">
        <v>2.3569023569023568E-3</v>
      </c>
      <c r="AD373">
        <v>73085.5</v>
      </c>
      <c r="AE373">
        <v>0.21590000000000001</v>
      </c>
      <c r="AF373">
        <v>207530000</v>
      </c>
      <c r="AG373">
        <v>23450000</v>
      </c>
      <c r="AH373">
        <v>390000</v>
      </c>
      <c r="AI373">
        <v>41640000</v>
      </c>
      <c r="AJ373">
        <v>41640000</v>
      </c>
      <c r="AK373">
        <v>1.028458298158632E-7</v>
      </c>
      <c r="AL373">
        <v>0.20064568977979089</v>
      </c>
    </row>
    <row r="374" spans="21:38">
      <c r="U374">
        <v>3.3277870216305446E-3</v>
      </c>
      <c r="V374">
        <v>9.1999999999999993</v>
      </c>
      <c r="W374">
        <v>8.9499999999999993</v>
      </c>
      <c r="X374">
        <f t="shared" si="5"/>
        <v>2.7548209366391185E-2</v>
      </c>
      <c r="Y374">
        <v>7500</v>
      </c>
      <c r="Z374">
        <v>15000000</v>
      </c>
      <c r="AA374">
        <v>67575</v>
      </c>
      <c r="AB374">
        <v>11880000</v>
      </c>
      <c r="AC374">
        <v>6.3131313131313137E-4</v>
      </c>
      <c r="AD374">
        <v>72658.05</v>
      </c>
      <c r="AE374">
        <v>0.21590000000000001</v>
      </c>
      <c r="AF374">
        <v>207530000</v>
      </c>
      <c r="AG374">
        <v>23450000</v>
      </c>
      <c r="AH374">
        <v>390000</v>
      </c>
      <c r="AI374">
        <v>41640000</v>
      </c>
      <c r="AJ374">
        <v>41640000</v>
      </c>
      <c r="AK374">
        <v>0</v>
      </c>
      <c r="AL374">
        <v>0.20064568977979089</v>
      </c>
    </row>
    <row r="375" spans="21:38">
      <c r="U375">
        <v>0</v>
      </c>
      <c r="V375">
        <v>9.1999999999999993</v>
      </c>
      <c r="W375">
        <v>8.94</v>
      </c>
      <c r="X375">
        <f t="shared" si="5"/>
        <v>2.8665931642778367E-2</v>
      </c>
      <c r="Y375">
        <v>0</v>
      </c>
      <c r="Z375">
        <v>15000000</v>
      </c>
      <c r="AA375">
        <v>0</v>
      </c>
      <c r="AB375">
        <v>11880000</v>
      </c>
      <c r="AC375">
        <v>0</v>
      </c>
      <c r="AD375">
        <v>72601.820000000007</v>
      </c>
      <c r="AE375">
        <v>0.21590000000000001</v>
      </c>
      <c r="AF375">
        <v>207530000</v>
      </c>
      <c r="AG375">
        <v>23450000</v>
      </c>
      <c r="AH375">
        <v>390000</v>
      </c>
      <c r="AI375">
        <v>41640000</v>
      </c>
      <c r="AJ375">
        <v>41640000</v>
      </c>
      <c r="AK375">
        <v>0</v>
      </c>
      <c r="AL375">
        <v>0.20064568977979089</v>
      </c>
    </row>
    <row r="376" spans="21:38">
      <c r="U376">
        <v>2.19780219780219E-2</v>
      </c>
      <c r="V376">
        <v>9.2799999999999994</v>
      </c>
      <c r="W376">
        <v>9.0500000000000007</v>
      </c>
      <c r="X376">
        <f t="shared" si="5"/>
        <v>2.5095471903982397E-2</v>
      </c>
      <c r="Y376">
        <v>74000</v>
      </c>
      <c r="Z376">
        <v>15000000</v>
      </c>
      <c r="AA376">
        <v>680800</v>
      </c>
      <c r="AB376">
        <v>11880000</v>
      </c>
      <c r="AC376">
        <v>6.2289562289562289E-3</v>
      </c>
      <c r="AD376">
        <v>72761.2</v>
      </c>
      <c r="AE376">
        <v>0.21590000000000001</v>
      </c>
      <c r="AF376">
        <v>207530000</v>
      </c>
      <c r="AG376">
        <v>23450000</v>
      </c>
      <c r="AH376">
        <v>390000</v>
      </c>
      <c r="AI376">
        <v>41640000</v>
      </c>
      <c r="AJ376">
        <v>41640000</v>
      </c>
      <c r="AK376">
        <v>4.6385057826705536E-8</v>
      </c>
      <c r="AL376">
        <v>0.20064568977979089</v>
      </c>
    </row>
    <row r="377" spans="21:38">
      <c r="U377">
        <v>1.1646373742720956E-2</v>
      </c>
      <c r="V377">
        <v>9.4700000000000006</v>
      </c>
      <c r="W377">
        <v>9.0500000000000007</v>
      </c>
      <c r="X377">
        <f t="shared" si="5"/>
        <v>4.535637149028076E-2</v>
      </c>
      <c r="Y377">
        <v>9000</v>
      </c>
      <c r="Z377">
        <v>15000000</v>
      </c>
      <c r="AA377">
        <v>85500</v>
      </c>
      <c r="AB377">
        <v>11880000</v>
      </c>
      <c r="AC377">
        <v>7.5757575757575758E-4</v>
      </c>
      <c r="AD377">
        <v>72764.240000000005</v>
      </c>
      <c r="AE377">
        <v>0.21590000000000001</v>
      </c>
      <c r="AF377">
        <v>207530000</v>
      </c>
      <c r="AG377">
        <v>23450000</v>
      </c>
      <c r="AH377">
        <v>390000</v>
      </c>
      <c r="AI377">
        <v>41640000</v>
      </c>
      <c r="AJ377">
        <v>41640000</v>
      </c>
      <c r="AK377">
        <v>3.9453003200784033E-7</v>
      </c>
      <c r="AL377">
        <v>0.20064568977979089</v>
      </c>
    </row>
    <row r="378" spans="21:38">
      <c r="U378">
        <v>2.7397260273972601E-2</v>
      </c>
      <c r="V378">
        <v>9.2899999999999991</v>
      </c>
      <c r="W378">
        <v>9</v>
      </c>
      <c r="X378">
        <f t="shared" si="5"/>
        <v>3.1711317659923362E-2</v>
      </c>
      <c r="Y378">
        <v>5000</v>
      </c>
      <c r="Z378">
        <v>15000000</v>
      </c>
      <c r="AA378">
        <v>45950</v>
      </c>
      <c r="AB378">
        <v>11880000</v>
      </c>
      <c r="AC378">
        <v>4.2087542087542086E-4</v>
      </c>
      <c r="AD378">
        <v>71902.09</v>
      </c>
      <c r="AE378">
        <v>0.21590000000000001</v>
      </c>
      <c r="AF378">
        <v>207530000</v>
      </c>
      <c r="AG378">
        <v>23450000</v>
      </c>
      <c r="AH378">
        <v>390000</v>
      </c>
      <c r="AI378">
        <v>41640000</v>
      </c>
      <c r="AJ378">
        <v>41640000</v>
      </c>
      <c r="AK378">
        <v>2.5740929247546119E-7</v>
      </c>
      <c r="AL378">
        <v>0.20064568977979089</v>
      </c>
    </row>
    <row r="379" spans="21:38">
      <c r="U379">
        <v>0</v>
      </c>
      <c r="V379">
        <v>11.3</v>
      </c>
      <c r="W379">
        <v>8.61</v>
      </c>
      <c r="X379">
        <f t="shared" si="5"/>
        <v>0.27021597187343055</v>
      </c>
      <c r="Y379">
        <v>0</v>
      </c>
      <c r="Z379">
        <v>15000000</v>
      </c>
      <c r="AA379">
        <v>0</v>
      </c>
      <c r="AB379">
        <v>11880000</v>
      </c>
      <c r="AC379">
        <v>0</v>
      </c>
      <c r="AD379">
        <v>70657.64</v>
      </c>
      <c r="AE379">
        <v>0.21590000000000001</v>
      </c>
      <c r="AF379">
        <v>207530000</v>
      </c>
      <c r="AG379">
        <v>23450000</v>
      </c>
      <c r="AH379">
        <v>390000</v>
      </c>
      <c r="AI379">
        <v>41640000</v>
      </c>
      <c r="AJ379">
        <v>41640000</v>
      </c>
      <c r="AK379">
        <v>0</v>
      </c>
      <c r="AL379">
        <v>0.20064568977979089</v>
      </c>
    </row>
    <row r="380" spans="21:38">
      <c r="U380">
        <v>5.0893340552246959E-2</v>
      </c>
      <c r="V380">
        <v>9.2899999999999991</v>
      </c>
      <c r="W380">
        <v>9.02</v>
      </c>
      <c r="X380">
        <f t="shared" si="5"/>
        <v>2.9492080830147416E-2</v>
      </c>
      <c r="Y380">
        <v>9500</v>
      </c>
      <c r="Z380">
        <v>15000000</v>
      </c>
      <c r="AA380">
        <v>88350</v>
      </c>
      <c r="AB380">
        <v>11880000</v>
      </c>
      <c r="AC380">
        <v>7.9966329966329964E-4</v>
      </c>
      <c r="AD380">
        <v>71102.55</v>
      </c>
      <c r="AE380">
        <v>0.21590000000000001</v>
      </c>
      <c r="AF380">
        <v>207530000</v>
      </c>
      <c r="AG380">
        <v>23450000</v>
      </c>
      <c r="AH380">
        <v>390000</v>
      </c>
      <c r="AI380">
        <v>41640000</v>
      </c>
      <c r="AJ380">
        <v>41640000</v>
      </c>
      <c r="AK380">
        <v>1.2302846878767924E-7</v>
      </c>
      <c r="AL380">
        <v>0.20064568977979089</v>
      </c>
    </row>
    <row r="381" spans="21:38">
      <c r="U381">
        <v>3.2786885245901717E-2</v>
      </c>
      <c r="V381">
        <v>9.4</v>
      </c>
      <c r="W381">
        <v>8.83</v>
      </c>
      <c r="X381">
        <f t="shared" si="5"/>
        <v>6.2534284147010455E-2</v>
      </c>
      <c r="Y381">
        <v>946000</v>
      </c>
      <c r="Z381">
        <v>15000000</v>
      </c>
      <c r="AA381">
        <v>8703200</v>
      </c>
      <c r="AB381">
        <v>11880000</v>
      </c>
      <c r="AC381">
        <v>7.9629629629629634E-2</v>
      </c>
      <c r="AD381">
        <v>71695.03</v>
      </c>
      <c r="AE381">
        <v>0.21640000000000001</v>
      </c>
      <c r="AF381">
        <v>207530000</v>
      </c>
      <c r="AG381">
        <v>23450000</v>
      </c>
      <c r="AH381">
        <v>390000</v>
      </c>
      <c r="AI381">
        <v>41640000</v>
      </c>
      <c r="AJ381">
        <v>41640000</v>
      </c>
      <c r="AK381">
        <v>2.5533392570804009E-9</v>
      </c>
      <c r="AL381">
        <v>0.20064568977979089</v>
      </c>
    </row>
    <row r="382" spans="21:38">
      <c r="U382">
        <v>6.4095600217273202E-2</v>
      </c>
      <c r="V382">
        <v>9</v>
      </c>
      <c r="W382">
        <v>8.9</v>
      </c>
      <c r="X382">
        <f t="shared" si="5"/>
        <v>1.117318435754186E-2</v>
      </c>
      <c r="Y382">
        <v>964000</v>
      </c>
      <c r="Z382">
        <v>15000000</v>
      </c>
      <c r="AA382">
        <v>8676000</v>
      </c>
      <c r="AB382">
        <v>11880000</v>
      </c>
      <c r="AC382">
        <v>8.1144781144781145E-2</v>
      </c>
      <c r="AD382">
        <v>72742.75</v>
      </c>
      <c r="AE382">
        <v>0.21640000000000001</v>
      </c>
      <c r="AF382">
        <v>207530000</v>
      </c>
      <c r="AG382">
        <v>23450000</v>
      </c>
      <c r="AH382">
        <v>390000</v>
      </c>
      <c r="AI382">
        <v>41640000</v>
      </c>
      <c r="AJ382">
        <v>41640000</v>
      </c>
      <c r="AK382">
        <v>6.0663415107616893E-9</v>
      </c>
      <c r="AL382">
        <v>0.20064568977979089</v>
      </c>
    </row>
    <row r="383" spans="21:38">
      <c r="U383">
        <v>1.052077853761156E-3</v>
      </c>
      <c r="V383">
        <v>9.5</v>
      </c>
      <c r="W383">
        <v>9.23</v>
      </c>
      <c r="X383">
        <f t="shared" si="5"/>
        <v>2.8830752802989811E-2</v>
      </c>
      <c r="Y383">
        <v>10000</v>
      </c>
      <c r="Z383">
        <v>15000000</v>
      </c>
      <c r="AA383">
        <v>95000</v>
      </c>
      <c r="AB383">
        <v>11880000</v>
      </c>
      <c r="AC383">
        <v>8.4175084175084171E-4</v>
      </c>
      <c r="AD383">
        <v>71971.399999999994</v>
      </c>
      <c r="AE383">
        <v>0.21640000000000001</v>
      </c>
      <c r="AF383">
        <v>207530000</v>
      </c>
      <c r="AG383">
        <v>23450000</v>
      </c>
      <c r="AH383">
        <v>390000</v>
      </c>
      <c r="AI383">
        <v>41640000</v>
      </c>
      <c r="AJ383">
        <v>41640000</v>
      </c>
      <c r="AK383">
        <v>0</v>
      </c>
      <c r="AL383">
        <v>0.20064568977979089</v>
      </c>
    </row>
    <row r="384" spans="21:38">
      <c r="U384">
        <v>3.1088082901554476E-2</v>
      </c>
      <c r="V384">
        <v>9.65</v>
      </c>
      <c r="W384">
        <v>9.5299999999999994</v>
      </c>
      <c r="X384">
        <f t="shared" si="5"/>
        <v>1.2513034410844734E-2</v>
      </c>
      <c r="Y384">
        <v>10500</v>
      </c>
      <c r="Z384">
        <v>15000000</v>
      </c>
      <c r="AA384">
        <v>99750</v>
      </c>
      <c r="AB384">
        <v>11880000</v>
      </c>
      <c r="AC384">
        <v>8.8383838383838389E-4</v>
      </c>
      <c r="AD384">
        <v>72051.89</v>
      </c>
      <c r="AE384">
        <v>0.21640000000000001</v>
      </c>
      <c r="AF384">
        <v>207530000</v>
      </c>
      <c r="AG384">
        <v>23450000</v>
      </c>
      <c r="AH384">
        <v>390000</v>
      </c>
      <c r="AI384">
        <v>41640000</v>
      </c>
      <c r="AJ384">
        <v>41640000</v>
      </c>
      <c r="AK384">
        <v>1.0541601111084532E-8</v>
      </c>
      <c r="AL384">
        <v>0.20064568977979089</v>
      </c>
    </row>
    <row r="385" spans="21:38">
      <c r="U385">
        <v>2.4922118380062329E-2</v>
      </c>
      <c r="V385">
        <v>9.83</v>
      </c>
      <c r="W385">
        <v>9.52</v>
      </c>
      <c r="X385">
        <f t="shared" si="5"/>
        <v>3.2041343669250696E-2</v>
      </c>
      <c r="Y385">
        <v>3000</v>
      </c>
      <c r="Z385">
        <v>15000000</v>
      </c>
      <c r="AA385">
        <v>28530</v>
      </c>
      <c r="AB385">
        <v>11880000</v>
      </c>
      <c r="AC385">
        <v>2.5252525252525253E-4</v>
      </c>
      <c r="AD385">
        <v>71359.41</v>
      </c>
      <c r="AE385">
        <v>0.21640000000000001</v>
      </c>
      <c r="AF385">
        <v>207530000</v>
      </c>
      <c r="AG385">
        <v>23450000</v>
      </c>
      <c r="AH385">
        <v>390000</v>
      </c>
      <c r="AI385">
        <v>41640000</v>
      </c>
      <c r="AJ385">
        <v>41640000</v>
      </c>
      <c r="AK385">
        <v>6.1556198636783649E-7</v>
      </c>
      <c r="AL385">
        <v>0.20064568977979089</v>
      </c>
    </row>
    <row r="386" spans="21:38">
      <c r="U386">
        <v>3.5989717223650346E-2</v>
      </c>
      <c r="V386">
        <v>9.8000000000000007</v>
      </c>
      <c r="W386">
        <v>9.51</v>
      </c>
      <c r="X386">
        <f t="shared" si="5"/>
        <v>3.003625064733308E-2</v>
      </c>
      <c r="Y386">
        <v>205500</v>
      </c>
      <c r="Z386">
        <v>15000000</v>
      </c>
      <c r="AA386">
        <v>1989240</v>
      </c>
      <c r="AB386">
        <v>11880000</v>
      </c>
      <c r="AC386">
        <v>1.7297979797979798E-2</v>
      </c>
      <c r="AD386">
        <v>71433.460000000006</v>
      </c>
      <c r="AE386">
        <v>0.21640000000000001</v>
      </c>
      <c r="AF386">
        <v>207530000</v>
      </c>
      <c r="AG386">
        <v>23450000</v>
      </c>
      <c r="AH386">
        <v>390000</v>
      </c>
      <c r="AI386">
        <v>41640000</v>
      </c>
      <c r="AJ386">
        <v>41640000</v>
      </c>
      <c r="AK386">
        <v>8.4488159744805295E-9</v>
      </c>
      <c r="AL386">
        <v>0.20064568977979089</v>
      </c>
    </row>
    <row r="387" spans="21:38">
      <c r="U387">
        <v>4.6997389033942676E-2</v>
      </c>
      <c r="V387">
        <v>9.7899999999999991</v>
      </c>
      <c r="W387">
        <v>9.36</v>
      </c>
      <c r="X387">
        <f t="shared" si="5"/>
        <v>4.4908616187989532E-2</v>
      </c>
      <c r="Y387">
        <v>14500</v>
      </c>
      <c r="Z387">
        <v>15000000</v>
      </c>
      <c r="AA387">
        <v>138040</v>
      </c>
      <c r="AB387">
        <v>11880000</v>
      </c>
      <c r="AC387">
        <v>1.2205387205387204E-3</v>
      </c>
      <c r="AD387">
        <v>70909.899999999994</v>
      </c>
      <c r="AE387">
        <v>0.21640000000000001</v>
      </c>
      <c r="AF387">
        <v>207530000</v>
      </c>
      <c r="AG387">
        <v>23450000</v>
      </c>
      <c r="AH387">
        <v>390000</v>
      </c>
      <c r="AI387">
        <v>41640000</v>
      </c>
      <c r="AJ387">
        <v>41640000</v>
      </c>
      <c r="AK387">
        <v>1.4905919796611782E-7</v>
      </c>
      <c r="AL387">
        <v>0.20064568977979089</v>
      </c>
    </row>
    <row r="388" spans="21:38">
      <c r="U388">
        <v>2.0408163265306228E-2</v>
      </c>
      <c r="V388">
        <v>9.6999999999999993</v>
      </c>
      <c r="W388">
        <v>9.6199999999999992</v>
      </c>
      <c r="X388">
        <f t="shared" ref="X388:X451" si="6">(V388-W388)/AVERAGE(V388:W388)</f>
        <v>8.2815734989648108E-3</v>
      </c>
      <c r="Y388">
        <v>12500</v>
      </c>
      <c r="Z388">
        <v>15000000</v>
      </c>
      <c r="AA388">
        <v>121500.00000000001</v>
      </c>
      <c r="AB388">
        <v>11880000</v>
      </c>
      <c r="AC388">
        <v>1.0521885521885522E-3</v>
      </c>
      <c r="AD388">
        <v>70290.12</v>
      </c>
      <c r="AE388">
        <v>0.21640000000000001</v>
      </c>
      <c r="AF388">
        <v>207530000</v>
      </c>
      <c r="AG388">
        <v>23450000</v>
      </c>
      <c r="AH388">
        <v>390000</v>
      </c>
      <c r="AI388">
        <v>41640000</v>
      </c>
      <c r="AJ388">
        <v>41640000</v>
      </c>
      <c r="AK388">
        <v>1.6970005515252935E-8</v>
      </c>
      <c r="AL388">
        <v>0.20064568977979089</v>
      </c>
    </row>
    <row r="389" spans="21:38">
      <c r="U389">
        <v>2.9728344438749457E-2</v>
      </c>
      <c r="V389">
        <v>9.8000000000000007</v>
      </c>
      <c r="W389">
        <v>9.6999999999999993</v>
      </c>
      <c r="X389">
        <f t="shared" si="6"/>
        <v>1.0256410256410402E-2</v>
      </c>
      <c r="Y389">
        <v>14500</v>
      </c>
      <c r="Z389">
        <v>15000000</v>
      </c>
      <c r="AA389">
        <v>140650</v>
      </c>
      <c r="AB389">
        <v>11880000</v>
      </c>
      <c r="AC389">
        <v>1.2205387205387204E-3</v>
      </c>
      <c r="AD389">
        <v>70333.320000000007</v>
      </c>
      <c r="AE389">
        <v>0.21640000000000001</v>
      </c>
      <c r="AF389">
        <v>207530000</v>
      </c>
      <c r="AG389">
        <v>23450000</v>
      </c>
      <c r="AH389">
        <v>390000</v>
      </c>
      <c r="AI389">
        <v>41640000</v>
      </c>
      <c r="AJ389">
        <v>41640000</v>
      </c>
      <c r="AK389">
        <v>4.3708076669794586E-8</v>
      </c>
      <c r="AL389">
        <v>0.20064568977979089</v>
      </c>
    </row>
    <row r="390" spans="21:38">
      <c r="U390">
        <v>2.8455284552845645E-2</v>
      </c>
      <c r="V390">
        <v>9.8000000000000007</v>
      </c>
      <c r="W390">
        <v>9.6999999999999993</v>
      </c>
      <c r="X390">
        <f t="shared" si="6"/>
        <v>1.0256410256410402E-2</v>
      </c>
      <c r="Y390">
        <v>664500</v>
      </c>
      <c r="Z390">
        <v>15000000</v>
      </c>
      <c r="AA390">
        <v>6485520</v>
      </c>
      <c r="AB390">
        <v>11880000</v>
      </c>
      <c r="AC390">
        <v>5.5934343434343434E-2</v>
      </c>
      <c r="AD390">
        <v>70483.66</v>
      </c>
      <c r="AE390">
        <v>0.216</v>
      </c>
      <c r="AF390">
        <v>207530000</v>
      </c>
      <c r="AG390">
        <v>23450000</v>
      </c>
      <c r="AH390">
        <v>390000</v>
      </c>
      <c r="AI390">
        <v>41640000</v>
      </c>
      <c r="AJ390">
        <v>41640000</v>
      </c>
      <c r="AK390">
        <v>2.1804595686104119E-9</v>
      </c>
      <c r="AL390">
        <v>0.20064568977979089</v>
      </c>
    </row>
    <row r="391" spans="21:38">
      <c r="U391">
        <v>3.0456852791878247E-2</v>
      </c>
      <c r="V391">
        <v>9.9</v>
      </c>
      <c r="W391">
        <v>9.8000000000000007</v>
      </c>
      <c r="X391">
        <f t="shared" si="6"/>
        <v>1.0152284263959354E-2</v>
      </c>
      <c r="Y391">
        <v>106000</v>
      </c>
      <c r="Z391">
        <v>15000000</v>
      </c>
      <c r="AA391">
        <v>1049400</v>
      </c>
      <c r="AB391">
        <v>11880000</v>
      </c>
      <c r="AC391">
        <v>8.9225589225589222E-3</v>
      </c>
      <c r="AD391">
        <v>70544.58</v>
      </c>
      <c r="AE391">
        <v>0.216</v>
      </c>
      <c r="AF391">
        <v>207530000</v>
      </c>
      <c r="AG391">
        <v>23450000</v>
      </c>
      <c r="AH391">
        <v>390000</v>
      </c>
      <c r="AI391">
        <v>41640000</v>
      </c>
      <c r="AJ391">
        <v>41640000</v>
      </c>
      <c r="AK391">
        <v>5.7405149471528667E-9</v>
      </c>
      <c r="AL391">
        <v>0.20064568977979089</v>
      </c>
    </row>
    <row r="392" spans="21:38">
      <c r="U392">
        <v>2.7452974072191289E-2</v>
      </c>
      <c r="V392">
        <v>9.94</v>
      </c>
      <c r="W392">
        <v>9.82</v>
      </c>
      <c r="X392">
        <f t="shared" si="6"/>
        <v>1.2145748987854173E-2</v>
      </c>
      <c r="Y392">
        <v>582000</v>
      </c>
      <c r="Z392">
        <v>15000000</v>
      </c>
      <c r="AA392">
        <v>5796720.0000000009</v>
      </c>
      <c r="AB392">
        <v>11880000</v>
      </c>
      <c r="AC392">
        <v>4.8989898989898993E-2</v>
      </c>
      <c r="AD392">
        <v>70314.720000000001</v>
      </c>
      <c r="AE392">
        <v>0.216</v>
      </c>
      <c r="AF392">
        <v>207530000</v>
      </c>
      <c r="AG392">
        <v>23450000</v>
      </c>
      <c r="AH392">
        <v>390000</v>
      </c>
      <c r="AI392">
        <v>41640000</v>
      </c>
      <c r="AJ392">
        <v>41640000</v>
      </c>
      <c r="AK392">
        <v>5.5418154286572852E-9</v>
      </c>
      <c r="AL392">
        <v>0.20064568977979089</v>
      </c>
    </row>
    <row r="393" spans="21:38">
      <c r="U393">
        <v>3.2619775739041824E-2</v>
      </c>
      <c r="V393">
        <v>9.6999999999999993</v>
      </c>
      <c r="W393">
        <v>9.61</v>
      </c>
      <c r="X393">
        <f t="shared" si="6"/>
        <v>9.3215950284826366E-3</v>
      </c>
      <c r="Y393">
        <v>588500</v>
      </c>
      <c r="Z393">
        <v>15000000</v>
      </c>
      <c r="AA393">
        <v>5679025</v>
      </c>
      <c r="AB393">
        <v>11880000</v>
      </c>
      <c r="AC393">
        <v>4.9537037037037039E-2</v>
      </c>
      <c r="AD393">
        <v>69619.990000000005</v>
      </c>
      <c r="AE393">
        <v>0.216</v>
      </c>
      <c r="AF393">
        <v>207530000</v>
      </c>
      <c r="AG393">
        <v>23450000</v>
      </c>
      <c r="AH393">
        <v>390000</v>
      </c>
      <c r="AI393">
        <v>41640000</v>
      </c>
      <c r="AJ393">
        <v>41640000</v>
      </c>
      <c r="AK393">
        <v>3.9249284816703435E-9</v>
      </c>
      <c r="AL393">
        <v>0.20064568977979089</v>
      </c>
    </row>
    <row r="394" spans="21:38">
      <c r="U394">
        <v>3.0769230769230844E-2</v>
      </c>
      <c r="V394">
        <v>9.9499999999999993</v>
      </c>
      <c r="W394">
        <v>9.6999999999999993</v>
      </c>
      <c r="X394">
        <f t="shared" si="6"/>
        <v>2.5445292620865142E-2</v>
      </c>
      <c r="Y394">
        <v>15500</v>
      </c>
      <c r="Z394">
        <v>15000000</v>
      </c>
      <c r="AA394">
        <v>152985</v>
      </c>
      <c r="AB394">
        <v>11880000</v>
      </c>
      <c r="AC394">
        <v>1.3047138047138048E-3</v>
      </c>
      <c r="AD394">
        <v>68416.78</v>
      </c>
      <c r="AE394">
        <v>0.216</v>
      </c>
      <c r="AF394">
        <v>207530000</v>
      </c>
      <c r="AG394">
        <v>23450000</v>
      </c>
      <c r="AH394">
        <v>390000</v>
      </c>
      <c r="AI394">
        <v>41640000</v>
      </c>
      <c r="AJ394">
        <v>41640000</v>
      </c>
      <c r="AK394">
        <v>5.9065559226809267E-8</v>
      </c>
      <c r="AL394">
        <v>0.20064568977979089</v>
      </c>
    </row>
    <row r="395" spans="21:38">
      <c r="U395">
        <v>3.6809815950920366E-2</v>
      </c>
      <c r="V395">
        <v>9.9499999999999993</v>
      </c>
      <c r="W395">
        <v>9.7200000000000006</v>
      </c>
      <c r="X395">
        <f t="shared" si="6"/>
        <v>2.3385866802236768E-2</v>
      </c>
      <c r="Y395">
        <v>29000</v>
      </c>
      <c r="Z395">
        <v>15000000</v>
      </c>
      <c r="AA395">
        <v>288840</v>
      </c>
      <c r="AB395">
        <v>11880000</v>
      </c>
      <c r="AC395">
        <v>2.4410774410774409E-3</v>
      </c>
      <c r="AD395">
        <v>67756.039999999994</v>
      </c>
      <c r="AE395">
        <v>0.216</v>
      </c>
      <c r="AF395">
        <v>207530000</v>
      </c>
      <c r="AG395">
        <v>23450000</v>
      </c>
      <c r="AH395">
        <v>390000</v>
      </c>
      <c r="AI395">
        <v>41640000</v>
      </c>
      <c r="AJ395">
        <v>41640000</v>
      </c>
      <c r="AK395">
        <v>1.3848497438027681E-8</v>
      </c>
      <c r="AL395">
        <v>0.20064568977979089</v>
      </c>
    </row>
    <row r="396" spans="21:38">
      <c r="U396">
        <v>5.1282051282051308E-2</v>
      </c>
      <c r="V396">
        <v>9.9600000000000009</v>
      </c>
      <c r="W396">
        <v>9.6</v>
      </c>
      <c r="X396">
        <f t="shared" si="6"/>
        <v>3.6809815950920366E-2</v>
      </c>
      <c r="Y396">
        <v>0</v>
      </c>
      <c r="Z396">
        <v>15000000</v>
      </c>
      <c r="AA396">
        <v>0</v>
      </c>
      <c r="AB396">
        <v>11880000</v>
      </c>
      <c r="AC396">
        <v>0</v>
      </c>
      <c r="AD396">
        <v>66886.259999999995</v>
      </c>
      <c r="AE396">
        <v>0.216</v>
      </c>
      <c r="AF396">
        <v>207530000</v>
      </c>
      <c r="AG396">
        <v>23450000</v>
      </c>
      <c r="AH396">
        <v>390000</v>
      </c>
      <c r="AI396">
        <v>41640000</v>
      </c>
      <c r="AJ396">
        <v>41640000</v>
      </c>
      <c r="AK396">
        <v>0</v>
      </c>
      <c r="AL396">
        <v>0.20064568977979089</v>
      </c>
    </row>
    <row r="397" spans="21:38">
      <c r="U397">
        <v>5.0125313283208737E-3</v>
      </c>
      <c r="V397">
        <v>10</v>
      </c>
      <c r="W397">
        <v>9.7100000000000009</v>
      </c>
      <c r="X397">
        <f t="shared" si="6"/>
        <v>2.9426686960933448E-2</v>
      </c>
      <c r="Y397">
        <v>47500</v>
      </c>
      <c r="Z397">
        <v>15000000</v>
      </c>
      <c r="AA397">
        <v>475000</v>
      </c>
      <c r="AB397">
        <v>11880000</v>
      </c>
      <c r="AC397">
        <v>3.9983164983164983E-3</v>
      </c>
      <c r="AD397">
        <v>66796.320000000007</v>
      </c>
      <c r="AE397">
        <v>0.216</v>
      </c>
      <c r="AF397">
        <v>207530000</v>
      </c>
      <c r="AG397">
        <v>23450000</v>
      </c>
      <c r="AH397">
        <v>390000</v>
      </c>
      <c r="AI397">
        <v>41640000</v>
      </c>
      <c r="AJ397">
        <v>41640000</v>
      </c>
      <c r="AK397">
        <v>4.2189642442779398E-9</v>
      </c>
      <c r="AL397">
        <v>0.20064568977979089</v>
      </c>
    </row>
    <row r="398" spans="21:38">
      <c r="U398">
        <v>3.562340966921116E-2</v>
      </c>
      <c r="V398">
        <v>9.99</v>
      </c>
      <c r="W398">
        <v>9.7100000000000009</v>
      </c>
      <c r="X398">
        <f t="shared" si="6"/>
        <v>2.8426395939086226E-2</v>
      </c>
      <c r="Y398">
        <v>27000</v>
      </c>
      <c r="Z398">
        <v>15000000</v>
      </c>
      <c r="AA398">
        <v>269460</v>
      </c>
      <c r="AB398">
        <v>11880000</v>
      </c>
      <c r="AC398">
        <v>2.2727272727272726E-3</v>
      </c>
      <c r="AD398">
        <v>67005.11</v>
      </c>
      <c r="AE398">
        <v>0.216</v>
      </c>
      <c r="AF398">
        <v>207530000</v>
      </c>
      <c r="AG398">
        <v>23450000</v>
      </c>
      <c r="AH398">
        <v>390000</v>
      </c>
      <c r="AI398">
        <v>41640000</v>
      </c>
      <c r="AJ398">
        <v>41640000</v>
      </c>
      <c r="AK398">
        <v>1.1189324489291681E-8</v>
      </c>
      <c r="AL398">
        <v>0.20064568977979089</v>
      </c>
    </row>
    <row r="399" spans="21:38">
      <c r="U399">
        <v>4.1476985331310084E-2</v>
      </c>
      <c r="V399">
        <v>9.99</v>
      </c>
      <c r="W399">
        <v>9.7100000000000009</v>
      </c>
      <c r="X399">
        <f t="shared" si="6"/>
        <v>2.8426395939086226E-2</v>
      </c>
      <c r="Y399">
        <v>505500</v>
      </c>
      <c r="Z399">
        <v>15000000</v>
      </c>
      <c r="AA399">
        <v>5029725</v>
      </c>
      <c r="AB399">
        <v>11880000</v>
      </c>
      <c r="AC399">
        <v>4.2550505050505054E-2</v>
      </c>
      <c r="AD399">
        <v>67142.12</v>
      </c>
      <c r="AE399">
        <v>0.216</v>
      </c>
      <c r="AF399">
        <v>207530000</v>
      </c>
      <c r="AG399">
        <v>23450000</v>
      </c>
      <c r="AH399">
        <v>390000</v>
      </c>
      <c r="AI399">
        <v>41640000</v>
      </c>
      <c r="AJ399">
        <v>41640000</v>
      </c>
      <c r="AK399">
        <v>7.248573894861707E-9</v>
      </c>
      <c r="AL399">
        <v>0.20064568977979089</v>
      </c>
    </row>
    <row r="400" spans="21:38">
      <c r="U400">
        <v>0.1016260162601626</v>
      </c>
      <c r="V400">
        <v>9.69</v>
      </c>
      <c r="W400">
        <v>9.35</v>
      </c>
      <c r="X400">
        <f t="shared" si="6"/>
        <v>3.5714285714285698E-2</v>
      </c>
      <c r="Y400">
        <v>510500</v>
      </c>
      <c r="Z400">
        <v>15000000</v>
      </c>
      <c r="AA400">
        <v>4900800</v>
      </c>
      <c r="AB400">
        <v>11880000</v>
      </c>
      <c r="AC400">
        <v>4.2971380471380473E-2</v>
      </c>
      <c r="AD400">
        <v>66547.789999999994</v>
      </c>
      <c r="AE400">
        <v>0.216</v>
      </c>
      <c r="AF400">
        <v>207530000</v>
      </c>
      <c r="AG400">
        <v>23450000</v>
      </c>
      <c r="AH400">
        <v>390000</v>
      </c>
      <c r="AI400">
        <v>41640000</v>
      </c>
      <c r="AJ400">
        <v>41640000</v>
      </c>
      <c r="AK400">
        <v>8.3576234408751583E-9</v>
      </c>
      <c r="AL400">
        <v>0.20064568977979089</v>
      </c>
    </row>
    <row r="401" spans="21:38">
      <c r="U401">
        <v>3.8254046101029969E-2</v>
      </c>
      <c r="V401">
        <v>10.19</v>
      </c>
      <c r="W401">
        <v>10.050000000000001</v>
      </c>
      <c r="X401">
        <f t="shared" si="6"/>
        <v>1.3833992094861539E-2</v>
      </c>
      <c r="Y401">
        <v>35000</v>
      </c>
      <c r="Z401">
        <v>15000000</v>
      </c>
      <c r="AA401">
        <v>350350</v>
      </c>
      <c r="AB401">
        <v>11880000</v>
      </c>
      <c r="AC401">
        <v>2.9461279461279462E-3</v>
      </c>
      <c r="AD401">
        <v>65906.28</v>
      </c>
      <c r="AE401">
        <v>0.216</v>
      </c>
      <c r="AF401">
        <v>207530000</v>
      </c>
      <c r="AG401">
        <v>23450000</v>
      </c>
      <c r="AH401">
        <v>390000</v>
      </c>
      <c r="AI401">
        <v>41640000</v>
      </c>
      <c r="AJ401">
        <v>41640000</v>
      </c>
      <c r="AK401">
        <v>2.8542885685742224E-9</v>
      </c>
      <c r="AL401">
        <v>0.20064568977979089</v>
      </c>
    </row>
    <row r="402" spans="21:38">
      <c r="U402">
        <v>0.10741687979539649</v>
      </c>
      <c r="V402">
        <v>10.1</v>
      </c>
      <c r="W402">
        <v>10</v>
      </c>
      <c r="X402">
        <f t="shared" si="6"/>
        <v>9.9502487562188689E-3</v>
      </c>
      <c r="Y402">
        <v>90500</v>
      </c>
      <c r="Z402">
        <v>15000000</v>
      </c>
      <c r="AA402">
        <v>905000</v>
      </c>
      <c r="AB402">
        <v>11880000</v>
      </c>
      <c r="AC402">
        <v>7.617845117845118E-3</v>
      </c>
      <c r="AD402">
        <v>65525.65</v>
      </c>
      <c r="AE402">
        <v>0.216</v>
      </c>
      <c r="AF402">
        <v>207530000</v>
      </c>
      <c r="AG402">
        <v>23450000</v>
      </c>
      <c r="AH402">
        <v>390000</v>
      </c>
      <c r="AI402">
        <v>41640000</v>
      </c>
      <c r="AJ402">
        <v>41640000</v>
      </c>
      <c r="AK402">
        <v>0</v>
      </c>
      <c r="AL402">
        <v>0.20064568977979089</v>
      </c>
    </row>
    <row r="403" spans="21:38">
      <c r="U403">
        <v>0</v>
      </c>
      <c r="V403">
        <v>38</v>
      </c>
      <c r="W403">
        <v>37.409999999999997</v>
      </c>
      <c r="X403">
        <f t="shared" si="6"/>
        <v>1.5647792070017329E-2</v>
      </c>
      <c r="Y403">
        <v>1500</v>
      </c>
      <c r="Z403">
        <v>380860000</v>
      </c>
      <c r="AA403">
        <v>57000</v>
      </c>
      <c r="AB403">
        <v>179250000</v>
      </c>
      <c r="AC403">
        <v>8.3682008368200836E-6</v>
      </c>
      <c r="AD403">
        <v>75983.039999999994</v>
      </c>
      <c r="AE403">
        <v>0.2157</v>
      </c>
      <c r="AF403">
        <v>41194000000</v>
      </c>
      <c r="AG403">
        <v>16376000000</v>
      </c>
      <c r="AH403">
        <v>389680000</v>
      </c>
      <c r="AI403">
        <v>494580000</v>
      </c>
      <c r="AJ403">
        <v>10107420000</v>
      </c>
      <c r="AK403">
        <v>2.8145229383619545E-7</v>
      </c>
      <c r="AL403">
        <v>0.24536146040685536</v>
      </c>
    </row>
    <row r="404" spans="21:38">
      <c r="U404">
        <v>6.8027210884353748E-2</v>
      </c>
      <c r="V404">
        <v>39</v>
      </c>
      <c r="W404">
        <v>37.020000000000003</v>
      </c>
      <c r="X404">
        <f t="shared" si="6"/>
        <v>5.2091554853985707E-2</v>
      </c>
      <c r="Y404">
        <v>0</v>
      </c>
      <c r="Z404">
        <v>380860000</v>
      </c>
      <c r="AA404">
        <v>0</v>
      </c>
      <c r="AB404">
        <v>179250000</v>
      </c>
      <c r="AC404">
        <v>0</v>
      </c>
      <c r="AD404">
        <v>75114.47</v>
      </c>
      <c r="AE404">
        <v>0.2157</v>
      </c>
      <c r="AF404">
        <v>41194000000</v>
      </c>
      <c r="AG404">
        <v>16376000000</v>
      </c>
      <c r="AH404">
        <v>389680000</v>
      </c>
      <c r="AI404">
        <v>494580000</v>
      </c>
      <c r="AJ404">
        <v>10107420000</v>
      </c>
      <c r="AK404">
        <v>0</v>
      </c>
      <c r="AL404">
        <v>0.24536146040685536</v>
      </c>
    </row>
    <row r="405" spans="21:38">
      <c r="U405">
        <v>5.1835853131749508E-2</v>
      </c>
      <c r="V405">
        <v>37.99</v>
      </c>
      <c r="W405">
        <v>37.4</v>
      </c>
      <c r="X405">
        <f t="shared" si="6"/>
        <v>1.565194322854499E-2</v>
      </c>
      <c r="Y405">
        <v>20000</v>
      </c>
      <c r="Z405">
        <v>380860000</v>
      </c>
      <c r="AA405">
        <v>748000</v>
      </c>
      <c r="AB405">
        <v>179250000</v>
      </c>
      <c r="AC405">
        <v>1.1157601115760112E-4</v>
      </c>
      <c r="AD405">
        <v>74956.67</v>
      </c>
      <c r="AE405">
        <v>0.2157</v>
      </c>
      <c r="AF405">
        <v>41194000000</v>
      </c>
      <c r="AG405">
        <v>16376000000</v>
      </c>
      <c r="AH405">
        <v>389680000</v>
      </c>
      <c r="AI405">
        <v>494580000</v>
      </c>
      <c r="AJ405">
        <v>10107420000</v>
      </c>
      <c r="AK405">
        <v>5.4847113670643128E-8</v>
      </c>
      <c r="AL405">
        <v>0.24536146040685536</v>
      </c>
    </row>
    <row r="406" spans="21:38">
      <c r="U406">
        <v>1.0204081632653024E-2</v>
      </c>
      <c r="V406">
        <v>39</v>
      </c>
      <c r="W406">
        <v>37.01</v>
      </c>
      <c r="X406">
        <f t="shared" si="6"/>
        <v>5.2361531377450393E-2</v>
      </c>
      <c r="Y406">
        <v>1500</v>
      </c>
      <c r="Z406">
        <v>380860000</v>
      </c>
      <c r="AA406">
        <v>58500</v>
      </c>
      <c r="AB406">
        <v>179250000</v>
      </c>
      <c r="AC406">
        <v>8.3682008368200836E-6</v>
      </c>
      <c r="AD406">
        <v>75206.77</v>
      </c>
      <c r="AE406">
        <v>0.2157</v>
      </c>
      <c r="AF406">
        <v>41194000000</v>
      </c>
      <c r="AG406">
        <v>16376000000</v>
      </c>
      <c r="AH406">
        <v>389680000</v>
      </c>
      <c r="AI406">
        <v>494580000</v>
      </c>
      <c r="AJ406">
        <v>10107420000</v>
      </c>
      <c r="AK406">
        <v>0</v>
      </c>
      <c r="AL406">
        <v>0.24536146040685536</v>
      </c>
    </row>
    <row r="407" spans="21:38">
      <c r="U407">
        <v>0</v>
      </c>
      <c r="V407">
        <v>39</v>
      </c>
      <c r="W407">
        <v>37.01</v>
      </c>
      <c r="X407">
        <f t="shared" si="6"/>
        <v>5.2361531377450393E-2</v>
      </c>
      <c r="Y407">
        <v>0</v>
      </c>
      <c r="Z407">
        <v>380860000</v>
      </c>
      <c r="AA407">
        <v>0</v>
      </c>
      <c r="AB407">
        <v>179250000</v>
      </c>
      <c r="AC407">
        <v>0</v>
      </c>
      <c r="AD407">
        <v>75084</v>
      </c>
      <c r="AE407">
        <v>0.2157</v>
      </c>
      <c r="AF407">
        <v>41194000000</v>
      </c>
      <c r="AG407">
        <v>16376000000</v>
      </c>
      <c r="AH407">
        <v>389680000</v>
      </c>
      <c r="AI407">
        <v>494580000</v>
      </c>
      <c r="AJ407">
        <v>10107420000</v>
      </c>
      <c r="AK407">
        <v>0</v>
      </c>
      <c r="AL407">
        <v>0.24536146040685536</v>
      </c>
    </row>
    <row r="408" spans="21:38">
      <c r="U408">
        <v>5.1349572086899352E-2</v>
      </c>
      <c r="V408">
        <v>38.75</v>
      </c>
      <c r="W408">
        <v>37.35</v>
      </c>
      <c r="X408">
        <f t="shared" si="6"/>
        <v>3.6793692509855418E-2</v>
      </c>
      <c r="Y408">
        <v>20000</v>
      </c>
      <c r="Z408">
        <v>380860000</v>
      </c>
      <c r="AA408">
        <v>769200</v>
      </c>
      <c r="AB408">
        <v>179250000</v>
      </c>
      <c r="AC408">
        <v>1.1157601115760112E-4</v>
      </c>
      <c r="AD408">
        <v>75342.350000000006</v>
      </c>
      <c r="AE408">
        <v>0.2157</v>
      </c>
      <c r="AF408">
        <v>41194000000</v>
      </c>
      <c r="AG408">
        <v>16376000000</v>
      </c>
      <c r="AH408">
        <v>389680000</v>
      </c>
      <c r="AI408">
        <v>494580000</v>
      </c>
      <c r="AJ408">
        <v>10107420000</v>
      </c>
      <c r="AK408">
        <v>6.9811011618546964E-8</v>
      </c>
      <c r="AL408">
        <v>0.24536146040685536</v>
      </c>
    </row>
    <row r="409" spans="21:38">
      <c r="U409">
        <v>0</v>
      </c>
      <c r="V409">
        <v>37.25</v>
      </c>
      <c r="W409">
        <v>36.5</v>
      </c>
      <c r="X409">
        <f t="shared" si="6"/>
        <v>2.0338983050847456E-2</v>
      </c>
      <c r="Y409">
        <v>2000</v>
      </c>
      <c r="Z409">
        <v>380860000</v>
      </c>
      <c r="AA409">
        <v>73000</v>
      </c>
      <c r="AB409">
        <v>179250000</v>
      </c>
      <c r="AC409">
        <v>1.1157601115760111E-5</v>
      </c>
      <c r="AD409">
        <v>74930.7</v>
      </c>
      <c r="AE409">
        <v>0.2157</v>
      </c>
      <c r="AF409">
        <v>41194000000</v>
      </c>
      <c r="AG409">
        <v>16376000000</v>
      </c>
      <c r="AH409">
        <v>389680000</v>
      </c>
      <c r="AI409">
        <v>494580000</v>
      </c>
      <c r="AJ409">
        <v>10107420000</v>
      </c>
      <c r="AK409">
        <v>3.4749529052435312E-7</v>
      </c>
      <c r="AL409">
        <v>0.24536146040685536</v>
      </c>
    </row>
    <row r="410" spans="21:38">
      <c r="U410">
        <v>1.3693113169552905E-2</v>
      </c>
      <c r="V410">
        <v>37.979999999999997</v>
      </c>
      <c r="W410">
        <v>37.450000000000003</v>
      </c>
      <c r="X410">
        <f t="shared" si="6"/>
        <v>1.4052764152193928E-2</v>
      </c>
      <c r="Y410">
        <v>7500</v>
      </c>
      <c r="Z410">
        <v>380860000</v>
      </c>
      <c r="AA410">
        <v>280875</v>
      </c>
      <c r="AB410">
        <v>179250000</v>
      </c>
      <c r="AC410">
        <v>4.1841004184100421E-5</v>
      </c>
      <c r="AD410">
        <v>74663.98</v>
      </c>
      <c r="AE410">
        <v>0.2157</v>
      </c>
      <c r="AF410">
        <v>41194000000</v>
      </c>
      <c r="AG410">
        <v>16376000000</v>
      </c>
      <c r="AH410">
        <v>389680000</v>
      </c>
      <c r="AI410">
        <v>494580000</v>
      </c>
      <c r="AJ410">
        <v>10107420000</v>
      </c>
      <c r="AK410">
        <v>1.4340107798051752E-7</v>
      </c>
      <c r="AL410">
        <v>0.24536146040685536</v>
      </c>
    </row>
    <row r="411" spans="21:38">
      <c r="U411">
        <v>1.3793103448275862E-2</v>
      </c>
      <c r="V411">
        <v>36.49</v>
      </c>
      <c r="W411">
        <v>35.51</v>
      </c>
      <c r="X411">
        <f t="shared" si="6"/>
        <v>2.7222222222222332E-2</v>
      </c>
      <c r="Y411">
        <v>456500</v>
      </c>
      <c r="Z411">
        <v>380860000</v>
      </c>
      <c r="AA411">
        <v>16434000</v>
      </c>
      <c r="AB411">
        <v>179250000</v>
      </c>
      <c r="AC411">
        <v>2.5467224546722456E-3</v>
      </c>
      <c r="AD411">
        <v>74531.19</v>
      </c>
      <c r="AE411">
        <v>0.21590000000000001</v>
      </c>
      <c r="AF411">
        <v>41194000000</v>
      </c>
      <c r="AG411">
        <v>16376000000</v>
      </c>
      <c r="AH411">
        <v>389680000</v>
      </c>
      <c r="AI411">
        <v>494580000</v>
      </c>
      <c r="AJ411">
        <v>10107420000</v>
      </c>
      <c r="AK411">
        <v>0</v>
      </c>
      <c r="AL411">
        <v>0.24536146040685536</v>
      </c>
    </row>
    <row r="412" spans="21:38">
      <c r="U412">
        <v>0.13079092251913535</v>
      </c>
      <c r="V412">
        <v>37.700000000000003</v>
      </c>
      <c r="W412">
        <v>36.01</v>
      </c>
      <c r="X412">
        <f t="shared" si="6"/>
        <v>4.5855379188712651E-2</v>
      </c>
      <c r="Y412">
        <v>15000</v>
      </c>
      <c r="Z412">
        <v>380860000</v>
      </c>
      <c r="AA412">
        <v>540000</v>
      </c>
      <c r="AB412">
        <v>179250000</v>
      </c>
      <c r="AC412">
        <v>8.3682008368200843E-5</v>
      </c>
      <c r="AD412">
        <v>73799.11</v>
      </c>
      <c r="AE412">
        <v>0.21590000000000001</v>
      </c>
      <c r="AF412">
        <v>41194000000</v>
      </c>
      <c r="AG412">
        <v>16376000000</v>
      </c>
      <c r="AH412">
        <v>389680000</v>
      </c>
      <c r="AI412">
        <v>494580000</v>
      </c>
      <c r="AJ412">
        <v>10107420000</v>
      </c>
      <c r="AK412">
        <v>4.5167118337849978E-8</v>
      </c>
      <c r="AL412">
        <v>0.24536146040685536</v>
      </c>
    </row>
    <row r="413" spans="21:38">
      <c r="U413">
        <v>5.5555555555555552E-2</v>
      </c>
      <c r="V413">
        <v>36.979999999999997</v>
      </c>
      <c r="W413">
        <v>35</v>
      </c>
      <c r="X413">
        <f t="shared" si="6"/>
        <v>5.501528202278403E-2</v>
      </c>
      <c r="Y413">
        <v>41500</v>
      </c>
      <c r="Z413">
        <v>380860000</v>
      </c>
      <c r="AA413">
        <v>1531350</v>
      </c>
      <c r="AB413">
        <v>179250000</v>
      </c>
      <c r="AC413">
        <v>2.3152022315202231E-4</v>
      </c>
      <c r="AD413">
        <v>73085.5</v>
      </c>
      <c r="AE413">
        <v>0.21590000000000001</v>
      </c>
      <c r="AF413">
        <v>41194000000</v>
      </c>
      <c r="AG413">
        <v>16376000000</v>
      </c>
      <c r="AH413">
        <v>389680000</v>
      </c>
      <c r="AI413">
        <v>494580000</v>
      </c>
      <c r="AJ413">
        <v>10107420000</v>
      </c>
      <c r="AK413">
        <v>3.5646341374765287E-8</v>
      </c>
      <c r="AL413">
        <v>0.24536146040685536</v>
      </c>
    </row>
    <row r="414" spans="21:38">
      <c r="U414">
        <v>0</v>
      </c>
      <c r="V414">
        <v>34.99</v>
      </c>
      <c r="W414">
        <v>34.1</v>
      </c>
      <c r="X414">
        <f t="shared" si="6"/>
        <v>2.5763496888116966E-2</v>
      </c>
      <c r="Y414">
        <v>1500</v>
      </c>
      <c r="Z414">
        <v>380860000</v>
      </c>
      <c r="AA414">
        <v>52485</v>
      </c>
      <c r="AB414">
        <v>179250000</v>
      </c>
      <c r="AC414">
        <v>8.3682008368200836E-6</v>
      </c>
      <c r="AD414">
        <v>72658.05</v>
      </c>
      <c r="AE414">
        <v>0.21590000000000001</v>
      </c>
      <c r="AF414">
        <v>41194000000</v>
      </c>
      <c r="AG414">
        <v>16376000000</v>
      </c>
      <c r="AH414">
        <v>389680000</v>
      </c>
      <c r="AI414">
        <v>494580000</v>
      </c>
      <c r="AJ414">
        <v>10107420000</v>
      </c>
      <c r="AK414">
        <v>0</v>
      </c>
      <c r="AL414">
        <v>0.24536146040685536</v>
      </c>
    </row>
    <row r="415" spans="21:38">
      <c r="U415">
        <v>0</v>
      </c>
      <c r="V415">
        <v>34.99</v>
      </c>
      <c r="W415">
        <v>32.5</v>
      </c>
      <c r="X415">
        <f t="shared" si="6"/>
        <v>7.3788709438435379E-2</v>
      </c>
      <c r="Y415">
        <v>0</v>
      </c>
      <c r="Z415">
        <v>380860000</v>
      </c>
      <c r="AA415">
        <v>0</v>
      </c>
      <c r="AB415">
        <v>179250000</v>
      </c>
      <c r="AC415">
        <v>0</v>
      </c>
      <c r="AD415">
        <v>72601.820000000007</v>
      </c>
      <c r="AE415">
        <v>0.21590000000000001</v>
      </c>
      <c r="AF415">
        <v>41194000000</v>
      </c>
      <c r="AG415">
        <v>16376000000</v>
      </c>
      <c r="AH415">
        <v>389680000</v>
      </c>
      <c r="AI415">
        <v>494580000</v>
      </c>
      <c r="AJ415">
        <v>10107420000</v>
      </c>
      <c r="AK415">
        <v>0</v>
      </c>
      <c r="AL415">
        <v>0.24536146040685536</v>
      </c>
    </row>
    <row r="416" spans="21:38">
      <c r="U416">
        <v>0</v>
      </c>
      <c r="V416">
        <v>34.92</v>
      </c>
      <c r="W416">
        <v>33.549999999999997</v>
      </c>
      <c r="X416">
        <f t="shared" si="6"/>
        <v>4.0017525923762363E-2</v>
      </c>
      <c r="Y416">
        <v>500</v>
      </c>
      <c r="Z416">
        <v>380860000</v>
      </c>
      <c r="AA416">
        <v>17500</v>
      </c>
      <c r="AB416">
        <v>179250000</v>
      </c>
      <c r="AC416">
        <v>2.7894002789400277E-6</v>
      </c>
      <c r="AD416">
        <v>72761.2</v>
      </c>
      <c r="AE416">
        <v>0.21590000000000001</v>
      </c>
      <c r="AF416">
        <v>41194000000</v>
      </c>
      <c r="AG416">
        <v>16376000000</v>
      </c>
      <c r="AH416">
        <v>389680000</v>
      </c>
      <c r="AI416">
        <v>494580000</v>
      </c>
      <c r="AJ416">
        <v>10107420000</v>
      </c>
      <c r="AK416">
        <v>8.1749437972609284E-8</v>
      </c>
      <c r="AL416">
        <v>0.24536146040685536</v>
      </c>
    </row>
    <row r="417" spans="21:38">
      <c r="U417">
        <v>2.7556200145032714E-2</v>
      </c>
      <c r="V417">
        <v>35.380000000000003</v>
      </c>
      <c r="W417">
        <v>33.6</v>
      </c>
      <c r="X417">
        <f t="shared" si="6"/>
        <v>5.1609162075964075E-2</v>
      </c>
      <c r="Y417">
        <v>1500</v>
      </c>
      <c r="Z417">
        <v>380860000</v>
      </c>
      <c r="AA417">
        <v>52425.000000000007</v>
      </c>
      <c r="AB417">
        <v>179250000</v>
      </c>
      <c r="AC417">
        <v>8.3682008368200836E-6</v>
      </c>
      <c r="AD417">
        <v>72764.240000000005</v>
      </c>
      <c r="AE417">
        <v>0.21590000000000001</v>
      </c>
      <c r="AF417">
        <v>41194000000</v>
      </c>
      <c r="AG417">
        <v>16376000000</v>
      </c>
      <c r="AH417">
        <v>389680000</v>
      </c>
      <c r="AI417">
        <v>494580000</v>
      </c>
      <c r="AJ417">
        <v>10107420000</v>
      </c>
      <c r="AK417">
        <v>1.1578069110941779E-6</v>
      </c>
      <c r="AL417">
        <v>0.24536146040685536</v>
      </c>
    </row>
    <row r="418" spans="21:38">
      <c r="U418">
        <v>1.4058679706601494E-2</v>
      </c>
      <c r="V418">
        <v>33</v>
      </c>
      <c r="W418">
        <v>32.56</v>
      </c>
      <c r="X418">
        <f t="shared" si="6"/>
        <v>1.3422818791946239E-2</v>
      </c>
      <c r="Y418">
        <v>3000</v>
      </c>
      <c r="Z418">
        <v>380860000</v>
      </c>
      <c r="AA418">
        <v>98850.000000000015</v>
      </c>
      <c r="AB418">
        <v>179250000</v>
      </c>
      <c r="AC418">
        <v>1.6736401673640167E-5</v>
      </c>
      <c r="AD418">
        <v>71902.09</v>
      </c>
      <c r="AE418">
        <v>0.21590000000000001</v>
      </c>
      <c r="AF418">
        <v>41194000000</v>
      </c>
      <c r="AG418">
        <v>16376000000</v>
      </c>
      <c r="AH418">
        <v>389680000</v>
      </c>
      <c r="AI418">
        <v>494580000</v>
      </c>
      <c r="AJ418">
        <v>10107420000</v>
      </c>
      <c r="AK418">
        <v>1.4007237072487537E-7</v>
      </c>
      <c r="AL418">
        <v>0.24536146040685536</v>
      </c>
    </row>
    <row r="419" spans="21:38">
      <c r="U419">
        <v>1.5372790161413423E-3</v>
      </c>
      <c r="V419">
        <v>33</v>
      </c>
      <c r="W419">
        <v>32.299999999999997</v>
      </c>
      <c r="X419">
        <f t="shared" si="6"/>
        <v>2.1439509954058279E-2</v>
      </c>
      <c r="Y419">
        <v>1500</v>
      </c>
      <c r="Z419">
        <v>380860000</v>
      </c>
      <c r="AA419">
        <v>48750</v>
      </c>
      <c r="AB419">
        <v>179250000</v>
      </c>
      <c r="AC419">
        <v>8.3682008368200836E-6</v>
      </c>
      <c r="AD419">
        <v>70657.64</v>
      </c>
      <c r="AE419">
        <v>0.21590000000000001</v>
      </c>
      <c r="AF419">
        <v>41194000000</v>
      </c>
      <c r="AG419">
        <v>16376000000</v>
      </c>
      <c r="AH419">
        <v>389680000</v>
      </c>
      <c r="AI419">
        <v>494580000</v>
      </c>
      <c r="AJ419">
        <v>10107420000</v>
      </c>
      <c r="AK419">
        <v>6.1232300038270182E-7</v>
      </c>
      <c r="AL419">
        <v>0.24536146040685536</v>
      </c>
    </row>
    <row r="420" spans="21:38">
      <c r="U420">
        <v>4.8484848484848311E-2</v>
      </c>
      <c r="V420">
        <v>33.5</v>
      </c>
      <c r="W420">
        <v>32.6</v>
      </c>
      <c r="X420">
        <f t="shared" si="6"/>
        <v>2.7231467473524923E-2</v>
      </c>
      <c r="Y420">
        <v>5000</v>
      </c>
      <c r="Z420">
        <v>380860000</v>
      </c>
      <c r="AA420">
        <v>167500</v>
      </c>
      <c r="AB420">
        <v>179250000</v>
      </c>
      <c r="AC420">
        <v>2.789400278940028E-5</v>
      </c>
      <c r="AD420">
        <v>71102.55</v>
      </c>
      <c r="AE420">
        <v>0.21590000000000001</v>
      </c>
      <c r="AF420">
        <v>41194000000</v>
      </c>
      <c r="AG420">
        <v>16376000000</v>
      </c>
      <c r="AH420">
        <v>389680000</v>
      </c>
      <c r="AI420">
        <v>494580000</v>
      </c>
      <c r="AJ420">
        <v>10107420000</v>
      </c>
      <c r="AK420">
        <v>7.1370582830020514E-9</v>
      </c>
      <c r="AL420">
        <v>0.24536146040685536</v>
      </c>
    </row>
    <row r="421" spans="21:38">
      <c r="U421">
        <v>4.0816326530612318E-2</v>
      </c>
      <c r="V421">
        <v>33.65</v>
      </c>
      <c r="W421">
        <v>33.1</v>
      </c>
      <c r="X421">
        <f t="shared" si="6"/>
        <v>1.6479400749063584E-2</v>
      </c>
      <c r="Y421">
        <v>5500</v>
      </c>
      <c r="Z421">
        <v>380860000</v>
      </c>
      <c r="AA421">
        <v>184030</v>
      </c>
      <c r="AB421">
        <v>179250000</v>
      </c>
      <c r="AC421">
        <v>3.0683403068340305E-5</v>
      </c>
      <c r="AD421">
        <v>71695.03</v>
      </c>
      <c r="AE421">
        <v>0.21640000000000001</v>
      </c>
      <c r="AF421">
        <v>41194000000</v>
      </c>
      <c r="AG421">
        <v>16376000000</v>
      </c>
      <c r="AH421">
        <v>389680000</v>
      </c>
      <c r="AI421">
        <v>494580000</v>
      </c>
      <c r="AJ421">
        <v>10107420000</v>
      </c>
      <c r="AK421">
        <v>2.6713956237011549E-7</v>
      </c>
      <c r="AL421">
        <v>0.24536146040685536</v>
      </c>
    </row>
    <row r="422" spans="21:38">
      <c r="U422">
        <v>8.6956521739130432E-2</v>
      </c>
      <c r="V422">
        <v>35.200000000000003</v>
      </c>
      <c r="W422">
        <v>34.36</v>
      </c>
      <c r="X422">
        <f t="shared" si="6"/>
        <v>2.4151811385854035E-2</v>
      </c>
      <c r="Y422">
        <v>15500</v>
      </c>
      <c r="Z422">
        <v>380860000</v>
      </c>
      <c r="AA422">
        <v>545445</v>
      </c>
      <c r="AB422">
        <v>179250000</v>
      </c>
      <c r="AC422">
        <v>8.6471408647140858E-5</v>
      </c>
      <c r="AD422">
        <v>72742.75</v>
      </c>
      <c r="AE422">
        <v>0.21640000000000001</v>
      </c>
      <c r="AF422">
        <v>41194000000</v>
      </c>
      <c r="AG422">
        <v>16376000000</v>
      </c>
      <c r="AH422">
        <v>389680000</v>
      </c>
      <c r="AI422">
        <v>494580000</v>
      </c>
      <c r="AJ422">
        <v>10107420000</v>
      </c>
      <c r="AK422">
        <v>6.3609855699182554E-8</v>
      </c>
      <c r="AL422">
        <v>0.24536146040685536</v>
      </c>
    </row>
    <row r="423" spans="21:38">
      <c r="U423">
        <v>0</v>
      </c>
      <c r="V423">
        <v>35</v>
      </c>
      <c r="W423">
        <v>33.4</v>
      </c>
      <c r="X423">
        <f t="shared" si="6"/>
        <v>4.6783625730994191E-2</v>
      </c>
      <c r="Y423">
        <v>0</v>
      </c>
      <c r="Z423">
        <v>380860000</v>
      </c>
      <c r="AA423">
        <v>0</v>
      </c>
      <c r="AB423">
        <v>179250000</v>
      </c>
      <c r="AC423">
        <v>0</v>
      </c>
      <c r="AD423">
        <v>71971.399999999994</v>
      </c>
      <c r="AE423">
        <v>0.21640000000000001</v>
      </c>
      <c r="AF423">
        <v>41194000000</v>
      </c>
      <c r="AG423">
        <v>16376000000</v>
      </c>
      <c r="AH423">
        <v>389680000</v>
      </c>
      <c r="AI423">
        <v>494580000</v>
      </c>
      <c r="AJ423">
        <v>10107420000</v>
      </c>
      <c r="AK423">
        <v>0</v>
      </c>
      <c r="AL423">
        <v>0.24536146040685536</v>
      </c>
    </row>
    <row r="424" spans="21:38">
      <c r="U424">
        <v>0</v>
      </c>
      <c r="V424">
        <v>34.700000000000003</v>
      </c>
      <c r="W424">
        <v>34.1</v>
      </c>
      <c r="X424">
        <f t="shared" si="6"/>
        <v>1.7441860465116317E-2</v>
      </c>
      <c r="Y424">
        <v>500</v>
      </c>
      <c r="Z424">
        <v>380860000</v>
      </c>
      <c r="AA424">
        <v>17005</v>
      </c>
      <c r="AB424">
        <v>179250000</v>
      </c>
      <c r="AC424">
        <v>2.7894002789400277E-6</v>
      </c>
      <c r="AD424">
        <v>72051.89</v>
      </c>
      <c r="AE424">
        <v>0.21640000000000001</v>
      </c>
      <c r="AF424">
        <v>41194000000</v>
      </c>
      <c r="AG424">
        <v>16376000000</v>
      </c>
      <c r="AH424">
        <v>389680000</v>
      </c>
      <c r="AI424">
        <v>494580000</v>
      </c>
      <c r="AJ424">
        <v>10107420000</v>
      </c>
      <c r="AK424">
        <v>1.4832182701478179E-6</v>
      </c>
      <c r="AL424">
        <v>0.24536146040685536</v>
      </c>
    </row>
    <row r="425" spans="21:38">
      <c r="U425">
        <v>3.4682080924855571E-2</v>
      </c>
      <c r="V425">
        <v>34.9</v>
      </c>
      <c r="W425">
        <v>33.51</v>
      </c>
      <c r="X425">
        <f t="shared" si="6"/>
        <v>4.0637333723139914E-2</v>
      </c>
      <c r="Y425">
        <v>4500</v>
      </c>
      <c r="Z425">
        <v>380860000</v>
      </c>
      <c r="AA425">
        <v>157005</v>
      </c>
      <c r="AB425">
        <v>179250000</v>
      </c>
      <c r="AC425">
        <v>2.5104602510460251E-5</v>
      </c>
      <c r="AD425">
        <v>71359.41</v>
      </c>
      <c r="AE425">
        <v>0.21640000000000001</v>
      </c>
      <c r="AF425">
        <v>41194000000</v>
      </c>
      <c r="AG425">
        <v>16376000000</v>
      </c>
      <c r="AH425">
        <v>389680000</v>
      </c>
      <c r="AI425">
        <v>494580000</v>
      </c>
      <c r="AJ425">
        <v>10107420000</v>
      </c>
      <c r="AK425">
        <v>3.6478282394017569E-7</v>
      </c>
      <c r="AL425">
        <v>0.24536146040685536</v>
      </c>
    </row>
    <row r="426" spans="21:38">
      <c r="U426">
        <v>0</v>
      </c>
      <c r="V426">
        <v>34</v>
      </c>
      <c r="W426">
        <v>32.630000000000003</v>
      </c>
      <c r="X426">
        <f t="shared" si="6"/>
        <v>4.1122617439591704E-2</v>
      </c>
      <c r="Y426">
        <v>1000</v>
      </c>
      <c r="Z426">
        <v>380860000</v>
      </c>
      <c r="AA426">
        <v>33000</v>
      </c>
      <c r="AB426">
        <v>179250000</v>
      </c>
      <c r="AC426">
        <v>5.5788005578800554E-6</v>
      </c>
      <c r="AD426">
        <v>71433.460000000006</v>
      </c>
      <c r="AE426">
        <v>0.21640000000000001</v>
      </c>
      <c r="AF426">
        <v>41194000000</v>
      </c>
      <c r="AG426">
        <v>16376000000</v>
      </c>
      <c r="AH426">
        <v>389680000</v>
      </c>
      <c r="AI426">
        <v>494580000</v>
      </c>
      <c r="AJ426">
        <v>10107420000</v>
      </c>
      <c r="AK426">
        <v>0</v>
      </c>
      <c r="AL426">
        <v>0.24536146040685536</v>
      </c>
    </row>
    <row r="427" spans="21:38">
      <c r="U427">
        <v>0</v>
      </c>
      <c r="V427">
        <v>34</v>
      </c>
      <c r="W427">
        <v>32.700000000000003</v>
      </c>
      <c r="X427">
        <f t="shared" si="6"/>
        <v>3.8980509745127352E-2</v>
      </c>
      <c r="Y427">
        <v>1500</v>
      </c>
      <c r="Z427">
        <v>380860000</v>
      </c>
      <c r="AA427">
        <v>49500</v>
      </c>
      <c r="AB427">
        <v>179250000</v>
      </c>
      <c r="AC427">
        <v>8.3682008368200836E-6</v>
      </c>
      <c r="AD427">
        <v>70909.899999999994</v>
      </c>
      <c r="AE427">
        <v>0.21640000000000001</v>
      </c>
      <c r="AF427">
        <v>41194000000</v>
      </c>
      <c r="AG427">
        <v>16376000000</v>
      </c>
      <c r="AH427">
        <v>389680000</v>
      </c>
      <c r="AI427">
        <v>494580000</v>
      </c>
      <c r="AJ427">
        <v>10107420000</v>
      </c>
      <c r="AK427">
        <v>0</v>
      </c>
      <c r="AL427">
        <v>0.24536146040685536</v>
      </c>
    </row>
    <row r="428" spans="21:38">
      <c r="U428">
        <v>1.3729977116704893E-2</v>
      </c>
      <c r="V428">
        <v>33.4</v>
      </c>
      <c r="W428">
        <v>32.71</v>
      </c>
      <c r="X428">
        <f t="shared" si="6"/>
        <v>2.0874300408410158E-2</v>
      </c>
      <c r="Y428">
        <v>2000</v>
      </c>
      <c r="Z428">
        <v>380860000</v>
      </c>
      <c r="AA428">
        <v>66000</v>
      </c>
      <c r="AB428">
        <v>179250000</v>
      </c>
      <c r="AC428">
        <v>1.1157601115760111E-5</v>
      </c>
      <c r="AD428">
        <v>70290.12</v>
      </c>
      <c r="AE428">
        <v>0.21640000000000001</v>
      </c>
      <c r="AF428">
        <v>41194000000</v>
      </c>
      <c r="AG428">
        <v>16376000000</v>
      </c>
      <c r="AH428">
        <v>389680000</v>
      </c>
      <c r="AI428">
        <v>494580000</v>
      </c>
      <c r="AJ428">
        <v>10107420000</v>
      </c>
      <c r="AK428">
        <v>4.2397465077877573E-7</v>
      </c>
      <c r="AL428">
        <v>0.24536146040685536</v>
      </c>
    </row>
    <row r="429" spans="21:38">
      <c r="U429">
        <v>9.1788947861379991E-2</v>
      </c>
      <c r="V429">
        <v>33.65</v>
      </c>
      <c r="W429">
        <v>32.700000000000003</v>
      </c>
      <c r="X429">
        <f t="shared" si="6"/>
        <v>2.8636021100225947E-2</v>
      </c>
      <c r="Y429">
        <v>0</v>
      </c>
      <c r="Z429">
        <v>380860000</v>
      </c>
      <c r="AA429">
        <v>0</v>
      </c>
      <c r="AB429">
        <v>179250000</v>
      </c>
      <c r="AC429">
        <v>0</v>
      </c>
      <c r="AD429">
        <v>70333.320000000007</v>
      </c>
      <c r="AE429">
        <v>0.21640000000000001</v>
      </c>
      <c r="AF429">
        <v>41194000000</v>
      </c>
      <c r="AG429">
        <v>16376000000</v>
      </c>
      <c r="AH429">
        <v>389680000</v>
      </c>
      <c r="AI429">
        <v>494580000</v>
      </c>
      <c r="AJ429">
        <v>10107420000</v>
      </c>
      <c r="AK429">
        <v>0</v>
      </c>
      <c r="AL429">
        <v>0.24536146040685536</v>
      </c>
    </row>
    <row r="430" spans="21:38">
      <c r="U430">
        <v>1.4716703458424476E-3</v>
      </c>
      <c r="V430">
        <v>33.880000000000003</v>
      </c>
      <c r="W430">
        <v>32.6</v>
      </c>
      <c r="X430">
        <f t="shared" si="6"/>
        <v>3.8507821901323736E-2</v>
      </c>
      <c r="Y430">
        <v>2000</v>
      </c>
      <c r="Z430">
        <v>380860000</v>
      </c>
      <c r="AA430">
        <v>67900</v>
      </c>
      <c r="AB430">
        <v>179250000</v>
      </c>
      <c r="AC430">
        <v>1.1157601115760111E-5</v>
      </c>
      <c r="AD430">
        <v>70483.66</v>
      </c>
      <c r="AE430">
        <v>0.216</v>
      </c>
      <c r="AF430">
        <v>41194000000</v>
      </c>
      <c r="AG430">
        <v>16376000000</v>
      </c>
      <c r="AH430">
        <v>389680000</v>
      </c>
      <c r="AI430">
        <v>494580000</v>
      </c>
      <c r="AJ430">
        <v>10107420000</v>
      </c>
      <c r="AK430">
        <v>1.9783263359198245E-7</v>
      </c>
      <c r="AL430">
        <v>0.24536146040685536</v>
      </c>
    </row>
    <row r="431" spans="21:38">
      <c r="U431">
        <v>0</v>
      </c>
      <c r="V431">
        <v>33.950000000000003</v>
      </c>
      <c r="W431">
        <v>32.6</v>
      </c>
      <c r="X431">
        <f t="shared" si="6"/>
        <v>4.0570999248685236E-2</v>
      </c>
      <c r="Y431">
        <v>500</v>
      </c>
      <c r="Z431">
        <v>380860000</v>
      </c>
      <c r="AA431">
        <v>16750</v>
      </c>
      <c r="AB431">
        <v>179250000</v>
      </c>
      <c r="AC431">
        <v>2.7894002789400277E-6</v>
      </c>
      <c r="AD431">
        <v>70544.58</v>
      </c>
      <c r="AE431">
        <v>0.216</v>
      </c>
      <c r="AF431">
        <v>41194000000</v>
      </c>
      <c r="AG431">
        <v>16376000000</v>
      </c>
      <c r="AH431">
        <v>389680000</v>
      </c>
      <c r="AI431">
        <v>494580000</v>
      </c>
      <c r="AJ431">
        <v>10107420000</v>
      </c>
      <c r="AK431">
        <v>7.3972837534899674E-7</v>
      </c>
      <c r="AL431">
        <v>0.24536146040685536</v>
      </c>
    </row>
    <row r="432" spans="21:38">
      <c r="U432">
        <v>0</v>
      </c>
      <c r="V432">
        <v>34.380000000000003</v>
      </c>
      <c r="W432">
        <v>33.03</v>
      </c>
      <c r="X432">
        <f t="shared" si="6"/>
        <v>4.0053404539385891E-2</v>
      </c>
      <c r="Y432">
        <v>1000</v>
      </c>
      <c r="Z432">
        <v>380860000</v>
      </c>
      <c r="AA432">
        <v>33090</v>
      </c>
      <c r="AB432">
        <v>179250000</v>
      </c>
      <c r="AC432">
        <v>5.5788005578800554E-6</v>
      </c>
      <c r="AD432">
        <v>70314.720000000001</v>
      </c>
      <c r="AE432">
        <v>0.216</v>
      </c>
      <c r="AF432">
        <v>41194000000</v>
      </c>
      <c r="AG432">
        <v>16376000000</v>
      </c>
      <c r="AH432">
        <v>389680000</v>
      </c>
      <c r="AI432">
        <v>494580000</v>
      </c>
      <c r="AJ432">
        <v>10107420000</v>
      </c>
      <c r="AK432">
        <v>6.4065497636074906E-8</v>
      </c>
      <c r="AL432">
        <v>0.24536146040685536</v>
      </c>
    </row>
    <row r="433" spans="21:38">
      <c r="U433">
        <v>2.5430067314884112E-2</v>
      </c>
      <c r="V433">
        <v>33.6</v>
      </c>
      <c r="W433">
        <v>33.01</v>
      </c>
      <c r="X433">
        <f t="shared" si="6"/>
        <v>1.7715057799129363E-2</v>
      </c>
      <c r="Y433">
        <v>4000</v>
      </c>
      <c r="Z433">
        <v>380860000</v>
      </c>
      <c r="AA433">
        <v>132080</v>
      </c>
      <c r="AB433">
        <v>179250000</v>
      </c>
      <c r="AC433">
        <v>2.2315202231520222E-5</v>
      </c>
      <c r="AD433">
        <v>69619.990000000005</v>
      </c>
      <c r="AE433">
        <v>0.216</v>
      </c>
      <c r="AF433">
        <v>41194000000</v>
      </c>
      <c r="AG433">
        <v>16376000000</v>
      </c>
      <c r="AH433">
        <v>389680000</v>
      </c>
      <c r="AI433">
        <v>494580000</v>
      </c>
      <c r="AJ433">
        <v>10107420000</v>
      </c>
      <c r="AK433">
        <v>1.856446162613944E-7</v>
      </c>
      <c r="AL433">
        <v>0.24536146040685536</v>
      </c>
    </row>
    <row r="434" spans="21:38">
      <c r="U434">
        <v>1.1574417569372327E-2</v>
      </c>
      <c r="V434">
        <v>34.25</v>
      </c>
      <c r="W434">
        <v>33</v>
      </c>
      <c r="X434">
        <f t="shared" si="6"/>
        <v>3.717472118959108E-2</v>
      </c>
      <c r="Y434">
        <v>7500</v>
      </c>
      <c r="Z434">
        <v>380860000</v>
      </c>
      <c r="AA434">
        <v>253875</v>
      </c>
      <c r="AB434">
        <v>179250000</v>
      </c>
      <c r="AC434">
        <v>4.1841004184100421E-5</v>
      </c>
      <c r="AD434">
        <v>68416.78</v>
      </c>
      <c r="AE434">
        <v>0.216</v>
      </c>
      <c r="AF434">
        <v>41194000000</v>
      </c>
      <c r="AG434">
        <v>16376000000</v>
      </c>
      <c r="AH434">
        <v>389680000</v>
      </c>
      <c r="AI434">
        <v>494580000</v>
      </c>
      <c r="AJ434">
        <v>10107420000</v>
      </c>
      <c r="AK434">
        <v>4.1153170631333896E-8</v>
      </c>
      <c r="AL434">
        <v>0.24536146040685536</v>
      </c>
    </row>
    <row r="435" spans="21:38">
      <c r="U435">
        <v>1.3221153846153777E-2</v>
      </c>
      <c r="V435">
        <v>34</v>
      </c>
      <c r="W435">
        <v>33.5</v>
      </c>
      <c r="X435">
        <f t="shared" si="6"/>
        <v>1.4814814814814815E-2</v>
      </c>
      <c r="Y435">
        <v>1000</v>
      </c>
      <c r="Z435">
        <v>380860000</v>
      </c>
      <c r="AA435">
        <v>33500</v>
      </c>
      <c r="AB435">
        <v>179250000</v>
      </c>
      <c r="AC435">
        <v>5.5788005578800554E-6</v>
      </c>
      <c r="AD435">
        <v>67756.039999999994</v>
      </c>
      <c r="AE435">
        <v>0.216</v>
      </c>
      <c r="AF435">
        <v>41194000000</v>
      </c>
      <c r="AG435">
        <v>16376000000</v>
      </c>
      <c r="AH435">
        <v>389680000</v>
      </c>
      <c r="AI435">
        <v>494580000</v>
      </c>
      <c r="AJ435">
        <v>10107420000</v>
      </c>
      <c r="AK435">
        <v>4.5228403437358663E-7</v>
      </c>
      <c r="AL435">
        <v>0.24536146040685536</v>
      </c>
    </row>
    <row r="436" spans="21:38">
      <c r="U436">
        <v>9.0497737556560227E-3</v>
      </c>
      <c r="V436">
        <v>33.950000000000003</v>
      </c>
      <c r="W436">
        <v>32.799999999999997</v>
      </c>
      <c r="X436">
        <f t="shared" si="6"/>
        <v>3.4456928838951482E-2</v>
      </c>
      <c r="Y436">
        <v>1000</v>
      </c>
      <c r="Z436">
        <v>380860000</v>
      </c>
      <c r="AA436">
        <v>33000</v>
      </c>
      <c r="AB436">
        <v>179250000</v>
      </c>
      <c r="AC436">
        <v>5.5788005578800554E-6</v>
      </c>
      <c r="AD436">
        <v>66886.259999999995</v>
      </c>
      <c r="AE436">
        <v>0.216</v>
      </c>
      <c r="AF436">
        <v>41194000000</v>
      </c>
      <c r="AG436">
        <v>16376000000</v>
      </c>
      <c r="AH436">
        <v>389680000</v>
      </c>
      <c r="AI436">
        <v>494580000</v>
      </c>
      <c r="AJ436">
        <v>10107420000</v>
      </c>
      <c r="AK436">
        <v>0</v>
      </c>
      <c r="AL436">
        <v>0.24536146040685536</v>
      </c>
    </row>
    <row r="437" spans="21:38">
      <c r="U437">
        <v>1.5267175572519083E-2</v>
      </c>
      <c r="V437">
        <v>32.99</v>
      </c>
      <c r="W437">
        <v>32.5</v>
      </c>
      <c r="X437">
        <f t="shared" si="6"/>
        <v>1.4964116659031973E-2</v>
      </c>
      <c r="Y437">
        <v>13500</v>
      </c>
      <c r="Z437">
        <v>380860000</v>
      </c>
      <c r="AA437">
        <v>445500</v>
      </c>
      <c r="AB437">
        <v>179250000</v>
      </c>
      <c r="AC437">
        <v>7.5313807531380756E-5</v>
      </c>
      <c r="AD437">
        <v>66796.320000000007</v>
      </c>
      <c r="AE437">
        <v>0.216</v>
      </c>
      <c r="AF437">
        <v>41194000000</v>
      </c>
      <c r="AG437">
        <v>16376000000</v>
      </c>
      <c r="AH437">
        <v>389680000</v>
      </c>
      <c r="AI437">
        <v>494580000</v>
      </c>
      <c r="AJ437">
        <v>10107420000</v>
      </c>
      <c r="AK437">
        <v>3.4533367866701201E-8</v>
      </c>
      <c r="AL437">
        <v>0.24536146040685536</v>
      </c>
    </row>
    <row r="438" spans="21:38">
      <c r="U438">
        <v>1.5503875968992248E-2</v>
      </c>
      <c r="V438">
        <v>33.299999999999997</v>
      </c>
      <c r="W438">
        <v>32.5</v>
      </c>
      <c r="X438">
        <f t="shared" si="6"/>
        <v>2.4316109422492314E-2</v>
      </c>
      <c r="Y438">
        <v>9000</v>
      </c>
      <c r="Z438">
        <v>380860000</v>
      </c>
      <c r="AA438">
        <v>292500</v>
      </c>
      <c r="AB438">
        <v>179250000</v>
      </c>
      <c r="AC438">
        <v>5.0209205020920502E-5</v>
      </c>
      <c r="AD438">
        <v>67005.11</v>
      </c>
      <c r="AE438">
        <v>0.216</v>
      </c>
      <c r="AF438">
        <v>41194000000</v>
      </c>
      <c r="AG438">
        <v>16376000000</v>
      </c>
      <c r="AH438">
        <v>389680000</v>
      </c>
      <c r="AI438">
        <v>494580000</v>
      </c>
      <c r="AJ438">
        <v>10107420000</v>
      </c>
      <c r="AK438">
        <v>5.1800051800051802E-8</v>
      </c>
      <c r="AL438">
        <v>0.24536146040685536</v>
      </c>
    </row>
    <row r="439" spans="21:38">
      <c r="U439">
        <v>7.2253479419603348E-2</v>
      </c>
      <c r="V439">
        <v>33.15</v>
      </c>
      <c r="W439">
        <v>32.51</v>
      </c>
      <c r="X439">
        <f t="shared" si="6"/>
        <v>1.949436491014318E-2</v>
      </c>
      <c r="Y439">
        <v>0</v>
      </c>
      <c r="Z439">
        <v>380860000</v>
      </c>
      <c r="AA439">
        <v>0</v>
      </c>
      <c r="AB439">
        <v>179250000</v>
      </c>
      <c r="AC439">
        <v>0</v>
      </c>
      <c r="AD439">
        <v>67142.12</v>
      </c>
      <c r="AE439">
        <v>0.216</v>
      </c>
      <c r="AF439">
        <v>41194000000</v>
      </c>
      <c r="AG439">
        <v>16376000000</v>
      </c>
      <c r="AH439">
        <v>389680000</v>
      </c>
      <c r="AI439">
        <v>494580000</v>
      </c>
      <c r="AJ439">
        <v>10107420000</v>
      </c>
      <c r="AK439">
        <v>0</v>
      </c>
      <c r="AL439">
        <v>0.24536146040685536</v>
      </c>
    </row>
    <row r="440" spans="21:38">
      <c r="U440">
        <v>1.3422818791946239E-2</v>
      </c>
      <c r="V440">
        <v>33.299999999999997</v>
      </c>
      <c r="W440">
        <v>32.6</v>
      </c>
      <c r="X440">
        <f t="shared" si="6"/>
        <v>2.1244309559939171E-2</v>
      </c>
      <c r="Y440">
        <v>1500</v>
      </c>
      <c r="Z440">
        <v>380860000</v>
      </c>
      <c r="AA440">
        <v>49500</v>
      </c>
      <c r="AB440">
        <v>179250000</v>
      </c>
      <c r="AC440">
        <v>8.3682008368200836E-6</v>
      </c>
      <c r="AD440">
        <v>66547.789999999994</v>
      </c>
      <c r="AE440">
        <v>0.216</v>
      </c>
      <c r="AF440">
        <v>41194000000</v>
      </c>
      <c r="AG440">
        <v>16376000000</v>
      </c>
      <c r="AH440">
        <v>389680000</v>
      </c>
      <c r="AI440">
        <v>494580000</v>
      </c>
      <c r="AJ440">
        <v>10107420000</v>
      </c>
      <c r="AK440">
        <v>2.478775484910445E-7</v>
      </c>
      <c r="AL440">
        <v>0.24536146040685536</v>
      </c>
    </row>
    <row r="441" spans="21:38">
      <c r="U441">
        <v>2.7231467473524923E-2</v>
      </c>
      <c r="V441">
        <v>33.299999999999997</v>
      </c>
      <c r="W441">
        <v>32.6</v>
      </c>
      <c r="X441">
        <f t="shared" si="6"/>
        <v>2.1244309559939171E-2</v>
      </c>
      <c r="Y441">
        <v>1500</v>
      </c>
      <c r="Z441">
        <v>380860000</v>
      </c>
      <c r="AA441">
        <v>48900</v>
      </c>
      <c r="AB441">
        <v>179250000</v>
      </c>
      <c r="AC441">
        <v>8.3682008368200836E-6</v>
      </c>
      <c r="AD441">
        <v>65906.28</v>
      </c>
      <c r="AE441">
        <v>0.216</v>
      </c>
      <c r="AF441">
        <v>41194000000</v>
      </c>
      <c r="AG441">
        <v>16376000000</v>
      </c>
      <c r="AH441">
        <v>389680000</v>
      </c>
      <c r="AI441">
        <v>494580000</v>
      </c>
      <c r="AJ441">
        <v>10107420000</v>
      </c>
      <c r="AK441">
        <v>0</v>
      </c>
      <c r="AL441">
        <v>0.24536146040685536</v>
      </c>
    </row>
    <row r="442" spans="21:38">
      <c r="U442">
        <v>0</v>
      </c>
      <c r="V442">
        <v>33.479999999999997</v>
      </c>
      <c r="W442">
        <v>32.6</v>
      </c>
      <c r="X442">
        <f t="shared" si="6"/>
        <v>2.6634382566585818E-2</v>
      </c>
      <c r="Y442">
        <v>0</v>
      </c>
      <c r="Z442">
        <v>380860000</v>
      </c>
      <c r="AA442">
        <v>0</v>
      </c>
      <c r="AB442">
        <v>179250000</v>
      </c>
      <c r="AC442">
        <v>0</v>
      </c>
      <c r="AD442">
        <v>65525.65</v>
      </c>
      <c r="AE442">
        <v>0.216</v>
      </c>
      <c r="AF442">
        <v>41194000000</v>
      </c>
      <c r="AG442">
        <v>16376000000</v>
      </c>
      <c r="AH442">
        <v>389680000</v>
      </c>
      <c r="AI442">
        <v>494580000</v>
      </c>
      <c r="AJ442">
        <v>10107420000</v>
      </c>
      <c r="AK442">
        <v>0</v>
      </c>
      <c r="AL442">
        <v>0.24536146040685536</v>
      </c>
    </row>
    <row r="443" spans="21:38">
      <c r="U443">
        <v>6.809583858764176E-2</v>
      </c>
      <c r="V443">
        <v>3.9</v>
      </c>
      <c r="W443">
        <v>3.89</v>
      </c>
      <c r="X443">
        <f t="shared" si="6"/>
        <v>2.5673940949935267E-3</v>
      </c>
      <c r="Y443">
        <v>6428000</v>
      </c>
      <c r="Z443">
        <v>278880000</v>
      </c>
      <c r="AA443">
        <v>25004920</v>
      </c>
      <c r="AB443">
        <v>243270000</v>
      </c>
      <c r="AC443">
        <v>2.6423315657499898E-2</v>
      </c>
      <c r="AD443">
        <v>75983.039999999994</v>
      </c>
      <c r="AE443">
        <v>0.2157</v>
      </c>
      <c r="AF443">
        <v>7584390000</v>
      </c>
      <c r="AG443">
        <v>8524879999.999999</v>
      </c>
      <c r="AH443">
        <v>530289999.99999994</v>
      </c>
      <c r="AI443">
        <v>44510000</v>
      </c>
      <c r="AJ443">
        <v>5899740000</v>
      </c>
      <c r="AK443">
        <v>1.8623785819342905E-9</v>
      </c>
      <c r="AL443">
        <v>0.77787930209285128</v>
      </c>
    </row>
    <row r="444" spans="21:38">
      <c r="U444">
        <v>0.11294117647058834</v>
      </c>
      <c r="V444">
        <v>4.0999999999999996</v>
      </c>
      <c r="W444">
        <v>4.09</v>
      </c>
      <c r="X444">
        <f t="shared" si="6"/>
        <v>2.44200244200239E-3</v>
      </c>
      <c r="Y444">
        <v>30419000</v>
      </c>
      <c r="Z444">
        <v>278880000</v>
      </c>
      <c r="AA444">
        <v>124109520</v>
      </c>
      <c r="AB444">
        <v>243270000</v>
      </c>
      <c r="AC444">
        <v>0.12504213425412095</v>
      </c>
      <c r="AD444">
        <v>75114.47</v>
      </c>
      <c r="AE444">
        <v>0.2157</v>
      </c>
      <c r="AF444">
        <v>7584390000</v>
      </c>
      <c r="AG444">
        <v>8524879999.999999</v>
      </c>
      <c r="AH444">
        <v>530289999.99999994</v>
      </c>
      <c r="AI444">
        <v>44510000</v>
      </c>
      <c r="AJ444">
        <v>5899740000</v>
      </c>
      <c r="AK444">
        <v>4.4763331254166158E-10</v>
      </c>
      <c r="AL444">
        <v>0.77787930209285128</v>
      </c>
    </row>
    <row r="445" spans="21:38">
      <c r="U445">
        <v>0.24415584415584426</v>
      </c>
      <c r="V445">
        <v>4.0999999999999996</v>
      </c>
      <c r="W445">
        <v>4.32</v>
      </c>
      <c r="X445">
        <f t="shared" si="6"/>
        <v>-5.2256532066508467E-2</v>
      </c>
      <c r="Y445">
        <v>46645000</v>
      </c>
      <c r="Z445">
        <v>278880000</v>
      </c>
      <c r="AA445">
        <v>201506400</v>
      </c>
      <c r="AB445">
        <v>243270000</v>
      </c>
      <c r="AC445">
        <v>0.19174168619229662</v>
      </c>
      <c r="AD445">
        <v>74956.67</v>
      </c>
      <c r="AE445">
        <v>0.2157</v>
      </c>
      <c r="AF445">
        <v>7584390000</v>
      </c>
      <c r="AG445">
        <v>8524879999.999999</v>
      </c>
      <c r="AH445">
        <v>530289999.99999994</v>
      </c>
      <c r="AI445">
        <v>44510000</v>
      </c>
      <c r="AJ445">
        <v>5899740000</v>
      </c>
      <c r="AK445">
        <v>1.4947655224702966E-9</v>
      </c>
      <c r="AL445">
        <v>0.77787930209285128</v>
      </c>
    </row>
    <row r="446" spans="21:38">
      <c r="U446">
        <v>6.4318529862174567E-2</v>
      </c>
      <c r="V446">
        <v>3.35</v>
      </c>
      <c r="W446">
        <v>3.33</v>
      </c>
      <c r="X446">
        <f t="shared" si="6"/>
        <v>5.988023952095814E-3</v>
      </c>
      <c r="Y446">
        <v>7833500</v>
      </c>
      <c r="Z446">
        <v>278880000</v>
      </c>
      <c r="AA446">
        <v>26007220</v>
      </c>
      <c r="AB446">
        <v>243270000</v>
      </c>
      <c r="AC446">
        <v>3.220084679574136E-2</v>
      </c>
      <c r="AD446">
        <v>75206.77</v>
      </c>
      <c r="AE446">
        <v>0.2157</v>
      </c>
      <c r="AF446">
        <v>7584390000</v>
      </c>
      <c r="AG446">
        <v>8524879999.999999</v>
      </c>
      <c r="AH446">
        <v>530289999.99999994</v>
      </c>
      <c r="AI446">
        <v>44510000</v>
      </c>
      <c r="AJ446">
        <v>5899740000</v>
      </c>
      <c r="AK446">
        <v>1.9468790356064571E-9</v>
      </c>
      <c r="AL446">
        <v>0.77787930209285128</v>
      </c>
    </row>
    <row r="447" spans="21:38">
      <c r="U447">
        <v>4.0561622464898563E-2</v>
      </c>
      <c r="V447">
        <v>3.22</v>
      </c>
      <c r="W447">
        <v>3.2</v>
      </c>
      <c r="X447">
        <f t="shared" si="6"/>
        <v>6.2305295950155822E-3</v>
      </c>
      <c r="Y447">
        <v>1004500</v>
      </c>
      <c r="Z447">
        <v>278880000</v>
      </c>
      <c r="AA447">
        <v>3174220</v>
      </c>
      <c r="AB447">
        <v>243270000</v>
      </c>
      <c r="AC447">
        <v>4.1291569038516872E-3</v>
      </c>
      <c r="AD447">
        <v>75084</v>
      </c>
      <c r="AE447">
        <v>0.2157</v>
      </c>
      <c r="AF447">
        <v>7584390000</v>
      </c>
      <c r="AG447">
        <v>8524879999.999999</v>
      </c>
      <c r="AH447">
        <v>530289999.99999994</v>
      </c>
      <c r="AI447">
        <v>44510000</v>
      </c>
      <c r="AJ447">
        <v>5899740000</v>
      </c>
      <c r="AK447">
        <v>9.9381080469912181E-10</v>
      </c>
      <c r="AL447">
        <v>0.77787930209285128</v>
      </c>
    </row>
    <row r="448" spans="21:38">
      <c r="U448">
        <v>4.0816326530612214E-2</v>
      </c>
      <c r="V448">
        <v>3.22</v>
      </c>
      <c r="W448">
        <v>3.17</v>
      </c>
      <c r="X448">
        <f t="shared" si="6"/>
        <v>1.5649452269170663E-2</v>
      </c>
      <c r="Y448">
        <v>2170000</v>
      </c>
      <c r="Z448">
        <v>278880000</v>
      </c>
      <c r="AA448">
        <v>6878900</v>
      </c>
      <c r="AB448">
        <v>243270000</v>
      </c>
      <c r="AC448">
        <v>8.9201298968224606E-3</v>
      </c>
      <c r="AD448">
        <v>75342.350000000006</v>
      </c>
      <c r="AE448">
        <v>0.2157</v>
      </c>
      <c r="AF448">
        <v>7584390000</v>
      </c>
      <c r="AG448">
        <v>8524879999.999999</v>
      </c>
      <c r="AH448">
        <v>530289999.99999994</v>
      </c>
      <c r="AI448">
        <v>44510000</v>
      </c>
      <c r="AJ448">
        <v>5899740000</v>
      </c>
      <c r="AK448">
        <v>9.1142369804605886E-10</v>
      </c>
      <c r="AL448">
        <v>0.77787930209285128</v>
      </c>
    </row>
    <row r="449" spans="21:38">
      <c r="U449">
        <v>1.88087774294671E-2</v>
      </c>
      <c r="V449">
        <v>3.22</v>
      </c>
      <c r="W449">
        <v>3.18</v>
      </c>
      <c r="X449">
        <f t="shared" si="6"/>
        <v>1.2500000000000011E-2</v>
      </c>
      <c r="Y449">
        <v>702500</v>
      </c>
      <c r="Z449">
        <v>278880000</v>
      </c>
      <c r="AA449">
        <v>2240975</v>
      </c>
      <c r="AB449">
        <v>243270000</v>
      </c>
      <c r="AC449">
        <v>2.887737904386073E-3</v>
      </c>
      <c r="AD449">
        <v>74930.7</v>
      </c>
      <c r="AE449">
        <v>0.2157</v>
      </c>
      <c r="AF449">
        <v>7584390000</v>
      </c>
      <c r="AG449">
        <v>8524879999.999999</v>
      </c>
      <c r="AH449">
        <v>530289999.99999994</v>
      </c>
      <c r="AI449">
        <v>44510000</v>
      </c>
      <c r="AJ449">
        <v>5899740000</v>
      </c>
      <c r="AK449">
        <v>5.5261218571347654E-9</v>
      </c>
      <c r="AL449">
        <v>0.77787930209285128</v>
      </c>
    </row>
    <row r="450" spans="21:38">
      <c r="U450">
        <v>5.1750380517503781E-2</v>
      </c>
      <c r="V450">
        <v>3.23</v>
      </c>
      <c r="W450">
        <v>3.22</v>
      </c>
      <c r="X450">
        <f t="shared" si="6"/>
        <v>3.1007751937983832E-3</v>
      </c>
      <c r="Y450">
        <v>2305000</v>
      </c>
      <c r="Z450">
        <v>278880000</v>
      </c>
      <c r="AA450">
        <v>7445150</v>
      </c>
      <c r="AB450">
        <v>243270000</v>
      </c>
      <c r="AC450">
        <v>9.4750688535372215E-3</v>
      </c>
      <c r="AD450">
        <v>74663.98</v>
      </c>
      <c r="AE450">
        <v>0.2157</v>
      </c>
      <c r="AF450">
        <v>7584390000</v>
      </c>
      <c r="AG450">
        <v>8524879999.999999</v>
      </c>
      <c r="AH450">
        <v>530289999.99999994</v>
      </c>
      <c r="AI450">
        <v>44510000</v>
      </c>
      <c r="AJ450">
        <v>5899740000</v>
      </c>
      <c r="AK450">
        <v>4.1712928041902911E-10</v>
      </c>
      <c r="AL450">
        <v>0.77787930209285128</v>
      </c>
    </row>
    <row r="451" spans="21:38">
      <c r="U451">
        <v>2.1571648690292707E-2</v>
      </c>
      <c r="V451">
        <v>3.24</v>
      </c>
      <c r="W451">
        <v>3.22</v>
      </c>
      <c r="X451">
        <f t="shared" si="6"/>
        <v>6.1919504643962895E-3</v>
      </c>
      <c r="Y451">
        <v>1029000</v>
      </c>
      <c r="Z451">
        <v>278880000</v>
      </c>
      <c r="AA451">
        <v>3313380</v>
      </c>
      <c r="AB451">
        <v>243270000</v>
      </c>
      <c r="AC451">
        <v>4.2298680478480705E-3</v>
      </c>
      <c r="AD451">
        <v>74531.19</v>
      </c>
      <c r="AE451">
        <v>0.21590000000000001</v>
      </c>
      <c r="AF451">
        <v>7584390000</v>
      </c>
      <c r="AG451">
        <v>8524879999.999999</v>
      </c>
      <c r="AH451">
        <v>530289999.99999994</v>
      </c>
      <c r="AI451">
        <v>44510000</v>
      </c>
      <c r="AJ451">
        <v>5899740000</v>
      </c>
      <c r="AK451">
        <v>9.4020752147591285E-10</v>
      </c>
      <c r="AL451">
        <v>0.77787930209285128</v>
      </c>
    </row>
    <row r="452" spans="21:38">
      <c r="U452">
        <v>4.6511627906976723E-2</v>
      </c>
      <c r="V452">
        <v>3.23</v>
      </c>
      <c r="W452">
        <v>3.2</v>
      </c>
      <c r="X452">
        <f t="shared" ref="X452:X515" si="7">(V452-W452)/AVERAGE(V452:W452)</f>
        <v>9.3312597200621485E-3</v>
      </c>
      <c r="Y452">
        <v>1581000</v>
      </c>
      <c r="Z452">
        <v>278880000</v>
      </c>
      <c r="AA452">
        <v>5075010</v>
      </c>
      <c r="AB452">
        <v>243270000</v>
      </c>
      <c r="AC452">
        <v>6.4989517819706499E-3</v>
      </c>
      <c r="AD452">
        <v>73799.11</v>
      </c>
      <c r="AE452">
        <v>0.21590000000000001</v>
      </c>
      <c r="AF452">
        <v>7584390000</v>
      </c>
      <c r="AG452">
        <v>8524879999.999999</v>
      </c>
      <c r="AH452">
        <v>530289999.99999994</v>
      </c>
      <c r="AI452">
        <v>44510000</v>
      </c>
      <c r="AJ452">
        <v>5899740000</v>
      </c>
      <c r="AK452">
        <v>1.8244809880688581E-9</v>
      </c>
      <c r="AL452">
        <v>0.77787930209285128</v>
      </c>
    </row>
    <row r="453" spans="21:38">
      <c r="U453">
        <v>4.8338368580060465E-2</v>
      </c>
      <c r="V453">
        <v>3.25</v>
      </c>
      <c r="W453">
        <v>3.23</v>
      </c>
      <c r="X453">
        <f t="shared" si="7"/>
        <v>6.1728395061728444E-3</v>
      </c>
      <c r="Y453">
        <v>1537500</v>
      </c>
      <c r="Z453">
        <v>278880000</v>
      </c>
      <c r="AA453">
        <v>4981500</v>
      </c>
      <c r="AB453">
        <v>243270000</v>
      </c>
      <c r="AC453">
        <v>6.3201381181403381E-3</v>
      </c>
      <c r="AD453">
        <v>73085.5</v>
      </c>
      <c r="AE453">
        <v>0.21590000000000001</v>
      </c>
      <c r="AF453">
        <v>7584390000</v>
      </c>
      <c r="AG453">
        <v>8524879999.999999</v>
      </c>
      <c r="AH453">
        <v>530289999.99999994</v>
      </c>
      <c r="AI453">
        <v>44510000</v>
      </c>
      <c r="AJ453">
        <v>5899740000</v>
      </c>
      <c r="AK453">
        <v>2.4480822947343949E-9</v>
      </c>
      <c r="AL453">
        <v>0.77787930209285128</v>
      </c>
    </row>
    <row r="454" spans="21:38">
      <c r="U454">
        <v>6.2407132243685111E-2</v>
      </c>
      <c r="V454">
        <v>3.32</v>
      </c>
      <c r="W454">
        <v>3.3</v>
      </c>
      <c r="X454">
        <f t="shared" si="7"/>
        <v>6.0422960725075589E-3</v>
      </c>
      <c r="Y454">
        <v>5943000</v>
      </c>
      <c r="Z454">
        <v>278880000</v>
      </c>
      <c r="AA454">
        <v>19493040</v>
      </c>
      <c r="AB454">
        <v>243270000</v>
      </c>
      <c r="AC454">
        <v>2.4429646072265384E-2</v>
      </c>
      <c r="AD454">
        <v>72658.05</v>
      </c>
      <c r="AE454">
        <v>0.21590000000000001</v>
      </c>
      <c r="AF454">
        <v>7584390000</v>
      </c>
      <c r="AG454">
        <v>8524879999.999999</v>
      </c>
      <c r="AH454">
        <v>530289999.99999994</v>
      </c>
      <c r="AI454">
        <v>44510000</v>
      </c>
      <c r="AJ454">
        <v>5899740000</v>
      </c>
      <c r="AK454">
        <v>1.5592815065334194E-10</v>
      </c>
      <c r="AL454">
        <v>0.77787930209285128</v>
      </c>
    </row>
    <row r="455" spans="21:38">
      <c r="U455">
        <v>0.11912225705329151</v>
      </c>
      <c r="V455">
        <v>3.29</v>
      </c>
      <c r="W455">
        <v>3.28</v>
      </c>
      <c r="X455">
        <f t="shared" si="7"/>
        <v>3.0441400304414704E-3</v>
      </c>
      <c r="Y455">
        <v>5485500</v>
      </c>
      <c r="Z455">
        <v>278880000</v>
      </c>
      <c r="AA455">
        <v>18047295</v>
      </c>
      <c r="AB455">
        <v>243270000</v>
      </c>
      <c r="AC455">
        <v>2.2549019607843137E-2</v>
      </c>
      <c r="AD455">
        <v>72601.820000000007</v>
      </c>
      <c r="AE455">
        <v>0.21590000000000001</v>
      </c>
      <c r="AF455">
        <v>7584390000</v>
      </c>
      <c r="AG455">
        <v>8524879999.999999</v>
      </c>
      <c r="AH455">
        <v>530289999.99999994</v>
      </c>
      <c r="AI455">
        <v>44510000</v>
      </c>
      <c r="AJ455">
        <v>5899740000</v>
      </c>
      <c r="AK455">
        <v>3.9707467398863025E-9</v>
      </c>
      <c r="AL455">
        <v>0.77787930209285128</v>
      </c>
    </row>
    <row r="456" spans="21:38">
      <c r="U456">
        <v>7.6677316293929779E-2</v>
      </c>
      <c r="V456">
        <v>3.1</v>
      </c>
      <c r="W456">
        <v>3.06</v>
      </c>
      <c r="X456">
        <f t="shared" si="7"/>
        <v>1.2987012987012998E-2</v>
      </c>
      <c r="Y456">
        <v>2205500</v>
      </c>
      <c r="Z456">
        <v>278880000</v>
      </c>
      <c r="AA456">
        <v>6770885</v>
      </c>
      <c r="AB456">
        <v>243270000</v>
      </c>
      <c r="AC456">
        <v>9.066058289143749E-3</v>
      </c>
      <c r="AD456">
        <v>72761.2</v>
      </c>
      <c r="AE456">
        <v>0.21590000000000001</v>
      </c>
      <c r="AF456">
        <v>7584390000</v>
      </c>
      <c r="AG456">
        <v>8524879999.999999</v>
      </c>
      <c r="AH456">
        <v>530289999.99999994</v>
      </c>
      <c r="AI456">
        <v>44510000</v>
      </c>
      <c r="AJ456">
        <v>5899740000</v>
      </c>
      <c r="AK456">
        <v>6.8800239454188227E-9</v>
      </c>
      <c r="AL456">
        <v>0.77787930209285128</v>
      </c>
    </row>
    <row r="457" spans="21:38">
      <c r="U457">
        <v>5.4711246200607813E-2</v>
      </c>
      <c r="V457">
        <v>3.27</v>
      </c>
      <c r="W457">
        <v>3.22</v>
      </c>
      <c r="X457">
        <f t="shared" si="7"/>
        <v>1.54083204930662E-2</v>
      </c>
      <c r="Y457">
        <v>4246500</v>
      </c>
      <c r="Z457">
        <v>278880000</v>
      </c>
      <c r="AA457">
        <v>13673730</v>
      </c>
      <c r="AB457">
        <v>243270000</v>
      </c>
      <c r="AC457">
        <v>1.7455913182883216E-2</v>
      </c>
      <c r="AD457">
        <v>72764.240000000005</v>
      </c>
      <c r="AE457">
        <v>0.21590000000000001</v>
      </c>
      <c r="AF457">
        <v>7584390000</v>
      </c>
      <c r="AG457">
        <v>8524879999.999999</v>
      </c>
      <c r="AH457">
        <v>530289999.99999994</v>
      </c>
      <c r="AI457">
        <v>44510000</v>
      </c>
      <c r="AJ457">
        <v>5899740000</v>
      </c>
      <c r="AK457">
        <v>8.9733661921850319E-10</v>
      </c>
      <c r="AL457">
        <v>0.77787930209285128</v>
      </c>
    </row>
    <row r="458" spans="21:38">
      <c r="U458">
        <v>6.6869300911854029E-2</v>
      </c>
      <c r="V458">
        <v>3.29</v>
      </c>
      <c r="W458">
        <v>3.25</v>
      </c>
      <c r="X458">
        <f t="shared" si="7"/>
        <v>1.2232415902140683E-2</v>
      </c>
      <c r="Y458">
        <v>3968000</v>
      </c>
      <c r="Z458">
        <v>278880000</v>
      </c>
      <c r="AA458">
        <v>12935680</v>
      </c>
      <c r="AB458">
        <v>243270000</v>
      </c>
      <c r="AC458">
        <v>1.6311094668475357E-2</v>
      </c>
      <c r="AD458">
        <v>71902.09</v>
      </c>
      <c r="AE458">
        <v>0.21590000000000001</v>
      </c>
      <c r="AF458">
        <v>7584390000</v>
      </c>
      <c r="AG458">
        <v>8524879999.999999</v>
      </c>
      <c r="AH458">
        <v>530289999.99999994</v>
      </c>
      <c r="AI458">
        <v>44510000</v>
      </c>
      <c r="AJ458">
        <v>5899740000</v>
      </c>
      <c r="AK458">
        <v>2.1947951087557035E-9</v>
      </c>
      <c r="AL458">
        <v>0.77787930209285128</v>
      </c>
    </row>
    <row r="459" spans="21:38">
      <c r="U459">
        <v>6.7484662576687185E-2</v>
      </c>
      <c r="V459">
        <v>3.22</v>
      </c>
      <c r="W459">
        <v>3.18</v>
      </c>
      <c r="X459">
        <f t="shared" si="7"/>
        <v>1.2500000000000011E-2</v>
      </c>
      <c r="Y459">
        <v>2365500</v>
      </c>
      <c r="Z459">
        <v>278880000</v>
      </c>
      <c r="AA459">
        <v>7498635</v>
      </c>
      <c r="AB459">
        <v>243270000</v>
      </c>
      <c r="AC459">
        <v>9.7237637193242077E-3</v>
      </c>
      <c r="AD459">
        <v>70657.64</v>
      </c>
      <c r="AE459">
        <v>0.21590000000000001</v>
      </c>
      <c r="AF459">
        <v>7584390000</v>
      </c>
      <c r="AG459">
        <v>8524879999.999999</v>
      </c>
      <c r="AH459">
        <v>530289999.99999994</v>
      </c>
      <c r="AI459">
        <v>44510000</v>
      </c>
      <c r="AJ459">
        <v>5899740000</v>
      </c>
      <c r="AK459">
        <v>4.8641071520001484E-9</v>
      </c>
      <c r="AL459">
        <v>0.77787930209285128</v>
      </c>
    </row>
    <row r="460" spans="21:38">
      <c r="U460">
        <v>0.18079096045197732</v>
      </c>
      <c r="V460">
        <v>3.3</v>
      </c>
      <c r="W460">
        <v>3.29</v>
      </c>
      <c r="X460">
        <f t="shared" si="7"/>
        <v>3.03490136570555E-3</v>
      </c>
      <c r="Y460">
        <v>27121500</v>
      </c>
      <c r="Z460">
        <v>278880000</v>
      </c>
      <c r="AA460">
        <v>89229735</v>
      </c>
      <c r="AB460">
        <v>243270000</v>
      </c>
      <c r="AC460">
        <v>0.11148723640399556</v>
      </c>
      <c r="AD460">
        <v>71102.55</v>
      </c>
      <c r="AE460">
        <v>0.21590000000000001</v>
      </c>
      <c r="AF460">
        <v>7584390000</v>
      </c>
      <c r="AG460">
        <v>8524879999.999999</v>
      </c>
      <c r="AH460">
        <v>530289999.99999994</v>
      </c>
      <c r="AI460">
        <v>44510000</v>
      </c>
      <c r="AJ460">
        <v>5899740000</v>
      </c>
      <c r="AK460">
        <v>6.4223647260500882E-10</v>
      </c>
      <c r="AL460">
        <v>0.77787930209285128</v>
      </c>
    </row>
    <row r="461" spans="21:38">
      <c r="U461">
        <v>0.30031948881789139</v>
      </c>
      <c r="V461">
        <v>3.54</v>
      </c>
      <c r="W461">
        <v>3.52</v>
      </c>
      <c r="X461">
        <f t="shared" si="7"/>
        <v>5.665722379603404E-3</v>
      </c>
      <c r="Y461">
        <v>32652000</v>
      </c>
      <c r="Z461">
        <v>278880000</v>
      </c>
      <c r="AA461">
        <v>113955480</v>
      </c>
      <c r="AB461">
        <v>243270000</v>
      </c>
      <c r="AC461">
        <v>0.13422123566407695</v>
      </c>
      <c r="AD461">
        <v>71695.03</v>
      </c>
      <c r="AE461">
        <v>0.21640000000000001</v>
      </c>
      <c r="AF461">
        <v>7584390000</v>
      </c>
      <c r="AG461">
        <v>8524879999.999999</v>
      </c>
      <c r="AH461">
        <v>530289999.99999994</v>
      </c>
      <c r="AI461">
        <v>44510000</v>
      </c>
      <c r="AJ461">
        <v>5899740000</v>
      </c>
      <c r="AK461">
        <v>2.3613687476101119E-9</v>
      </c>
      <c r="AL461">
        <v>0.77787930209285128</v>
      </c>
    </row>
    <row r="462" spans="21:38">
      <c r="U462">
        <v>7.0500927643784753E-2</v>
      </c>
      <c r="V462">
        <v>2.77</v>
      </c>
      <c r="W462">
        <v>2.75</v>
      </c>
      <c r="X462">
        <f t="shared" si="7"/>
        <v>7.2463768115942099E-3</v>
      </c>
      <c r="Y462">
        <v>1030000</v>
      </c>
      <c r="Z462">
        <v>278880000</v>
      </c>
      <c r="AA462">
        <v>2832500</v>
      </c>
      <c r="AB462">
        <v>243270000</v>
      </c>
      <c r="AC462">
        <v>4.233978706786698E-3</v>
      </c>
      <c r="AD462">
        <v>72742.75</v>
      </c>
      <c r="AE462">
        <v>0.21640000000000001</v>
      </c>
      <c r="AF462">
        <v>7584390000</v>
      </c>
      <c r="AG462">
        <v>8524879999.999999</v>
      </c>
      <c r="AH462">
        <v>530289999.99999994</v>
      </c>
      <c r="AI462">
        <v>44510000</v>
      </c>
      <c r="AJ462">
        <v>5899740000</v>
      </c>
      <c r="AK462">
        <v>1.19451320268898E-8</v>
      </c>
      <c r="AL462">
        <v>0.77787930209285128</v>
      </c>
    </row>
    <row r="463" spans="21:38">
      <c r="U463">
        <v>5.2434456928838996E-2</v>
      </c>
      <c r="V463">
        <v>2.7</v>
      </c>
      <c r="W463">
        <v>2.65</v>
      </c>
      <c r="X463">
        <f t="shared" si="7"/>
        <v>1.8691588785046828E-2</v>
      </c>
      <c r="Y463">
        <v>2170000</v>
      </c>
      <c r="Z463">
        <v>278880000</v>
      </c>
      <c r="AA463">
        <v>5772200</v>
      </c>
      <c r="AB463">
        <v>243270000</v>
      </c>
      <c r="AC463">
        <v>8.9201298968224606E-3</v>
      </c>
      <c r="AD463">
        <v>71971.399999999994</v>
      </c>
      <c r="AE463">
        <v>0.21640000000000001</v>
      </c>
      <c r="AF463">
        <v>7584390000</v>
      </c>
      <c r="AG463">
        <v>8524879999.999999</v>
      </c>
      <c r="AH463">
        <v>530289999.99999994</v>
      </c>
      <c r="AI463">
        <v>44510000</v>
      </c>
      <c r="AJ463">
        <v>5899740000</v>
      </c>
      <c r="AK463">
        <v>6.5375158616480107E-10</v>
      </c>
      <c r="AL463">
        <v>0.77787930209285128</v>
      </c>
    </row>
    <row r="464" spans="21:38">
      <c r="U464">
        <v>3.0075187969924838E-2</v>
      </c>
      <c r="V464">
        <v>2.66</v>
      </c>
      <c r="W464">
        <v>2.64</v>
      </c>
      <c r="X464">
        <f t="shared" si="7"/>
        <v>7.54716981132076E-3</v>
      </c>
      <c r="Y464">
        <v>1053000</v>
      </c>
      <c r="Z464">
        <v>278880000</v>
      </c>
      <c r="AA464">
        <v>2790450</v>
      </c>
      <c r="AB464">
        <v>243270000</v>
      </c>
      <c r="AC464">
        <v>4.3285238623751391E-3</v>
      </c>
      <c r="AD464">
        <v>72051.89</v>
      </c>
      <c r="AE464">
        <v>0.21640000000000001</v>
      </c>
      <c r="AF464">
        <v>7584390000</v>
      </c>
      <c r="AG464">
        <v>8524879999.999999</v>
      </c>
      <c r="AH464">
        <v>530289999.99999994</v>
      </c>
      <c r="AI464">
        <v>44510000</v>
      </c>
      <c r="AJ464">
        <v>5899740000</v>
      </c>
      <c r="AK464">
        <v>1.3574437054520621E-9</v>
      </c>
      <c r="AL464">
        <v>0.77787930209285128</v>
      </c>
    </row>
    <row r="465" spans="21:38">
      <c r="U465">
        <v>4.2065009560229391E-2</v>
      </c>
      <c r="V465">
        <v>2.66</v>
      </c>
      <c r="W465">
        <v>2.64</v>
      </c>
      <c r="X465">
        <f t="shared" si="7"/>
        <v>7.54716981132076E-3</v>
      </c>
      <c r="Y465">
        <v>781000</v>
      </c>
      <c r="Z465">
        <v>278880000</v>
      </c>
      <c r="AA465">
        <v>2061840</v>
      </c>
      <c r="AB465">
        <v>243270000</v>
      </c>
      <c r="AC465">
        <v>3.2104246310683602E-3</v>
      </c>
      <c r="AD465">
        <v>71359.41</v>
      </c>
      <c r="AE465">
        <v>0.21640000000000001</v>
      </c>
      <c r="AF465">
        <v>7584390000</v>
      </c>
      <c r="AG465">
        <v>8524879999.999999</v>
      </c>
      <c r="AH465">
        <v>530289999.99999994</v>
      </c>
      <c r="AI465">
        <v>44510000</v>
      </c>
      <c r="AJ465">
        <v>5899740000</v>
      </c>
      <c r="AK465">
        <v>7.4615951696617573E-9</v>
      </c>
      <c r="AL465">
        <v>0.77787930209285128</v>
      </c>
    </row>
    <row r="466" spans="21:38">
      <c r="U466">
        <v>7.6335877862595491E-2</v>
      </c>
      <c r="V466">
        <v>2.65</v>
      </c>
      <c r="W466">
        <v>2.6</v>
      </c>
      <c r="X466">
        <f t="shared" si="7"/>
        <v>1.904761904761898E-2</v>
      </c>
      <c r="Y466">
        <v>884000</v>
      </c>
      <c r="Z466">
        <v>278880000</v>
      </c>
      <c r="AA466">
        <v>2298400</v>
      </c>
      <c r="AB466">
        <v>243270000</v>
      </c>
      <c r="AC466">
        <v>3.6338225017470299E-3</v>
      </c>
      <c r="AD466">
        <v>71433.460000000006</v>
      </c>
      <c r="AE466">
        <v>0.21640000000000001</v>
      </c>
      <c r="AF466">
        <v>7584390000</v>
      </c>
      <c r="AG466">
        <v>8524879999.999999</v>
      </c>
      <c r="AH466">
        <v>530289999.99999994</v>
      </c>
      <c r="AI466">
        <v>44510000</v>
      </c>
      <c r="AJ466">
        <v>5899740000</v>
      </c>
      <c r="AK466">
        <v>6.7982074486599433E-9</v>
      </c>
      <c r="AL466">
        <v>0.77787930209285128</v>
      </c>
    </row>
    <row r="467" spans="21:38">
      <c r="U467">
        <v>7.2936660268714162E-2</v>
      </c>
      <c r="V467">
        <v>2.56</v>
      </c>
      <c r="W467">
        <v>2.5499999999999998</v>
      </c>
      <c r="X467">
        <f t="shared" si="7"/>
        <v>3.9138943248533198E-3</v>
      </c>
      <c r="Y467">
        <v>2303500</v>
      </c>
      <c r="Z467">
        <v>278880000</v>
      </c>
      <c r="AA467">
        <v>5896960</v>
      </c>
      <c r="AB467">
        <v>243270000</v>
      </c>
      <c r="AC467">
        <v>9.4689028651292802E-3</v>
      </c>
      <c r="AD467">
        <v>70909.899999999994</v>
      </c>
      <c r="AE467">
        <v>0.21640000000000001</v>
      </c>
      <c r="AF467">
        <v>7584390000</v>
      </c>
      <c r="AG467">
        <v>8524879999.999999</v>
      </c>
      <c r="AH467">
        <v>530289999.99999994</v>
      </c>
      <c r="AI467">
        <v>44510000</v>
      </c>
      <c r="AJ467">
        <v>5899740000</v>
      </c>
      <c r="AK467">
        <v>1.3352669422942505E-9</v>
      </c>
      <c r="AL467">
        <v>0.77787930209285128</v>
      </c>
    </row>
    <row r="468" spans="21:38">
      <c r="U468">
        <v>4.2553191489361826E-2</v>
      </c>
      <c r="V468">
        <v>2.59</v>
      </c>
      <c r="W468">
        <v>2.58</v>
      </c>
      <c r="X468">
        <f t="shared" si="7"/>
        <v>3.8684719535782542E-3</v>
      </c>
      <c r="Y468">
        <v>314000</v>
      </c>
      <c r="Z468">
        <v>278880000</v>
      </c>
      <c r="AA468">
        <v>797560</v>
      </c>
      <c r="AB468">
        <v>243270000</v>
      </c>
      <c r="AC468">
        <v>1.2907469067291487E-3</v>
      </c>
      <c r="AD468">
        <v>70290.12</v>
      </c>
      <c r="AE468">
        <v>0.21640000000000001</v>
      </c>
      <c r="AF468">
        <v>7584390000</v>
      </c>
      <c r="AG468">
        <v>8524879999.999999</v>
      </c>
      <c r="AH468">
        <v>530289999.99999994</v>
      </c>
      <c r="AI468">
        <v>44510000</v>
      </c>
      <c r="AJ468">
        <v>5899740000</v>
      </c>
      <c r="AK468">
        <v>1.9439134320919131E-8</v>
      </c>
      <c r="AL468">
        <v>0.77787930209285128</v>
      </c>
    </row>
    <row r="469" spans="21:38">
      <c r="U469">
        <v>6.8181818181818246E-2</v>
      </c>
      <c r="V469">
        <v>2.59</v>
      </c>
      <c r="W469">
        <v>2.56</v>
      </c>
      <c r="X469">
        <f t="shared" si="7"/>
        <v>1.1650485436893128E-2</v>
      </c>
      <c r="Y469">
        <v>679000</v>
      </c>
      <c r="Z469">
        <v>278880000</v>
      </c>
      <c r="AA469">
        <v>1751820</v>
      </c>
      <c r="AB469">
        <v>243270000</v>
      </c>
      <c r="AC469">
        <v>2.7911374193283181E-3</v>
      </c>
      <c r="AD469">
        <v>70333.320000000007</v>
      </c>
      <c r="AE469">
        <v>0.21640000000000001</v>
      </c>
      <c r="AF469">
        <v>7584390000</v>
      </c>
      <c r="AG469">
        <v>8524879999.999999</v>
      </c>
      <c r="AH469">
        <v>530289999.99999994</v>
      </c>
      <c r="AI469">
        <v>44510000</v>
      </c>
      <c r="AJ469">
        <v>5899740000</v>
      </c>
      <c r="AK469">
        <v>8.7150366889972131E-9</v>
      </c>
      <c r="AL469">
        <v>0.77787930209285128</v>
      </c>
    </row>
    <row r="470" spans="21:38">
      <c r="U470">
        <v>3.4026465028355331E-2</v>
      </c>
      <c r="V470">
        <v>2.64</v>
      </c>
      <c r="W470">
        <v>2.62</v>
      </c>
      <c r="X470">
        <f t="shared" si="7"/>
        <v>7.6045627376425924E-3</v>
      </c>
      <c r="Y470">
        <v>401500</v>
      </c>
      <c r="Z470">
        <v>278880000</v>
      </c>
      <c r="AA470">
        <v>1051930</v>
      </c>
      <c r="AB470">
        <v>243270000</v>
      </c>
      <c r="AC470">
        <v>1.6504295638590865E-3</v>
      </c>
      <c r="AD470">
        <v>70483.66</v>
      </c>
      <c r="AE470">
        <v>0.216</v>
      </c>
      <c r="AF470">
        <v>7584390000</v>
      </c>
      <c r="AG470">
        <v>8524879999.999999</v>
      </c>
      <c r="AH470">
        <v>530289999.99999994</v>
      </c>
      <c r="AI470">
        <v>44510000</v>
      </c>
      <c r="AJ470">
        <v>5899740000</v>
      </c>
      <c r="AK470">
        <v>3.6422743191288029E-9</v>
      </c>
      <c r="AL470">
        <v>0.77787930209285128</v>
      </c>
    </row>
    <row r="471" spans="21:38">
      <c r="U471">
        <v>7.9696394686907188E-2</v>
      </c>
      <c r="V471">
        <v>2.6</v>
      </c>
      <c r="W471">
        <v>2.59</v>
      </c>
      <c r="X471">
        <f t="shared" si="7"/>
        <v>3.853564547206255E-3</v>
      </c>
      <c r="Y471">
        <v>2235500</v>
      </c>
      <c r="Z471">
        <v>278880000</v>
      </c>
      <c r="AA471">
        <v>5834655</v>
      </c>
      <c r="AB471">
        <v>243270000</v>
      </c>
      <c r="AC471">
        <v>9.1893780573025861E-3</v>
      </c>
      <c r="AD471">
        <v>70544.58</v>
      </c>
      <c r="AE471">
        <v>0.216</v>
      </c>
      <c r="AF471">
        <v>7584390000</v>
      </c>
      <c r="AG471">
        <v>8524879999.999999</v>
      </c>
      <c r="AH471">
        <v>530289999.99999994</v>
      </c>
      <c r="AI471">
        <v>44510000</v>
      </c>
      <c r="AJ471">
        <v>5899740000</v>
      </c>
      <c r="AK471">
        <v>6.5919130542487325E-10</v>
      </c>
      <c r="AL471">
        <v>0.77787930209285128</v>
      </c>
    </row>
    <row r="472" spans="21:38">
      <c r="U472">
        <v>3.0769230769230795E-2</v>
      </c>
      <c r="V472">
        <v>2.6</v>
      </c>
      <c r="W472">
        <v>2.59</v>
      </c>
      <c r="X472">
        <f t="shared" si="7"/>
        <v>3.853564547206255E-3</v>
      </c>
      <c r="Y472">
        <v>1351500</v>
      </c>
      <c r="Z472">
        <v>278880000</v>
      </c>
      <c r="AA472">
        <v>3513900</v>
      </c>
      <c r="AB472">
        <v>243270000</v>
      </c>
      <c r="AC472">
        <v>5.5555555555555558E-3</v>
      </c>
      <c r="AD472">
        <v>70314.720000000001</v>
      </c>
      <c r="AE472">
        <v>0.216</v>
      </c>
      <c r="AF472">
        <v>7584390000</v>
      </c>
      <c r="AG472">
        <v>8524879999.999999</v>
      </c>
      <c r="AH472">
        <v>530289999.99999994</v>
      </c>
      <c r="AI472">
        <v>44510000</v>
      </c>
      <c r="AJ472">
        <v>5899740000</v>
      </c>
      <c r="AK472">
        <v>1.0540151124686835E-8</v>
      </c>
      <c r="AL472">
        <v>0.77787930209285128</v>
      </c>
    </row>
    <row r="473" spans="21:38">
      <c r="U473">
        <v>4.8598130841121627E-2</v>
      </c>
      <c r="V473">
        <v>2.73</v>
      </c>
      <c r="W473">
        <v>2.71</v>
      </c>
      <c r="X473">
        <f t="shared" si="7"/>
        <v>7.3529411764705951E-3</v>
      </c>
      <c r="Y473">
        <v>433000</v>
      </c>
      <c r="Z473">
        <v>278880000</v>
      </c>
      <c r="AA473">
        <v>1169100</v>
      </c>
      <c r="AB473">
        <v>243270000</v>
      </c>
      <c r="AC473">
        <v>1.7799153204258642E-3</v>
      </c>
      <c r="AD473">
        <v>69619.990000000005</v>
      </c>
      <c r="AE473">
        <v>0.216</v>
      </c>
      <c r="AF473">
        <v>7584390000</v>
      </c>
      <c r="AG473">
        <v>8524879999.999999</v>
      </c>
      <c r="AH473">
        <v>530289999.99999994</v>
      </c>
      <c r="AI473">
        <v>44510000</v>
      </c>
      <c r="AJ473">
        <v>5899740000</v>
      </c>
      <c r="AK473">
        <v>2.9495131828491809E-8</v>
      </c>
      <c r="AL473">
        <v>0.77787930209285128</v>
      </c>
    </row>
    <row r="474" spans="21:38">
      <c r="U474">
        <v>5.2434456928838996E-2</v>
      </c>
      <c r="V474">
        <v>2.63</v>
      </c>
      <c r="W474">
        <v>2.61</v>
      </c>
      <c r="X474">
        <f t="shared" si="7"/>
        <v>7.6335877862595486E-3</v>
      </c>
      <c r="Y474">
        <v>216500</v>
      </c>
      <c r="Z474">
        <v>278880000</v>
      </c>
      <c r="AA474">
        <v>565065</v>
      </c>
      <c r="AB474">
        <v>243270000</v>
      </c>
      <c r="AC474">
        <v>8.899576602129321E-4</v>
      </c>
      <c r="AD474">
        <v>68416.78</v>
      </c>
      <c r="AE474">
        <v>0.216</v>
      </c>
      <c r="AF474">
        <v>7584390000</v>
      </c>
      <c r="AG474">
        <v>8524879999.999999</v>
      </c>
      <c r="AH474">
        <v>530289999.99999994</v>
      </c>
      <c r="AI474">
        <v>44510000</v>
      </c>
      <c r="AJ474">
        <v>5899740000</v>
      </c>
      <c r="AK474">
        <v>1.3457854826688243E-8</v>
      </c>
      <c r="AL474">
        <v>0.77787930209285128</v>
      </c>
    </row>
    <row r="475" spans="21:38">
      <c r="U475">
        <v>2.6565464895635615E-2</v>
      </c>
      <c r="V475">
        <v>2.66</v>
      </c>
      <c r="W475">
        <v>2.61</v>
      </c>
      <c r="X475">
        <f t="shared" si="7"/>
        <v>1.8975332068311299E-2</v>
      </c>
      <c r="Y475">
        <v>349500</v>
      </c>
      <c r="Z475">
        <v>278880000</v>
      </c>
      <c r="AA475">
        <v>919185</v>
      </c>
      <c r="AB475">
        <v>243270000</v>
      </c>
      <c r="AC475">
        <v>1.4366752990504377E-3</v>
      </c>
      <c r="AD475">
        <v>67756.039999999994</v>
      </c>
      <c r="AE475">
        <v>0.216</v>
      </c>
      <c r="AF475">
        <v>7584390000</v>
      </c>
      <c r="AG475">
        <v>8524879999.999999</v>
      </c>
      <c r="AH475">
        <v>530289999.99999994</v>
      </c>
      <c r="AI475">
        <v>44510000</v>
      </c>
      <c r="AJ475">
        <v>5899740000</v>
      </c>
      <c r="AK475">
        <v>1.6298431119132398E-8</v>
      </c>
      <c r="AL475">
        <v>0.77787930209285128</v>
      </c>
    </row>
    <row r="476" spans="21:38">
      <c r="U476">
        <v>3.77358490566038E-2</v>
      </c>
      <c r="V476">
        <v>2.65</v>
      </c>
      <c r="W476">
        <v>2.64</v>
      </c>
      <c r="X476">
        <f t="shared" si="7"/>
        <v>3.7807183364838514E-3</v>
      </c>
      <c r="Y476">
        <v>52500</v>
      </c>
      <c r="Z476">
        <v>278880000</v>
      </c>
      <c r="AA476">
        <v>140175</v>
      </c>
      <c r="AB476">
        <v>243270000</v>
      </c>
      <c r="AC476">
        <v>2.1580959427796277E-4</v>
      </c>
      <c r="AD476">
        <v>66886.259999999995</v>
      </c>
      <c r="AE476">
        <v>0.216</v>
      </c>
      <c r="AF476">
        <v>7584390000</v>
      </c>
      <c r="AG476">
        <v>8524879999.999999</v>
      </c>
      <c r="AH476">
        <v>530289999.99999994</v>
      </c>
      <c r="AI476">
        <v>44510000</v>
      </c>
      <c r="AJ476">
        <v>5899740000</v>
      </c>
      <c r="AK476">
        <v>2.6819322248906875E-8</v>
      </c>
      <c r="AL476">
        <v>0.77787930209285128</v>
      </c>
    </row>
    <row r="477" spans="21:38">
      <c r="U477">
        <v>5.714285714285728E-2</v>
      </c>
      <c r="V477">
        <v>2.69</v>
      </c>
      <c r="W477">
        <v>2.62</v>
      </c>
      <c r="X477">
        <f t="shared" si="7"/>
        <v>2.6365348399246643E-2</v>
      </c>
      <c r="Y477">
        <v>168500</v>
      </c>
      <c r="Z477">
        <v>278880000</v>
      </c>
      <c r="AA477">
        <v>448210</v>
      </c>
      <c r="AB477">
        <v>243270000</v>
      </c>
      <c r="AC477">
        <v>6.9264603115879472E-4</v>
      </c>
      <c r="AD477">
        <v>66796.320000000007</v>
      </c>
      <c r="AE477">
        <v>0.216</v>
      </c>
      <c r="AF477">
        <v>7584390000</v>
      </c>
      <c r="AG477">
        <v>8524879999.999999</v>
      </c>
      <c r="AH477">
        <v>530289999.99999994</v>
      </c>
      <c r="AI477">
        <v>44510000</v>
      </c>
      <c r="AJ477">
        <v>5899740000</v>
      </c>
      <c r="AK477">
        <v>1.664997783887951E-8</v>
      </c>
      <c r="AL477">
        <v>0.77787930209285128</v>
      </c>
    </row>
    <row r="478" spans="21:38">
      <c r="U478">
        <v>9.9447513812154706E-2</v>
      </c>
      <c r="V478">
        <v>2.68</v>
      </c>
      <c r="W478">
        <v>2.67</v>
      </c>
      <c r="X478">
        <f t="shared" si="7"/>
        <v>3.7383177570094323E-3</v>
      </c>
      <c r="Y478">
        <v>775000</v>
      </c>
      <c r="Z478">
        <v>278880000</v>
      </c>
      <c r="AA478">
        <v>2077000.0000000002</v>
      </c>
      <c r="AB478">
        <v>243270000</v>
      </c>
      <c r="AC478">
        <v>3.1857606774365931E-3</v>
      </c>
      <c r="AD478">
        <v>67005.11</v>
      </c>
      <c r="AE478">
        <v>0.216</v>
      </c>
      <c r="AF478">
        <v>7584390000</v>
      </c>
      <c r="AG478">
        <v>8524879999.999999</v>
      </c>
      <c r="AH478">
        <v>530289999.99999994</v>
      </c>
      <c r="AI478">
        <v>44510000</v>
      </c>
      <c r="AJ478">
        <v>5899740000</v>
      </c>
      <c r="AK478">
        <v>5.450531881069439E-9</v>
      </c>
      <c r="AL478">
        <v>0.77787930209285128</v>
      </c>
    </row>
    <row r="479" spans="21:38">
      <c r="U479">
        <v>7.3800738007380143E-2</v>
      </c>
      <c r="V479">
        <v>2.65</v>
      </c>
      <c r="W479">
        <v>2.64</v>
      </c>
      <c r="X479">
        <f t="shared" si="7"/>
        <v>3.7807183364838514E-3</v>
      </c>
      <c r="Y479">
        <v>667000</v>
      </c>
      <c r="Z479">
        <v>278880000</v>
      </c>
      <c r="AA479">
        <v>1767550</v>
      </c>
      <c r="AB479">
        <v>243270000</v>
      </c>
      <c r="AC479">
        <v>2.7418095120647838E-3</v>
      </c>
      <c r="AD479">
        <v>67142.12</v>
      </c>
      <c r="AE479">
        <v>0.216</v>
      </c>
      <c r="AF479">
        <v>7584390000</v>
      </c>
      <c r="AG479">
        <v>8524879999.999999</v>
      </c>
      <c r="AH479">
        <v>530289999.99999994</v>
      </c>
      <c r="AI479">
        <v>44510000</v>
      </c>
      <c r="AJ479">
        <v>5899740000</v>
      </c>
      <c r="AK479">
        <v>1.2525937824793664E-8</v>
      </c>
      <c r="AL479">
        <v>0.77787930209285128</v>
      </c>
    </row>
    <row r="480" spans="21:38">
      <c r="U480">
        <v>3.6496350364963535E-2</v>
      </c>
      <c r="V480">
        <v>2.73</v>
      </c>
      <c r="W480">
        <v>2.71</v>
      </c>
      <c r="X480">
        <f t="shared" si="7"/>
        <v>7.3529411764705951E-3</v>
      </c>
      <c r="Y480">
        <v>548500</v>
      </c>
      <c r="Z480">
        <v>278880000</v>
      </c>
      <c r="AA480">
        <v>1486435</v>
      </c>
      <c r="AB480">
        <v>243270000</v>
      </c>
      <c r="AC480">
        <v>2.2546964278373823E-3</v>
      </c>
      <c r="AD480">
        <v>66547.789999999994</v>
      </c>
      <c r="AE480">
        <v>0.216</v>
      </c>
      <c r="AF480">
        <v>7584390000</v>
      </c>
      <c r="AG480">
        <v>8524879999.999999</v>
      </c>
      <c r="AH480">
        <v>530289999.99999994</v>
      </c>
      <c r="AI480">
        <v>44510000</v>
      </c>
      <c r="AJ480">
        <v>5899740000</v>
      </c>
      <c r="AK480">
        <v>1.6939762663761185E-8</v>
      </c>
      <c r="AL480">
        <v>0.77787930209285128</v>
      </c>
    </row>
    <row r="481" spans="21:38">
      <c r="U481">
        <v>5.6939501779359483E-2</v>
      </c>
      <c r="V481">
        <v>2.8</v>
      </c>
      <c r="W481">
        <v>2.75</v>
      </c>
      <c r="X481">
        <f t="shared" si="7"/>
        <v>1.8018018018017955E-2</v>
      </c>
      <c r="Y481">
        <v>227000</v>
      </c>
      <c r="Z481">
        <v>278880000</v>
      </c>
      <c r="AA481">
        <v>631060</v>
      </c>
      <c r="AB481">
        <v>243270000</v>
      </c>
      <c r="AC481">
        <v>9.3311957906852473E-4</v>
      </c>
      <c r="AD481">
        <v>65906.28</v>
      </c>
      <c r="AE481">
        <v>0.216</v>
      </c>
      <c r="AF481">
        <v>7584390000</v>
      </c>
      <c r="AG481">
        <v>8524879999.999999</v>
      </c>
      <c r="AH481">
        <v>530289999.99999994</v>
      </c>
      <c r="AI481">
        <v>44510000</v>
      </c>
      <c r="AJ481">
        <v>5899740000</v>
      </c>
      <c r="AK481">
        <v>1.6917815395730964E-8</v>
      </c>
      <c r="AL481">
        <v>0.77787930209285128</v>
      </c>
    </row>
    <row r="482" spans="21:38">
      <c r="U482">
        <v>7.7464788732394443E-2</v>
      </c>
      <c r="V482">
        <v>2.85</v>
      </c>
      <c r="W482">
        <v>2.8</v>
      </c>
      <c r="X482">
        <f t="shared" si="7"/>
        <v>1.7699115044247881E-2</v>
      </c>
      <c r="Y482">
        <v>396500</v>
      </c>
      <c r="Z482">
        <v>278880000</v>
      </c>
      <c r="AA482">
        <v>1114165</v>
      </c>
      <c r="AB482">
        <v>243270000</v>
      </c>
      <c r="AC482">
        <v>1.6298762691659473E-3</v>
      </c>
      <c r="AD482">
        <v>65525.65</v>
      </c>
      <c r="AE482">
        <v>0.216</v>
      </c>
      <c r="AF482">
        <v>7584390000</v>
      </c>
      <c r="AG482">
        <v>8524879999.999999</v>
      </c>
      <c r="AH482">
        <v>530289999.99999994</v>
      </c>
      <c r="AI482">
        <v>44510000</v>
      </c>
      <c r="AJ482">
        <v>5899740000</v>
      </c>
      <c r="AK482">
        <v>0</v>
      </c>
      <c r="AL482">
        <v>0.77787930209285128</v>
      </c>
    </row>
    <row r="483" spans="21:38">
      <c r="U483">
        <v>3.3080017881090683E-2</v>
      </c>
      <c r="V483">
        <v>11.08</v>
      </c>
      <c r="W483">
        <v>11.04</v>
      </c>
      <c r="X483">
        <f t="shared" si="7"/>
        <v>3.6166365280290171E-3</v>
      </c>
      <c r="Y483">
        <v>3169290</v>
      </c>
      <c r="Z483">
        <v>561090000</v>
      </c>
      <c r="AA483">
        <v>35020654.5</v>
      </c>
      <c r="AB483">
        <v>561100000</v>
      </c>
      <c r="AC483">
        <v>5.6483514525040102E-3</v>
      </c>
      <c r="AD483">
        <v>75983.039999999994</v>
      </c>
      <c r="AE483">
        <v>0.2157</v>
      </c>
      <c r="AF483">
        <v>16067000000</v>
      </c>
      <c r="AG483">
        <v>4788240000</v>
      </c>
      <c r="AH483">
        <v>-94220000</v>
      </c>
      <c r="AI483">
        <v>499810000</v>
      </c>
      <c r="AJ483">
        <v>2712820000</v>
      </c>
      <c r="AK483">
        <v>1.5421014059018474E-10</v>
      </c>
      <c r="AL483">
        <v>0.16884421485031431</v>
      </c>
    </row>
    <row r="484" spans="21:38">
      <c r="U484">
        <v>2.4182713837886373E-2</v>
      </c>
      <c r="V484">
        <v>11.12</v>
      </c>
      <c r="W484">
        <v>11.07</v>
      </c>
      <c r="X484">
        <f t="shared" si="7"/>
        <v>4.5065344749886382E-3</v>
      </c>
      <c r="Y484">
        <v>1469241</v>
      </c>
      <c r="Z484">
        <v>561090000</v>
      </c>
      <c r="AA484">
        <v>16323267.51</v>
      </c>
      <c r="AB484">
        <v>561100000</v>
      </c>
      <c r="AC484">
        <v>2.6185011584387808E-3</v>
      </c>
      <c r="AD484">
        <v>75114.47</v>
      </c>
      <c r="AE484">
        <v>0.2157</v>
      </c>
      <c r="AF484">
        <v>16067000000</v>
      </c>
      <c r="AG484">
        <v>4788240000</v>
      </c>
      <c r="AH484">
        <v>-94220000</v>
      </c>
      <c r="AI484">
        <v>499810000</v>
      </c>
      <c r="AJ484">
        <v>2712820000</v>
      </c>
      <c r="AK484">
        <v>2.7447242015770396E-10</v>
      </c>
      <c r="AL484">
        <v>0.16884421485031431</v>
      </c>
    </row>
    <row r="485" spans="21:38">
      <c r="U485">
        <v>2.4010671409515457E-2</v>
      </c>
      <c r="V485">
        <v>11.15</v>
      </c>
      <c r="W485">
        <v>11.13</v>
      </c>
      <c r="X485">
        <f t="shared" si="7"/>
        <v>1.7953321364452041E-3</v>
      </c>
      <c r="Y485">
        <v>2416108</v>
      </c>
      <c r="Z485">
        <v>561090000</v>
      </c>
      <c r="AA485">
        <v>26963765.280000001</v>
      </c>
      <c r="AB485">
        <v>561100000</v>
      </c>
      <c r="AC485">
        <v>4.3060203172340045E-3</v>
      </c>
      <c r="AD485">
        <v>74956.67</v>
      </c>
      <c r="AE485">
        <v>0.2157</v>
      </c>
      <c r="AF485">
        <v>16067000000</v>
      </c>
      <c r="AG485">
        <v>4788240000</v>
      </c>
      <c r="AH485">
        <v>-94220000</v>
      </c>
      <c r="AI485">
        <v>499810000</v>
      </c>
      <c r="AJ485">
        <v>2712820000</v>
      </c>
      <c r="AK485">
        <v>1.9832517926768365E-10</v>
      </c>
      <c r="AL485">
        <v>0.16884421485031431</v>
      </c>
    </row>
    <row r="486" spans="21:38">
      <c r="U486">
        <v>2.0399113082039948E-2</v>
      </c>
      <c r="V486">
        <v>11.3</v>
      </c>
      <c r="W486">
        <v>11.2</v>
      </c>
      <c r="X486">
        <f t="shared" si="7"/>
        <v>8.8888888888890155E-3</v>
      </c>
      <c r="Y486">
        <v>1119268</v>
      </c>
      <c r="Z486">
        <v>561090000</v>
      </c>
      <c r="AA486">
        <v>12558186.960000001</v>
      </c>
      <c r="AB486">
        <v>561100000</v>
      </c>
      <c r="AC486">
        <v>1.9947745499910891E-3</v>
      </c>
      <c r="AD486">
        <v>75206.77</v>
      </c>
      <c r="AE486">
        <v>0.2157</v>
      </c>
      <c r="AF486">
        <v>16067000000</v>
      </c>
      <c r="AG486">
        <v>4788240000</v>
      </c>
      <c r="AH486">
        <v>-94220000</v>
      </c>
      <c r="AI486">
        <v>499810000</v>
      </c>
      <c r="AJ486">
        <v>2712820000</v>
      </c>
      <c r="AK486">
        <v>8.4263840120520971E-10</v>
      </c>
      <c r="AL486">
        <v>0.16884421485031431</v>
      </c>
    </row>
    <row r="487" spans="21:38">
      <c r="U487">
        <v>4.1611332447985733E-2</v>
      </c>
      <c r="V487">
        <v>11.3</v>
      </c>
      <c r="W487">
        <v>11.29</v>
      </c>
      <c r="X487">
        <f t="shared" si="7"/>
        <v>8.8534749889345398E-4</v>
      </c>
      <c r="Y487">
        <v>5123757</v>
      </c>
      <c r="Z487">
        <v>561090000</v>
      </c>
      <c r="AA487">
        <v>58103404.380000003</v>
      </c>
      <c r="AB487">
        <v>561100000</v>
      </c>
      <c r="AC487">
        <v>9.1316289431473893E-3</v>
      </c>
      <c r="AD487">
        <v>75084</v>
      </c>
      <c r="AE487">
        <v>0.2157</v>
      </c>
      <c r="AF487">
        <v>16067000000</v>
      </c>
      <c r="AG487">
        <v>4788240000</v>
      </c>
      <c r="AH487">
        <v>-94220000</v>
      </c>
      <c r="AI487">
        <v>499810000</v>
      </c>
      <c r="AJ487">
        <v>2712820000</v>
      </c>
      <c r="AK487">
        <v>4.197730608507071E-10</v>
      </c>
      <c r="AL487">
        <v>0.16884421485031431</v>
      </c>
    </row>
    <row r="488" spans="21:38">
      <c r="U488">
        <v>3.2991529201961745E-2</v>
      </c>
      <c r="V488">
        <v>11.12</v>
      </c>
      <c r="W488">
        <v>11.1</v>
      </c>
      <c r="X488">
        <f t="shared" si="7"/>
        <v>1.8001800180017619E-3</v>
      </c>
      <c r="Y488">
        <v>8057122</v>
      </c>
      <c r="Z488">
        <v>561090000</v>
      </c>
      <c r="AA488">
        <v>89192340.540000007</v>
      </c>
      <c r="AB488">
        <v>561100000</v>
      </c>
      <c r="AC488">
        <v>1.4359511673498485E-2</v>
      </c>
      <c r="AD488">
        <v>75342.350000000006</v>
      </c>
      <c r="AE488">
        <v>0.2157</v>
      </c>
      <c r="AF488">
        <v>16067000000</v>
      </c>
      <c r="AG488">
        <v>4788240000</v>
      </c>
      <c r="AH488">
        <v>-94220000</v>
      </c>
      <c r="AI488">
        <v>499810000</v>
      </c>
      <c r="AJ488">
        <v>2712820000</v>
      </c>
      <c r="AK488">
        <v>2.7658881216560816E-10</v>
      </c>
      <c r="AL488">
        <v>0.16884421485031431</v>
      </c>
    </row>
    <row r="489" spans="21:38">
      <c r="U489">
        <v>3.9215686274509741E-2</v>
      </c>
      <c r="V489">
        <v>11.38</v>
      </c>
      <c r="W489">
        <v>11.35</v>
      </c>
      <c r="X489">
        <f t="shared" si="7"/>
        <v>2.6396832380115387E-3</v>
      </c>
      <c r="Y489">
        <v>2072183</v>
      </c>
      <c r="Z489">
        <v>561090000</v>
      </c>
      <c r="AA489">
        <v>23519277.050000001</v>
      </c>
      <c r="AB489">
        <v>561100000</v>
      </c>
      <c r="AC489">
        <v>3.6930725360898235E-3</v>
      </c>
      <c r="AD489">
        <v>74930.7</v>
      </c>
      <c r="AE489">
        <v>0.2157</v>
      </c>
      <c r="AF489">
        <v>16067000000</v>
      </c>
      <c r="AG489">
        <v>4788240000</v>
      </c>
      <c r="AH489">
        <v>-94220000</v>
      </c>
      <c r="AI489">
        <v>499810000</v>
      </c>
      <c r="AJ489">
        <v>2712820000</v>
      </c>
      <c r="AK489">
        <v>5.9104519501817547E-10</v>
      </c>
      <c r="AL489">
        <v>0.16884421485031431</v>
      </c>
    </row>
    <row r="490" spans="21:38">
      <c r="U490">
        <v>3.3577270770555362E-2</v>
      </c>
      <c r="V490">
        <v>11.52</v>
      </c>
      <c r="W490">
        <v>11.51</v>
      </c>
      <c r="X490">
        <f t="shared" si="7"/>
        <v>8.684324793747101E-4</v>
      </c>
      <c r="Y490">
        <v>3840982</v>
      </c>
      <c r="Z490">
        <v>561090000</v>
      </c>
      <c r="AA490">
        <v>44209702.82</v>
      </c>
      <c r="AB490">
        <v>561100000</v>
      </c>
      <c r="AC490">
        <v>6.8454500089110675E-3</v>
      </c>
      <c r="AD490">
        <v>74663.98</v>
      </c>
      <c r="AE490">
        <v>0.2157</v>
      </c>
      <c r="AF490">
        <v>16067000000</v>
      </c>
      <c r="AG490">
        <v>4788240000</v>
      </c>
      <c r="AH490">
        <v>-94220000</v>
      </c>
      <c r="AI490">
        <v>499810000</v>
      </c>
      <c r="AJ490">
        <v>2712820000</v>
      </c>
      <c r="AK490">
        <v>3.8632739444738703E-10</v>
      </c>
      <c r="AL490">
        <v>0.16884421485031431</v>
      </c>
    </row>
    <row r="491" spans="21:38">
      <c r="U491">
        <v>4.0540540540540577E-2</v>
      </c>
      <c r="V491">
        <v>11.75</v>
      </c>
      <c r="W491">
        <v>11.71</v>
      </c>
      <c r="X491">
        <f t="shared" si="7"/>
        <v>3.4100596760442579E-3</v>
      </c>
      <c r="Y491">
        <v>15848960</v>
      </c>
      <c r="Z491">
        <v>561090000</v>
      </c>
      <c r="AA491">
        <v>185591321.60000002</v>
      </c>
      <c r="AB491">
        <v>561100000</v>
      </c>
      <c r="AC491">
        <v>2.8246230618428087E-2</v>
      </c>
      <c r="AD491">
        <v>74531.19</v>
      </c>
      <c r="AE491">
        <v>0.21590000000000001</v>
      </c>
      <c r="AF491">
        <v>16067000000</v>
      </c>
      <c r="AG491">
        <v>4788240000</v>
      </c>
      <c r="AH491">
        <v>-94220000</v>
      </c>
      <c r="AI491">
        <v>499810000</v>
      </c>
      <c r="AJ491">
        <v>2712820000</v>
      </c>
      <c r="AK491">
        <v>1.8342750565061244E-11</v>
      </c>
      <c r="AL491">
        <v>0.16884421485031431</v>
      </c>
    </row>
    <row r="492" spans="21:38">
      <c r="U492">
        <v>5.5555555555555608E-2</v>
      </c>
      <c r="V492">
        <v>11.78</v>
      </c>
      <c r="W492">
        <v>11.75</v>
      </c>
      <c r="X492">
        <f t="shared" si="7"/>
        <v>2.5499362515936557E-3</v>
      </c>
      <c r="Y492">
        <v>12890553</v>
      </c>
      <c r="Z492">
        <v>561090000</v>
      </c>
      <c r="AA492">
        <v>151463997.75</v>
      </c>
      <c r="AB492">
        <v>561100000</v>
      </c>
      <c r="AC492">
        <v>2.2973717697380148E-2</v>
      </c>
      <c r="AD492">
        <v>73799.11</v>
      </c>
      <c r="AE492">
        <v>0.21590000000000001</v>
      </c>
      <c r="AF492">
        <v>16067000000</v>
      </c>
      <c r="AG492">
        <v>4788240000</v>
      </c>
      <c r="AH492">
        <v>-94220000</v>
      </c>
      <c r="AI492">
        <v>499810000</v>
      </c>
      <c r="AJ492">
        <v>2712820000</v>
      </c>
      <c r="AK492">
        <v>2.2065497132908441E-10</v>
      </c>
      <c r="AL492">
        <v>0.16884421485031431</v>
      </c>
    </row>
    <row r="493" spans="21:38">
      <c r="U493">
        <v>4.8140043763676053E-2</v>
      </c>
      <c r="V493">
        <v>11.32</v>
      </c>
      <c r="W493">
        <v>11.28</v>
      </c>
      <c r="X493">
        <f t="shared" si="7"/>
        <v>3.539823008849639E-3</v>
      </c>
      <c r="Y493">
        <v>5987872</v>
      </c>
      <c r="Z493">
        <v>561090000</v>
      </c>
      <c r="AA493">
        <v>68082104.640000001</v>
      </c>
      <c r="AB493">
        <v>561100000</v>
      </c>
      <c r="AC493">
        <v>1.0671666369631082E-2</v>
      </c>
      <c r="AD493">
        <v>73085.5</v>
      </c>
      <c r="AE493">
        <v>0.21590000000000001</v>
      </c>
      <c r="AF493">
        <v>16067000000</v>
      </c>
      <c r="AG493">
        <v>4788240000</v>
      </c>
      <c r="AH493">
        <v>-94220000</v>
      </c>
      <c r="AI493">
        <v>499810000</v>
      </c>
      <c r="AJ493">
        <v>2712820000</v>
      </c>
      <c r="AK493">
        <v>1.5667357410686822E-10</v>
      </c>
      <c r="AL493">
        <v>0.16884421485031431</v>
      </c>
    </row>
    <row r="494" spans="21:38">
      <c r="U494">
        <v>2.7518863737239278E-2</v>
      </c>
      <c r="V494">
        <v>11.26</v>
      </c>
      <c r="W494">
        <v>11.25</v>
      </c>
      <c r="X494">
        <f t="shared" si="7"/>
        <v>8.884940026654631E-4</v>
      </c>
      <c r="Y494">
        <v>2793221</v>
      </c>
      <c r="Z494">
        <v>561090000</v>
      </c>
      <c r="AA494">
        <v>31423736.25</v>
      </c>
      <c r="AB494">
        <v>561100000</v>
      </c>
      <c r="AC494">
        <v>4.9781162003207985E-3</v>
      </c>
      <c r="AD494">
        <v>72658.05</v>
      </c>
      <c r="AE494">
        <v>0.21590000000000001</v>
      </c>
      <c r="AF494">
        <v>16067000000</v>
      </c>
      <c r="AG494">
        <v>4788240000</v>
      </c>
      <c r="AH494">
        <v>-94220000</v>
      </c>
      <c r="AI494">
        <v>499810000</v>
      </c>
      <c r="AJ494">
        <v>2712820000</v>
      </c>
      <c r="AK494">
        <v>5.6473962183134013E-11</v>
      </c>
      <c r="AL494">
        <v>0.16884421485031431</v>
      </c>
    </row>
    <row r="495" spans="21:38">
      <c r="U495">
        <v>5.0870147255689446E-2</v>
      </c>
      <c r="V495">
        <v>11.28</v>
      </c>
      <c r="W495">
        <v>11.27</v>
      </c>
      <c r="X495">
        <f t="shared" si="7"/>
        <v>8.8691796008867304E-4</v>
      </c>
      <c r="Y495">
        <v>7841584</v>
      </c>
      <c r="Z495">
        <v>561090000</v>
      </c>
      <c r="AA495">
        <v>88374651.679999992</v>
      </c>
      <c r="AB495">
        <v>561100000</v>
      </c>
      <c r="AC495">
        <v>1.3975376938157192E-2</v>
      </c>
      <c r="AD495">
        <v>72601.820000000007</v>
      </c>
      <c r="AE495">
        <v>0.21590000000000001</v>
      </c>
      <c r="AF495">
        <v>16067000000</v>
      </c>
      <c r="AG495">
        <v>4788240000</v>
      </c>
      <c r="AH495">
        <v>-94220000</v>
      </c>
      <c r="AI495">
        <v>499810000</v>
      </c>
      <c r="AJ495">
        <v>2712820000</v>
      </c>
      <c r="AK495">
        <v>2.9886010362828587E-10</v>
      </c>
      <c r="AL495">
        <v>0.16884421485031431</v>
      </c>
    </row>
    <row r="496" spans="21:38">
      <c r="U496">
        <v>2.8933092224231488E-2</v>
      </c>
      <c r="V496">
        <v>10.95</v>
      </c>
      <c r="W496">
        <v>10.94</v>
      </c>
      <c r="X496">
        <f t="shared" si="7"/>
        <v>9.1365920511647203E-4</v>
      </c>
      <c r="Y496">
        <v>2813096</v>
      </c>
      <c r="Z496">
        <v>561090000</v>
      </c>
      <c r="AA496">
        <v>30887794.080000002</v>
      </c>
      <c r="AB496">
        <v>561100000</v>
      </c>
      <c r="AC496">
        <v>5.0135376938157195E-3</v>
      </c>
      <c r="AD496">
        <v>72761.2</v>
      </c>
      <c r="AE496">
        <v>0.21590000000000001</v>
      </c>
      <c r="AF496">
        <v>16067000000</v>
      </c>
      <c r="AG496">
        <v>4788240000</v>
      </c>
      <c r="AH496">
        <v>-94220000</v>
      </c>
      <c r="AI496">
        <v>499810000</v>
      </c>
      <c r="AJ496">
        <v>2712820000</v>
      </c>
      <c r="AK496">
        <v>1.4810269080521912E-10</v>
      </c>
      <c r="AL496">
        <v>0.16884421485031431</v>
      </c>
    </row>
    <row r="497" spans="21:38">
      <c r="U497">
        <v>2.1838034576888102E-2</v>
      </c>
      <c r="V497">
        <v>10.95</v>
      </c>
      <c r="W497">
        <v>10.94</v>
      </c>
      <c r="X497">
        <f t="shared" si="7"/>
        <v>9.1365920511647203E-4</v>
      </c>
      <c r="Y497">
        <v>2745422</v>
      </c>
      <c r="Z497">
        <v>561090000</v>
      </c>
      <c r="AA497">
        <v>30007462.460000001</v>
      </c>
      <c r="AB497">
        <v>561100000</v>
      </c>
      <c r="AC497">
        <v>4.8929281767955803E-3</v>
      </c>
      <c r="AD497">
        <v>72764.240000000005</v>
      </c>
      <c r="AE497">
        <v>0.21590000000000001</v>
      </c>
      <c r="AF497">
        <v>16067000000</v>
      </c>
      <c r="AG497">
        <v>4788240000</v>
      </c>
      <c r="AH497">
        <v>-94220000</v>
      </c>
      <c r="AI497">
        <v>499810000</v>
      </c>
      <c r="AJ497">
        <v>2712820000</v>
      </c>
      <c r="AK497">
        <v>1.8193836454847191E-10</v>
      </c>
      <c r="AL497">
        <v>0.16884421485031431</v>
      </c>
    </row>
    <row r="498" spans="21:38">
      <c r="U498">
        <v>4.2553191489361597E-2</v>
      </c>
      <c r="V498">
        <v>10.99</v>
      </c>
      <c r="W498">
        <v>10.95</v>
      </c>
      <c r="X498">
        <f t="shared" si="7"/>
        <v>3.646308113035636E-3</v>
      </c>
      <c r="Y498">
        <v>4872965</v>
      </c>
      <c r="Z498">
        <v>561090000</v>
      </c>
      <c r="AA498">
        <v>53553885.350000001</v>
      </c>
      <c r="AB498">
        <v>561100000</v>
      </c>
      <c r="AC498">
        <v>8.6846640527535202E-3</v>
      </c>
      <c r="AD498">
        <v>71902.09</v>
      </c>
      <c r="AE498">
        <v>0.21590000000000001</v>
      </c>
      <c r="AF498">
        <v>16067000000</v>
      </c>
      <c r="AG498">
        <v>4788240000</v>
      </c>
      <c r="AH498">
        <v>-94220000</v>
      </c>
      <c r="AI498">
        <v>499810000</v>
      </c>
      <c r="AJ498">
        <v>2712820000</v>
      </c>
      <c r="AK498">
        <v>1.8878731303193868E-10</v>
      </c>
      <c r="AL498">
        <v>0.16884421485031431</v>
      </c>
    </row>
    <row r="499" spans="21:38">
      <c r="U499">
        <v>3.1278748850045987E-2</v>
      </c>
      <c r="V499">
        <v>10.9</v>
      </c>
      <c r="W499">
        <v>10.83</v>
      </c>
      <c r="X499">
        <f t="shared" si="7"/>
        <v>6.4427059364933533E-3</v>
      </c>
      <c r="Y499">
        <v>2292372</v>
      </c>
      <c r="Z499">
        <v>561090000</v>
      </c>
      <c r="AA499">
        <v>24941007.360000003</v>
      </c>
      <c r="AB499">
        <v>561100000</v>
      </c>
      <c r="AC499">
        <v>4.085496346462306E-3</v>
      </c>
      <c r="AD499">
        <v>70657.64</v>
      </c>
      <c r="AE499">
        <v>0.21590000000000001</v>
      </c>
      <c r="AF499">
        <v>16067000000</v>
      </c>
      <c r="AG499">
        <v>4788240000</v>
      </c>
      <c r="AH499">
        <v>-94220000</v>
      </c>
      <c r="AI499">
        <v>499810000</v>
      </c>
      <c r="AJ499">
        <v>2712820000</v>
      </c>
      <c r="AK499">
        <v>2.9699712206842525E-10</v>
      </c>
      <c r="AL499">
        <v>0.16884421485031431</v>
      </c>
    </row>
    <row r="500" spans="21:38">
      <c r="U500">
        <v>5.4298642533936618E-2</v>
      </c>
      <c r="V500">
        <v>10.78</v>
      </c>
      <c r="W500">
        <v>10.75</v>
      </c>
      <c r="X500">
        <f t="shared" si="7"/>
        <v>2.7868091035763453E-3</v>
      </c>
      <c r="Y500">
        <v>4599316</v>
      </c>
      <c r="Z500">
        <v>561090000</v>
      </c>
      <c r="AA500">
        <v>49672612.800000004</v>
      </c>
      <c r="AB500">
        <v>561100000</v>
      </c>
      <c r="AC500">
        <v>8.1969631081803603E-3</v>
      </c>
      <c r="AD500">
        <v>71102.55</v>
      </c>
      <c r="AE500">
        <v>0.21590000000000001</v>
      </c>
      <c r="AF500">
        <v>16067000000</v>
      </c>
      <c r="AG500">
        <v>4788240000</v>
      </c>
      <c r="AH500">
        <v>-94220000</v>
      </c>
      <c r="AI500">
        <v>499810000</v>
      </c>
      <c r="AJ500">
        <v>2712820000</v>
      </c>
      <c r="AK500">
        <v>7.1899349965914389E-10</v>
      </c>
      <c r="AL500">
        <v>0.16884421485031431</v>
      </c>
    </row>
    <row r="501" spans="21:38">
      <c r="U501">
        <v>3.2642258491398256E-2</v>
      </c>
      <c r="V501">
        <v>11.18</v>
      </c>
      <c r="W501">
        <v>11.16</v>
      </c>
      <c r="X501">
        <f t="shared" si="7"/>
        <v>1.7905102954341606E-3</v>
      </c>
      <c r="Y501">
        <v>4318377</v>
      </c>
      <c r="Z501">
        <v>561090000</v>
      </c>
      <c r="AA501">
        <v>48365822.399999999</v>
      </c>
      <c r="AB501">
        <v>561100000</v>
      </c>
      <c r="AC501">
        <v>7.6962698271252896E-3</v>
      </c>
      <c r="AD501">
        <v>71695.03</v>
      </c>
      <c r="AE501">
        <v>0.21640000000000001</v>
      </c>
      <c r="AF501">
        <v>16067000000</v>
      </c>
      <c r="AG501">
        <v>4788240000</v>
      </c>
      <c r="AH501">
        <v>-94220000</v>
      </c>
      <c r="AI501">
        <v>499810000</v>
      </c>
      <c r="AJ501">
        <v>2712820000</v>
      </c>
      <c r="AK501">
        <v>5.7432658847496002E-10</v>
      </c>
      <c r="AL501">
        <v>0.16884421485031431</v>
      </c>
    </row>
    <row r="502" spans="21:38">
      <c r="U502">
        <v>3.273040482342815E-2</v>
      </c>
      <c r="V502">
        <v>11.49</v>
      </c>
      <c r="W502">
        <v>11.45</v>
      </c>
      <c r="X502">
        <f t="shared" si="7"/>
        <v>3.4873583260680843E-3</v>
      </c>
      <c r="Y502">
        <v>3214249</v>
      </c>
      <c r="Z502">
        <v>561090000</v>
      </c>
      <c r="AA502">
        <v>37028148.479999997</v>
      </c>
      <c r="AB502">
        <v>561100000</v>
      </c>
      <c r="AC502">
        <v>5.7284779896631614E-3</v>
      </c>
      <c r="AD502">
        <v>72742.75</v>
      </c>
      <c r="AE502">
        <v>0.21640000000000001</v>
      </c>
      <c r="AF502">
        <v>16067000000</v>
      </c>
      <c r="AG502">
        <v>4788240000</v>
      </c>
      <c r="AH502">
        <v>-94220000</v>
      </c>
      <c r="AI502">
        <v>499810000</v>
      </c>
      <c r="AJ502">
        <v>2712820000</v>
      </c>
      <c r="AK502">
        <v>1.3992995499242177E-10</v>
      </c>
      <c r="AL502">
        <v>0.16884421485031431</v>
      </c>
    </row>
    <row r="503" spans="21:38">
      <c r="U503">
        <v>3.4188034188034219E-2</v>
      </c>
      <c r="V503">
        <v>11.58</v>
      </c>
      <c r="W503">
        <v>11.56</v>
      </c>
      <c r="X503">
        <f t="shared" si="7"/>
        <v>1.7286084701814671E-3</v>
      </c>
      <c r="Y503">
        <v>3012785</v>
      </c>
      <c r="Z503">
        <v>561090000</v>
      </c>
      <c r="AA503">
        <v>34888050.299999997</v>
      </c>
      <c r="AB503">
        <v>561100000</v>
      </c>
      <c r="AC503">
        <v>5.3694261272500448E-3</v>
      </c>
      <c r="AD503">
        <v>71971.399999999994</v>
      </c>
      <c r="AE503">
        <v>0.21640000000000001</v>
      </c>
      <c r="AF503">
        <v>16067000000</v>
      </c>
      <c r="AG503">
        <v>4788240000</v>
      </c>
      <c r="AH503">
        <v>-94220000</v>
      </c>
      <c r="AI503">
        <v>499810000</v>
      </c>
      <c r="AJ503">
        <v>2712820000</v>
      </c>
      <c r="AK503">
        <v>3.1820702072404266E-10</v>
      </c>
      <c r="AL503">
        <v>0.16884421485031431</v>
      </c>
    </row>
    <row r="504" spans="21:38">
      <c r="U504">
        <v>3.8753159224936731E-2</v>
      </c>
      <c r="V504">
        <v>11.64</v>
      </c>
      <c r="W504">
        <v>11.62</v>
      </c>
      <c r="X504">
        <f t="shared" si="7"/>
        <v>1.719690455718087E-3</v>
      </c>
      <c r="Y504">
        <v>4295949</v>
      </c>
      <c r="Z504">
        <v>561090000</v>
      </c>
      <c r="AA504">
        <v>50305562.790000007</v>
      </c>
      <c r="AB504">
        <v>561100000</v>
      </c>
      <c r="AC504">
        <v>7.6562983425414368E-3</v>
      </c>
      <c r="AD504">
        <v>72051.89</v>
      </c>
      <c r="AE504">
        <v>0.21640000000000001</v>
      </c>
      <c r="AF504">
        <v>16067000000</v>
      </c>
      <c r="AG504">
        <v>4788240000</v>
      </c>
      <c r="AH504">
        <v>-94220000</v>
      </c>
      <c r="AI504">
        <v>499810000</v>
      </c>
      <c r="AJ504">
        <v>2712820000</v>
      </c>
      <c r="AK504">
        <v>3.8291951239969914E-10</v>
      </c>
      <c r="AL504">
        <v>0.16884421485031431</v>
      </c>
    </row>
    <row r="505" spans="21:38">
      <c r="U505">
        <v>3.3195020746887995E-2</v>
      </c>
      <c r="V505">
        <v>11.9</v>
      </c>
      <c r="W505">
        <v>11.86</v>
      </c>
      <c r="X505">
        <f t="shared" si="7"/>
        <v>3.3670033670034449E-3</v>
      </c>
      <c r="Y505">
        <v>11706678</v>
      </c>
      <c r="Z505">
        <v>561090000</v>
      </c>
      <c r="AA505">
        <v>139777735.31999999</v>
      </c>
      <c r="AB505">
        <v>561100000</v>
      </c>
      <c r="AC505">
        <v>2.0863799679201569E-2</v>
      </c>
      <c r="AD505">
        <v>71359.41</v>
      </c>
      <c r="AE505">
        <v>0.21640000000000001</v>
      </c>
      <c r="AF505">
        <v>16067000000</v>
      </c>
      <c r="AG505">
        <v>4788240000</v>
      </c>
      <c r="AH505">
        <v>-94220000</v>
      </c>
      <c r="AI505">
        <v>499810000</v>
      </c>
      <c r="AJ505">
        <v>2712820000</v>
      </c>
      <c r="AK505">
        <v>1.7930363934018387E-11</v>
      </c>
      <c r="AL505">
        <v>0.16884421485031431</v>
      </c>
    </row>
    <row r="506" spans="21:38">
      <c r="U506">
        <v>6.5448363790905184E-2</v>
      </c>
      <c r="V506">
        <v>12.05</v>
      </c>
      <c r="W506">
        <v>12.03</v>
      </c>
      <c r="X506">
        <f t="shared" si="7"/>
        <v>1.6611295681064244E-3</v>
      </c>
      <c r="Y506">
        <v>13652588</v>
      </c>
      <c r="Z506">
        <v>561090000</v>
      </c>
      <c r="AA506">
        <v>163421478.36000001</v>
      </c>
      <c r="AB506">
        <v>561100000</v>
      </c>
      <c r="AC506">
        <v>2.4331826768846907E-2</v>
      </c>
      <c r="AD506">
        <v>71433.460000000006</v>
      </c>
      <c r="AE506">
        <v>0.21640000000000001</v>
      </c>
      <c r="AF506">
        <v>16067000000</v>
      </c>
      <c r="AG506">
        <v>4788240000</v>
      </c>
      <c r="AH506">
        <v>-94220000</v>
      </c>
      <c r="AI506">
        <v>499810000</v>
      </c>
      <c r="AJ506">
        <v>2712820000</v>
      </c>
      <c r="AK506">
        <v>2.4455321302830313E-10</v>
      </c>
      <c r="AL506">
        <v>0.16884421485031431</v>
      </c>
    </row>
    <row r="507" spans="21:38">
      <c r="U507">
        <v>1.9853258523953268E-2</v>
      </c>
      <c r="V507">
        <v>11.5</v>
      </c>
      <c r="W507">
        <v>11.48</v>
      </c>
      <c r="X507">
        <f t="shared" si="7"/>
        <v>1.7406440382941317E-3</v>
      </c>
      <c r="Y507">
        <v>3019426</v>
      </c>
      <c r="Z507">
        <v>561090000</v>
      </c>
      <c r="AA507">
        <v>34753593.259999998</v>
      </c>
      <c r="AB507">
        <v>561100000</v>
      </c>
      <c r="AC507">
        <v>5.3812618071644985E-3</v>
      </c>
      <c r="AD507">
        <v>70909.899999999994</v>
      </c>
      <c r="AE507">
        <v>0.21640000000000001</v>
      </c>
      <c r="AF507">
        <v>16067000000</v>
      </c>
      <c r="AG507">
        <v>4788240000</v>
      </c>
      <c r="AH507">
        <v>-94220000</v>
      </c>
      <c r="AI507">
        <v>499810000</v>
      </c>
      <c r="AJ507">
        <v>2712820000</v>
      </c>
      <c r="AK507">
        <v>5.8772431852111855E-10</v>
      </c>
      <c r="AL507">
        <v>0.16884421485031431</v>
      </c>
    </row>
    <row r="508" spans="21:38">
      <c r="U508">
        <v>4.5685279187817188E-2</v>
      </c>
      <c r="V508">
        <v>11.75</v>
      </c>
      <c r="W508">
        <v>11.71</v>
      </c>
      <c r="X508">
        <f t="shared" si="7"/>
        <v>3.4100596760442579E-3</v>
      </c>
      <c r="Y508">
        <v>13277667</v>
      </c>
      <c r="Z508">
        <v>561090000</v>
      </c>
      <c r="AA508">
        <v>156012587.25</v>
      </c>
      <c r="AB508">
        <v>561100000</v>
      </c>
      <c r="AC508">
        <v>2.3663637497772234E-2</v>
      </c>
      <c r="AD508">
        <v>70290.12</v>
      </c>
      <c r="AE508">
        <v>0.21640000000000001</v>
      </c>
      <c r="AF508">
        <v>16067000000</v>
      </c>
      <c r="AG508">
        <v>4788240000</v>
      </c>
      <c r="AH508">
        <v>-94220000</v>
      </c>
      <c r="AI508">
        <v>499810000</v>
      </c>
      <c r="AJ508">
        <v>2712820000</v>
      </c>
      <c r="AK508">
        <v>1.2230204938187397E-10</v>
      </c>
      <c r="AL508">
        <v>0.16884421485031431</v>
      </c>
    </row>
    <row r="509" spans="21:38">
      <c r="U509">
        <v>4.0851803563668028E-2</v>
      </c>
      <c r="V509">
        <v>11.59</v>
      </c>
      <c r="W509">
        <v>11.52</v>
      </c>
      <c r="X509">
        <f t="shared" si="7"/>
        <v>6.0579835569017993E-3</v>
      </c>
      <c r="Y509">
        <v>5378738</v>
      </c>
      <c r="Z509">
        <v>561090000</v>
      </c>
      <c r="AA509">
        <v>62016849.139999993</v>
      </c>
      <c r="AB509">
        <v>561100000</v>
      </c>
      <c r="AC509">
        <v>9.5860595259312058E-3</v>
      </c>
      <c r="AD509">
        <v>70333.320000000007</v>
      </c>
      <c r="AE509">
        <v>0.21640000000000001</v>
      </c>
      <c r="AF509">
        <v>16067000000</v>
      </c>
      <c r="AG509">
        <v>4788240000</v>
      </c>
      <c r="AH509">
        <v>-94220000</v>
      </c>
      <c r="AI509">
        <v>499810000</v>
      </c>
      <c r="AJ509">
        <v>2712820000</v>
      </c>
      <c r="AK509">
        <v>3.1365367355811995E-10</v>
      </c>
      <c r="AL509">
        <v>0.16884421485031431</v>
      </c>
    </row>
    <row r="510" spans="21:38">
      <c r="U510">
        <v>5.0390964378801043E-2</v>
      </c>
      <c r="V510">
        <v>11.34</v>
      </c>
      <c r="W510">
        <v>11.3</v>
      </c>
      <c r="X510">
        <f t="shared" si="7"/>
        <v>3.5335689045935641E-3</v>
      </c>
      <c r="Y510">
        <v>6214569</v>
      </c>
      <c r="Z510">
        <v>561090000</v>
      </c>
      <c r="AA510">
        <v>70286775.390000001</v>
      </c>
      <c r="AB510">
        <v>561100000</v>
      </c>
      <c r="AC510">
        <v>1.1075688825521297E-2</v>
      </c>
      <c r="AD510">
        <v>70483.66</v>
      </c>
      <c r="AE510">
        <v>0.216</v>
      </c>
      <c r="AF510">
        <v>16067000000</v>
      </c>
      <c r="AG510">
        <v>4788240000</v>
      </c>
      <c r="AH510">
        <v>-94220000</v>
      </c>
      <c r="AI510">
        <v>499810000</v>
      </c>
      <c r="AJ510">
        <v>2712820000</v>
      </c>
      <c r="AK510">
        <v>5.0496637035587757E-11</v>
      </c>
      <c r="AL510">
        <v>0.16884421485031431</v>
      </c>
    </row>
    <row r="511" spans="21:38">
      <c r="U511">
        <v>4.5936395759717273E-2</v>
      </c>
      <c r="V511">
        <v>11.3</v>
      </c>
      <c r="W511">
        <v>11.27</v>
      </c>
      <c r="X511">
        <f t="shared" si="7"/>
        <v>2.6583961010191526E-3</v>
      </c>
      <c r="Y511">
        <v>5926787</v>
      </c>
      <c r="Z511">
        <v>561090000</v>
      </c>
      <c r="AA511">
        <v>66794889.489999995</v>
      </c>
      <c r="AB511">
        <v>561100000</v>
      </c>
      <c r="AC511">
        <v>1.0562799857422919E-2</v>
      </c>
      <c r="AD511">
        <v>70544.58</v>
      </c>
      <c r="AE511">
        <v>0.216</v>
      </c>
      <c r="AF511">
        <v>16067000000</v>
      </c>
      <c r="AG511">
        <v>4788240000</v>
      </c>
      <c r="AH511">
        <v>-94220000</v>
      </c>
      <c r="AI511">
        <v>499810000</v>
      </c>
      <c r="AJ511">
        <v>2712820000</v>
      </c>
      <c r="AK511">
        <v>2.6615475994520433E-11</v>
      </c>
      <c r="AL511">
        <v>0.16884421485031431</v>
      </c>
    </row>
    <row r="512" spans="21:38">
      <c r="U512">
        <v>3.6721898790864162E-2</v>
      </c>
      <c r="V512">
        <v>11.29</v>
      </c>
      <c r="W512">
        <v>11.23</v>
      </c>
      <c r="X512">
        <f t="shared" si="7"/>
        <v>5.3285968028418049E-3</v>
      </c>
      <c r="Y512">
        <v>3892965</v>
      </c>
      <c r="Z512">
        <v>561090000</v>
      </c>
      <c r="AA512">
        <v>43795856.25</v>
      </c>
      <c r="AB512">
        <v>561100000</v>
      </c>
      <c r="AC512">
        <v>6.9380948137586886E-3</v>
      </c>
      <c r="AD512">
        <v>70314.720000000001</v>
      </c>
      <c r="AE512">
        <v>0.216</v>
      </c>
      <c r="AF512">
        <v>16067000000</v>
      </c>
      <c r="AG512">
        <v>4788240000</v>
      </c>
      <c r="AH512">
        <v>-94220000</v>
      </c>
      <c r="AI512">
        <v>499810000</v>
      </c>
      <c r="AJ512">
        <v>2712820000</v>
      </c>
      <c r="AK512">
        <v>5.1893659979013944E-10</v>
      </c>
      <c r="AL512">
        <v>0.16884421485031431</v>
      </c>
    </row>
    <row r="513" spans="21:38">
      <c r="U513">
        <v>2.7198549410697995E-2</v>
      </c>
      <c r="V513">
        <v>11.02</v>
      </c>
      <c r="W513">
        <v>11</v>
      </c>
      <c r="X513">
        <f t="shared" si="7"/>
        <v>1.8165304268846117E-3</v>
      </c>
      <c r="Y513">
        <v>1842027</v>
      </c>
      <c r="Z513">
        <v>561090000</v>
      </c>
      <c r="AA513">
        <v>20262297</v>
      </c>
      <c r="AB513">
        <v>561100000</v>
      </c>
      <c r="AC513">
        <v>3.2828854036713599E-3</v>
      </c>
      <c r="AD513">
        <v>69619.990000000005</v>
      </c>
      <c r="AE513">
        <v>0.216</v>
      </c>
      <c r="AF513">
        <v>16067000000</v>
      </c>
      <c r="AG513">
        <v>4788240000</v>
      </c>
      <c r="AH513">
        <v>-94220000</v>
      </c>
      <c r="AI513">
        <v>499810000</v>
      </c>
      <c r="AJ513">
        <v>2712820000</v>
      </c>
      <c r="AK513">
        <v>2.2331559338154594E-10</v>
      </c>
      <c r="AL513">
        <v>0.16884421485031431</v>
      </c>
    </row>
    <row r="514" spans="21:38">
      <c r="U514">
        <v>2.5316455696202476E-2</v>
      </c>
      <c r="V514">
        <v>11.02</v>
      </c>
      <c r="W514">
        <v>11.01</v>
      </c>
      <c r="X514">
        <f t="shared" si="7"/>
        <v>9.0785292782567285E-4</v>
      </c>
      <c r="Y514">
        <v>1566171</v>
      </c>
      <c r="Z514">
        <v>561090000</v>
      </c>
      <c r="AA514">
        <v>17306189.550000001</v>
      </c>
      <c r="AB514">
        <v>561100000</v>
      </c>
      <c r="AC514">
        <v>2.7912511138834433E-3</v>
      </c>
      <c r="AD514">
        <v>68416.78</v>
      </c>
      <c r="AE514">
        <v>0.216</v>
      </c>
      <c r="AF514">
        <v>16067000000</v>
      </c>
      <c r="AG514">
        <v>4788240000</v>
      </c>
      <c r="AH514">
        <v>-94220000</v>
      </c>
      <c r="AI514">
        <v>499810000</v>
      </c>
      <c r="AJ514">
        <v>2712820000</v>
      </c>
      <c r="AK514">
        <v>1.5730343419253246E-10</v>
      </c>
      <c r="AL514">
        <v>0.16884421485031431</v>
      </c>
    </row>
    <row r="515" spans="21:38">
      <c r="U515">
        <v>3.2727272727272674E-2</v>
      </c>
      <c r="V515">
        <v>11.05</v>
      </c>
      <c r="W515">
        <v>11.03</v>
      </c>
      <c r="X515">
        <f t="shared" si="7"/>
        <v>1.811594202898673E-3</v>
      </c>
      <c r="Y515">
        <v>2262831</v>
      </c>
      <c r="Z515">
        <v>561090000</v>
      </c>
      <c r="AA515">
        <v>24936397.619999997</v>
      </c>
      <c r="AB515">
        <v>561100000</v>
      </c>
      <c r="AC515">
        <v>4.0328479771876667E-3</v>
      </c>
      <c r="AD515">
        <v>67756.039999999994</v>
      </c>
      <c r="AE515">
        <v>0.216</v>
      </c>
      <c r="AF515">
        <v>16067000000</v>
      </c>
      <c r="AG515">
        <v>4788240000</v>
      </c>
      <c r="AH515">
        <v>-94220000</v>
      </c>
      <c r="AI515">
        <v>499810000</v>
      </c>
      <c r="AJ515">
        <v>2712820000</v>
      </c>
      <c r="AK515">
        <v>6.6590075698594391E-10</v>
      </c>
      <c r="AL515">
        <v>0.16884421485031431</v>
      </c>
    </row>
    <row r="516" spans="21:38">
      <c r="U516">
        <v>2.2058823529411787E-2</v>
      </c>
      <c r="V516">
        <v>10.8</v>
      </c>
      <c r="W516">
        <v>10.77</v>
      </c>
      <c r="X516">
        <f t="shared" ref="X516:X579" si="8">(V516-W516)/AVERAGE(V516:W516)</f>
        <v>2.7816411682893959E-3</v>
      </c>
      <c r="Y516">
        <v>1278301</v>
      </c>
      <c r="Z516">
        <v>561090000</v>
      </c>
      <c r="AA516">
        <v>13856782.84</v>
      </c>
      <c r="AB516">
        <v>561100000</v>
      </c>
      <c r="AC516">
        <v>2.2782053109962576E-3</v>
      </c>
      <c r="AD516">
        <v>66886.259999999995</v>
      </c>
      <c r="AE516">
        <v>0.216</v>
      </c>
      <c r="AF516">
        <v>16067000000</v>
      </c>
      <c r="AG516">
        <v>4788240000</v>
      </c>
      <c r="AH516">
        <v>-94220000</v>
      </c>
      <c r="AI516">
        <v>499810000</v>
      </c>
      <c r="AJ516">
        <v>2712820000</v>
      </c>
      <c r="AK516">
        <v>4.6303186411204104E-10</v>
      </c>
      <c r="AL516">
        <v>0.16884421485031431</v>
      </c>
    </row>
    <row r="517" spans="21:38">
      <c r="U517">
        <v>4.232327780279159E-2</v>
      </c>
      <c r="V517">
        <v>10.98</v>
      </c>
      <c r="W517">
        <v>10.9</v>
      </c>
      <c r="X517">
        <f t="shared" si="8"/>
        <v>7.3126142595978123E-3</v>
      </c>
      <c r="Y517">
        <v>2296798</v>
      </c>
      <c r="Z517">
        <v>561090000</v>
      </c>
      <c r="AA517">
        <v>25058066.18</v>
      </c>
      <c r="AB517">
        <v>561100000</v>
      </c>
      <c r="AC517">
        <v>4.0933844234539302E-3</v>
      </c>
      <c r="AD517">
        <v>66796.320000000007</v>
      </c>
      <c r="AE517">
        <v>0.216</v>
      </c>
      <c r="AF517">
        <v>16067000000</v>
      </c>
      <c r="AG517">
        <v>4788240000</v>
      </c>
      <c r="AH517">
        <v>-94220000</v>
      </c>
      <c r="AI517">
        <v>499810000</v>
      </c>
      <c r="AJ517">
        <v>2712820000</v>
      </c>
      <c r="AK517">
        <v>8.5899141308477718E-10</v>
      </c>
      <c r="AL517">
        <v>0.16884421485031431</v>
      </c>
    </row>
    <row r="518" spans="21:38">
      <c r="U518">
        <v>6.5416484954208459E-2</v>
      </c>
      <c r="V518">
        <v>11.28</v>
      </c>
      <c r="W518">
        <v>11.16</v>
      </c>
      <c r="X518">
        <f t="shared" si="8"/>
        <v>1.0695187165775333E-2</v>
      </c>
      <c r="Y518">
        <v>10663229</v>
      </c>
      <c r="Z518">
        <v>561090000</v>
      </c>
      <c r="AA518">
        <v>118895003.35000001</v>
      </c>
      <c r="AB518">
        <v>561100000</v>
      </c>
      <c r="AC518">
        <v>1.9004150775262876E-2</v>
      </c>
      <c r="AD518">
        <v>67005.11</v>
      </c>
      <c r="AE518">
        <v>0.216</v>
      </c>
      <c r="AF518">
        <v>16067000000</v>
      </c>
      <c r="AG518">
        <v>4788240000</v>
      </c>
      <c r="AH518">
        <v>-94220000</v>
      </c>
      <c r="AI518">
        <v>499810000</v>
      </c>
      <c r="AJ518">
        <v>2712820000</v>
      </c>
      <c r="AK518">
        <v>1.9885387428299138E-10</v>
      </c>
      <c r="AL518">
        <v>0.16884421485031431</v>
      </c>
    </row>
    <row r="519" spans="21:38">
      <c r="U519">
        <v>7.811080835603991E-2</v>
      </c>
      <c r="V519">
        <v>11.28</v>
      </c>
      <c r="W519">
        <v>11.44</v>
      </c>
      <c r="X519">
        <f t="shared" si="8"/>
        <v>-1.4084507042253534E-2</v>
      </c>
      <c r="Y519">
        <v>14811673</v>
      </c>
      <c r="Z519">
        <v>561090000</v>
      </c>
      <c r="AA519">
        <v>169149305.66</v>
      </c>
      <c r="AB519">
        <v>561100000</v>
      </c>
      <c r="AC519">
        <v>2.6397563714132953E-2</v>
      </c>
      <c r="AD519">
        <v>67142.12</v>
      </c>
      <c r="AE519">
        <v>0.216</v>
      </c>
      <c r="AF519">
        <v>16067000000</v>
      </c>
      <c r="AG519">
        <v>4788240000</v>
      </c>
      <c r="AH519">
        <v>-94220000</v>
      </c>
      <c r="AI519">
        <v>499810000</v>
      </c>
      <c r="AJ519">
        <v>2712820000</v>
      </c>
      <c r="AK519">
        <v>5.5495191916099247E-10</v>
      </c>
      <c r="AL519">
        <v>0.16884421485031431</v>
      </c>
    </row>
    <row r="520" spans="21:38">
      <c r="U520">
        <v>2.4785510009532871E-2</v>
      </c>
      <c r="V520">
        <v>10.56</v>
      </c>
      <c r="W520">
        <v>10.53</v>
      </c>
      <c r="X520">
        <f t="shared" si="8"/>
        <v>2.8449502133713737E-3</v>
      </c>
      <c r="Y520">
        <v>4069189</v>
      </c>
      <c r="Z520">
        <v>561090000</v>
      </c>
      <c r="AA520">
        <v>42482333.159999996</v>
      </c>
      <c r="AB520">
        <v>561100000</v>
      </c>
      <c r="AC520">
        <v>7.2521636072001424E-3</v>
      </c>
      <c r="AD520">
        <v>66547.789999999994</v>
      </c>
      <c r="AE520">
        <v>0.216</v>
      </c>
      <c r="AF520">
        <v>16067000000</v>
      </c>
      <c r="AG520">
        <v>4788240000</v>
      </c>
      <c r="AH520">
        <v>-94220000</v>
      </c>
      <c r="AI520">
        <v>499810000</v>
      </c>
      <c r="AJ520">
        <v>2712820000</v>
      </c>
      <c r="AK520">
        <v>3.1148275514568787E-10</v>
      </c>
      <c r="AL520">
        <v>0.16884421485031431</v>
      </c>
    </row>
    <row r="521" spans="21:38">
      <c r="U521">
        <v>3.8121803812180395E-2</v>
      </c>
      <c r="V521">
        <v>10.59</v>
      </c>
      <c r="W521">
        <v>10.56</v>
      </c>
      <c r="X521">
        <f t="shared" si="8"/>
        <v>2.8368794326240534E-3</v>
      </c>
      <c r="Y521">
        <v>6308485</v>
      </c>
      <c r="Z521">
        <v>561090000</v>
      </c>
      <c r="AA521">
        <v>66743771.299999997</v>
      </c>
      <c r="AB521">
        <v>561100000</v>
      </c>
      <c r="AC521">
        <v>1.1243067189449295E-2</v>
      </c>
      <c r="AD521">
        <v>65906.28</v>
      </c>
      <c r="AE521">
        <v>0.216</v>
      </c>
      <c r="AF521">
        <v>16067000000</v>
      </c>
      <c r="AG521">
        <v>4788240000</v>
      </c>
      <c r="AH521">
        <v>-94220000</v>
      </c>
      <c r="AI521">
        <v>499810000</v>
      </c>
      <c r="AJ521">
        <v>2712820000</v>
      </c>
      <c r="AK521">
        <v>3.9972168672893399E-10</v>
      </c>
      <c r="AL521">
        <v>0.16884421485031431</v>
      </c>
    </row>
    <row r="522" spans="21:38">
      <c r="U522">
        <v>2.4623803009575885E-2</v>
      </c>
      <c r="V522">
        <v>10.9</v>
      </c>
      <c r="W522">
        <v>10.86</v>
      </c>
      <c r="X522">
        <f t="shared" si="8"/>
        <v>3.6764705882353795E-3</v>
      </c>
      <c r="Y522">
        <v>1398787</v>
      </c>
      <c r="Z522">
        <v>561090000</v>
      </c>
      <c r="AA522">
        <v>15204814.689999999</v>
      </c>
      <c r="AB522">
        <v>561100000</v>
      </c>
      <c r="AC522">
        <v>2.4929370878631258E-3</v>
      </c>
      <c r="AD522">
        <v>65525.65</v>
      </c>
      <c r="AE522">
        <v>0.216</v>
      </c>
      <c r="AF522">
        <v>16067000000</v>
      </c>
      <c r="AG522">
        <v>4788240000</v>
      </c>
      <c r="AH522">
        <v>-94220000</v>
      </c>
      <c r="AI522">
        <v>499810000</v>
      </c>
      <c r="AJ522">
        <v>2712820000</v>
      </c>
      <c r="AK522">
        <v>0</v>
      </c>
      <c r="AL522">
        <v>0.16884421485031431</v>
      </c>
    </row>
    <row r="523" spans="21:38">
      <c r="U523">
        <v>1.8176120338451951E-2</v>
      </c>
      <c r="V523">
        <v>16.02</v>
      </c>
      <c r="W523">
        <v>16</v>
      </c>
      <c r="X523">
        <f t="shared" si="8"/>
        <v>1.2492192379762383E-3</v>
      </c>
      <c r="Y523">
        <v>508500</v>
      </c>
      <c r="Z523">
        <v>2223000000</v>
      </c>
      <c r="AA523">
        <v>8130915</v>
      </c>
      <c r="AB523">
        <v>2223000000</v>
      </c>
      <c r="AC523">
        <v>2.2874493927125506E-4</v>
      </c>
      <c r="AD523">
        <v>75983.039999999994</v>
      </c>
      <c r="AE523">
        <v>0.2157</v>
      </c>
      <c r="AF523">
        <v>73305600000</v>
      </c>
      <c r="AG523">
        <v>859150000</v>
      </c>
      <c r="AH523">
        <v>1024300000</v>
      </c>
      <c r="AI523">
        <v>1881630000</v>
      </c>
      <c r="AJ523">
        <v>0</v>
      </c>
      <c r="AK523">
        <v>1.5363821144069875E-10</v>
      </c>
      <c r="AL523">
        <v>0</v>
      </c>
    </row>
    <row r="524" spans="21:38">
      <c r="U524">
        <v>3.0349953545989485E-2</v>
      </c>
      <c r="V524">
        <v>16</v>
      </c>
      <c r="W524">
        <v>15.96</v>
      </c>
      <c r="X524">
        <f t="shared" si="8"/>
        <v>2.5031289111388704E-3</v>
      </c>
      <c r="Y524">
        <v>257500</v>
      </c>
      <c r="Z524">
        <v>2223000000</v>
      </c>
      <c r="AA524">
        <v>4122575.0000000005</v>
      </c>
      <c r="AB524">
        <v>2223000000</v>
      </c>
      <c r="AC524">
        <v>1.158344579397211E-4</v>
      </c>
      <c r="AD524">
        <v>75114.47</v>
      </c>
      <c r="AE524">
        <v>0.2157</v>
      </c>
      <c r="AF524">
        <v>73305600000</v>
      </c>
      <c r="AG524">
        <v>859150000</v>
      </c>
      <c r="AH524">
        <v>1024300000</v>
      </c>
      <c r="AI524">
        <v>1881630000</v>
      </c>
      <c r="AJ524">
        <v>0</v>
      </c>
      <c r="AK524">
        <v>4.7533000333224417E-9</v>
      </c>
      <c r="AL524">
        <v>0</v>
      </c>
    </row>
    <row r="525" spans="21:38">
      <c r="U525">
        <v>1.5220700152207001E-2</v>
      </c>
      <c r="V525">
        <v>16.38</v>
      </c>
      <c r="W525">
        <v>16.3</v>
      </c>
      <c r="X525">
        <f t="shared" si="8"/>
        <v>4.895960832313237E-3</v>
      </c>
      <c r="Y525">
        <v>540000</v>
      </c>
      <c r="Z525">
        <v>2223000000</v>
      </c>
      <c r="AA525">
        <v>8818200</v>
      </c>
      <c r="AB525">
        <v>2223000000</v>
      </c>
      <c r="AC525">
        <v>2.4291497975708503E-4</v>
      </c>
      <c r="AD525">
        <v>74956.67</v>
      </c>
      <c r="AE525">
        <v>0.2157</v>
      </c>
      <c r="AF525">
        <v>73305600000</v>
      </c>
      <c r="AG525">
        <v>859150000</v>
      </c>
      <c r="AH525">
        <v>1024300000</v>
      </c>
      <c r="AI525">
        <v>1881630000</v>
      </c>
      <c r="AJ525">
        <v>0</v>
      </c>
      <c r="AK525">
        <v>1.1683824706890755E-9</v>
      </c>
      <c r="AL525">
        <v>0</v>
      </c>
    </row>
    <row r="526" spans="21:38">
      <c r="U526">
        <v>4.2813455657492311E-2</v>
      </c>
      <c r="V526">
        <v>16.55</v>
      </c>
      <c r="W526">
        <v>16.5</v>
      </c>
      <c r="X526">
        <f t="shared" si="8"/>
        <v>3.0257186081694837E-3</v>
      </c>
      <c r="Y526">
        <v>725500</v>
      </c>
      <c r="Z526">
        <v>2223000000</v>
      </c>
      <c r="AA526">
        <v>11970750</v>
      </c>
      <c r="AB526">
        <v>2223000000</v>
      </c>
      <c r="AC526">
        <v>3.2636077372919479E-4</v>
      </c>
      <c r="AD526">
        <v>75206.77</v>
      </c>
      <c r="AE526">
        <v>0.2157</v>
      </c>
      <c r="AF526">
        <v>73305600000</v>
      </c>
      <c r="AG526">
        <v>859150000</v>
      </c>
      <c r="AH526">
        <v>1024300000</v>
      </c>
      <c r="AI526">
        <v>1881630000</v>
      </c>
      <c r="AJ526">
        <v>0</v>
      </c>
      <c r="AK526">
        <v>2.0754522896973304E-9</v>
      </c>
      <c r="AL526">
        <v>0</v>
      </c>
    </row>
    <row r="527" spans="21:38">
      <c r="U527">
        <v>1.2500000000000067E-2</v>
      </c>
      <c r="V527">
        <v>16.100000000000001</v>
      </c>
      <c r="W527">
        <v>16.04</v>
      </c>
      <c r="X527">
        <f t="shared" si="8"/>
        <v>3.7336652146858912E-3</v>
      </c>
      <c r="Y527">
        <v>371000</v>
      </c>
      <c r="Z527">
        <v>2223000000</v>
      </c>
      <c r="AA527">
        <v>5973100.0000000009</v>
      </c>
      <c r="AB527">
        <v>2223000000</v>
      </c>
      <c r="AC527">
        <v>1.6689158794421953E-4</v>
      </c>
      <c r="AD527">
        <v>75084</v>
      </c>
      <c r="AE527">
        <v>0.2157</v>
      </c>
      <c r="AF527">
        <v>73305600000</v>
      </c>
      <c r="AG527">
        <v>859150000</v>
      </c>
      <c r="AH527">
        <v>1024300000</v>
      </c>
      <c r="AI527">
        <v>1881630000</v>
      </c>
      <c r="AJ527">
        <v>0</v>
      </c>
      <c r="AK527">
        <v>1.3628204773253639E-9</v>
      </c>
      <c r="AL527">
        <v>0</v>
      </c>
    </row>
    <row r="528" spans="21:38">
      <c r="U528">
        <v>1.3845185651353092E-2</v>
      </c>
      <c r="V528">
        <v>16</v>
      </c>
      <c r="W528">
        <v>15.91</v>
      </c>
      <c r="X528">
        <f t="shared" si="8"/>
        <v>5.6408649326229934E-3</v>
      </c>
      <c r="Y528">
        <v>118500</v>
      </c>
      <c r="Z528">
        <v>2223000000</v>
      </c>
      <c r="AA528">
        <v>1892445</v>
      </c>
      <c r="AB528">
        <v>2223000000</v>
      </c>
      <c r="AC528">
        <v>5.3306342780026993E-5</v>
      </c>
      <c r="AD528">
        <v>75342.350000000006</v>
      </c>
      <c r="AE528">
        <v>0.2157</v>
      </c>
      <c r="AF528">
        <v>73305600000</v>
      </c>
      <c r="AG528">
        <v>859150000</v>
      </c>
      <c r="AH528">
        <v>1024300000</v>
      </c>
      <c r="AI528">
        <v>1881630000</v>
      </c>
      <c r="AJ528">
        <v>0</v>
      </c>
      <c r="AK528">
        <v>2.3263638960553455E-9</v>
      </c>
      <c r="AL528">
        <v>0</v>
      </c>
    </row>
    <row r="529" spans="21:38">
      <c r="U529">
        <v>2.5316455696202552E-2</v>
      </c>
      <c r="V529">
        <v>15.98</v>
      </c>
      <c r="W529">
        <v>15.81</v>
      </c>
      <c r="X529">
        <f t="shared" si="8"/>
        <v>1.0695187165775397E-2</v>
      </c>
      <c r="Y529">
        <v>296500</v>
      </c>
      <c r="Z529">
        <v>2223000000</v>
      </c>
      <c r="AA529">
        <v>4714350</v>
      </c>
      <c r="AB529">
        <v>2223000000</v>
      </c>
      <c r="AC529">
        <v>1.3337831758884389E-4</v>
      </c>
      <c r="AD529">
        <v>74930.7</v>
      </c>
      <c r="AE529">
        <v>0.2157</v>
      </c>
      <c r="AF529">
        <v>73305600000</v>
      </c>
      <c r="AG529">
        <v>859150000</v>
      </c>
      <c r="AH529">
        <v>1024300000</v>
      </c>
      <c r="AI529">
        <v>1881630000</v>
      </c>
      <c r="AJ529">
        <v>0</v>
      </c>
      <c r="AK529">
        <v>2.6648030100335125E-10</v>
      </c>
      <c r="AL529">
        <v>0</v>
      </c>
    </row>
    <row r="530" spans="21:38">
      <c r="U530">
        <v>1.2578616352201213E-2</v>
      </c>
      <c r="V530">
        <v>15.9</v>
      </c>
      <c r="W530">
        <v>15.88</v>
      </c>
      <c r="X530">
        <f t="shared" si="8"/>
        <v>1.2586532410320689E-3</v>
      </c>
      <c r="Y530">
        <v>219000</v>
      </c>
      <c r="Z530">
        <v>2223000000</v>
      </c>
      <c r="AA530">
        <v>3486480</v>
      </c>
      <c r="AB530">
        <v>2223000000</v>
      </c>
      <c r="AC530">
        <v>9.8515519568151145E-5</v>
      </c>
      <c r="AD530">
        <v>74663.98</v>
      </c>
      <c r="AE530">
        <v>0.2157</v>
      </c>
      <c r="AF530">
        <v>73305600000</v>
      </c>
      <c r="AG530">
        <v>859150000</v>
      </c>
      <c r="AH530">
        <v>1024300000</v>
      </c>
      <c r="AI530">
        <v>1881630000</v>
      </c>
      <c r="AJ530">
        <v>0</v>
      </c>
      <c r="AK530">
        <v>1.6307012959204916E-9</v>
      </c>
      <c r="AL530">
        <v>0</v>
      </c>
    </row>
    <row r="531" spans="21:38">
      <c r="U531">
        <v>7.8431372549019676E-2</v>
      </c>
      <c r="V531">
        <v>15.8</v>
      </c>
      <c r="W531">
        <v>15.7</v>
      </c>
      <c r="X531">
        <f t="shared" si="8"/>
        <v>6.3492063492064394E-3</v>
      </c>
      <c r="Y531">
        <v>639500</v>
      </c>
      <c r="Z531">
        <v>2223000000</v>
      </c>
      <c r="AA531">
        <v>10123285</v>
      </c>
      <c r="AB531">
        <v>2223000000</v>
      </c>
      <c r="AC531">
        <v>2.8767431399010347E-4</v>
      </c>
      <c r="AD531">
        <v>74531.19</v>
      </c>
      <c r="AE531">
        <v>0.21590000000000001</v>
      </c>
      <c r="AF531">
        <v>73305600000</v>
      </c>
      <c r="AG531">
        <v>859150000</v>
      </c>
      <c r="AH531">
        <v>1024300000</v>
      </c>
      <c r="AI531">
        <v>1881630000</v>
      </c>
      <c r="AJ531">
        <v>0</v>
      </c>
      <c r="AK531">
        <v>5.6482813012080347E-10</v>
      </c>
      <c r="AL531">
        <v>0</v>
      </c>
    </row>
    <row r="532" spans="21:38">
      <c r="U532">
        <v>7.0756247971437841E-2</v>
      </c>
      <c r="V532">
        <v>15.75</v>
      </c>
      <c r="W532">
        <v>15.68</v>
      </c>
      <c r="X532">
        <f t="shared" si="8"/>
        <v>4.4543429844098176E-3</v>
      </c>
      <c r="Y532">
        <v>667000</v>
      </c>
      <c r="Z532">
        <v>2223000000</v>
      </c>
      <c r="AA532">
        <v>10498580</v>
      </c>
      <c r="AB532">
        <v>2223000000</v>
      </c>
      <c r="AC532">
        <v>3.0004498425551055E-4</v>
      </c>
      <c r="AD532">
        <v>73799.11</v>
      </c>
      <c r="AE532">
        <v>0.21590000000000001</v>
      </c>
      <c r="AF532">
        <v>73305600000</v>
      </c>
      <c r="AG532">
        <v>859150000</v>
      </c>
      <c r="AH532">
        <v>1024300000</v>
      </c>
      <c r="AI532">
        <v>1881630000</v>
      </c>
      <c r="AJ532">
        <v>0</v>
      </c>
      <c r="AK532">
        <v>4.3008409178726149E-9</v>
      </c>
      <c r="AL532">
        <v>0</v>
      </c>
    </row>
    <row r="533" spans="21:38">
      <c r="U533">
        <v>2.4128686327077709E-2</v>
      </c>
      <c r="V533">
        <v>15.1</v>
      </c>
      <c r="W533">
        <v>15.05</v>
      </c>
      <c r="X533">
        <f t="shared" si="8"/>
        <v>3.3167495854062312E-3</v>
      </c>
      <c r="Y533">
        <v>730000</v>
      </c>
      <c r="Z533">
        <v>2223000000</v>
      </c>
      <c r="AA533">
        <v>10993800</v>
      </c>
      <c r="AB533">
        <v>2223000000</v>
      </c>
      <c r="AC533">
        <v>3.283850652271705E-4</v>
      </c>
      <c r="AD533">
        <v>73085.5</v>
      </c>
      <c r="AE533">
        <v>0.21590000000000001</v>
      </c>
      <c r="AF533">
        <v>73305600000</v>
      </c>
      <c r="AG533">
        <v>859150000</v>
      </c>
      <c r="AH533">
        <v>1024300000</v>
      </c>
      <c r="AI533">
        <v>1881630000</v>
      </c>
      <c r="AJ533">
        <v>0</v>
      </c>
      <c r="AK533">
        <v>1.9747160808757823E-9</v>
      </c>
      <c r="AL533">
        <v>0</v>
      </c>
    </row>
    <row r="534" spans="21:38">
      <c r="U534">
        <v>2.1167634004779824E-2</v>
      </c>
      <c r="V534">
        <v>14.8</v>
      </c>
      <c r="W534">
        <v>14.75</v>
      </c>
      <c r="X534">
        <f t="shared" si="8"/>
        <v>3.3840947546531783E-3</v>
      </c>
      <c r="Y534">
        <v>331000</v>
      </c>
      <c r="Z534">
        <v>2223000000</v>
      </c>
      <c r="AA534">
        <v>4878940</v>
      </c>
      <c r="AB534">
        <v>2223000000</v>
      </c>
      <c r="AC534">
        <v>1.48897885739991E-4</v>
      </c>
      <c r="AD534">
        <v>72658.05</v>
      </c>
      <c r="AE534">
        <v>0.21590000000000001</v>
      </c>
      <c r="AF534">
        <v>73305600000</v>
      </c>
      <c r="AG534">
        <v>859150000</v>
      </c>
      <c r="AH534">
        <v>1024300000</v>
      </c>
      <c r="AI534">
        <v>1881630000</v>
      </c>
      <c r="AJ534">
        <v>0</v>
      </c>
      <c r="AK534">
        <v>1.9653943471103253E-9</v>
      </c>
      <c r="AL534">
        <v>0</v>
      </c>
    </row>
    <row r="535" spans="21:38">
      <c r="U535">
        <v>8.9255063508411094E-3</v>
      </c>
      <c r="V535">
        <v>14.63</v>
      </c>
      <c r="W535">
        <v>14.6</v>
      </c>
      <c r="X535">
        <f t="shared" si="8"/>
        <v>2.052685596989472E-3</v>
      </c>
      <c r="Y535">
        <v>98000</v>
      </c>
      <c r="Z535">
        <v>2223000000</v>
      </c>
      <c r="AA535">
        <v>1430800</v>
      </c>
      <c r="AB535">
        <v>2223000000</v>
      </c>
      <c r="AC535">
        <v>4.4084570400359873E-5</v>
      </c>
      <c r="AD535">
        <v>72601.820000000007</v>
      </c>
      <c r="AE535">
        <v>0.21590000000000001</v>
      </c>
      <c r="AF535">
        <v>73305600000</v>
      </c>
      <c r="AG535">
        <v>859150000</v>
      </c>
      <c r="AH535">
        <v>1024300000</v>
      </c>
      <c r="AI535">
        <v>1881630000</v>
      </c>
      <c r="AJ535">
        <v>0</v>
      </c>
      <c r="AK535">
        <v>4.8200669025285903E-9</v>
      </c>
      <c r="AL535">
        <v>0</v>
      </c>
    </row>
    <row r="536" spans="21:38">
      <c r="U536">
        <v>1.6563146997929622E-2</v>
      </c>
      <c r="V536">
        <v>14.61</v>
      </c>
      <c r="W536">
        <v>14.6</v>
      </c>
      <c r="X536">
        <f t="shared" si="8"/>
        <v>6.8469702156794161E-4</v>
      </c>
      <c r="Y536">
        <v>498500</v>
      </c>
      <c r="Z536">
        <v>2223000000</v>
      </c>
      <c r="AA536">
        <v>7228250</v>
      </c>
      <c r="AB536">
        <v>2223000000</v>
      </c>
      <c r="AC536">
        <v>2.2424651372019794E-4</v>
      </c>
      <c r="AD536">
        <v>72761.2</v>
      </c>
      <c r="AE536">
        <v>0.21590000000000001</v>
      </c>
      <c r="AF536">
        <v>73305600000</v>
      </c>
      <c r="AG536">
        <v>859150000</v>
      </c>
      <c r="AH536">
        <v>1024300000</v>
      </c>
      <c r="AI536">
        <v>1881630000</v>
      </c>
      <c r="AJ536">
        <v>0</v>
      </c>
      <c r="AK536">
        <v>2.868266883915513E-10</v>
      </c>
      <c r="AL536">
        <v>0</v>
      </c>
    </row>
    <row r="537" spans="21:38">
      <c r="U537">
        <v>2.6224982746721807E-2</v>
      </c>
      <c r="V537">
        <v>14.48</v>
      </c>
      <c r="W537">
        <v>14.45</v>
      </c>
      <c r="X537">
        <f t="shared" si="8"/>
        <v>2.0739716557207836E-3</v>
      </c>
      <c r="Y537">
        <v>420500</v>
      </c>
      <c r="Z537">
        <v>2223000000</v>
      </c>
      <c r="AA537">
        <v>6084635</v>
      </c>
      <c r="AB537">
        <v>2223000000</v>
      </c>
      <c r="AC537">
        <v>1.8915879442195233E-4</v>
      </c>
      <c r="AD537">
        <v>72764.240000000005</v>
      </c>
      <c r="AE537">
        <v>0.21590000000000001</v>
      </c>
      <c r="AF537">
        <v>73305600000</v>
      </c>
      <c r="AG537">
        <v>859150000</v>
      </c>
      <c r="AH537">
        <v>1024300000</v>
      </c>
      <c r="AI537">
        <v>1881630000</v>
      </c>
      <c r="AJ537">
        <v>0</v>
      </c>
      <c r="AK537">
        <v>1.2589361779168849E-9</v>
      </c>
      <c r="AL537">
        <v>0</v>
      </c>
    </row>
    <row r="538" spans="21:38">
      <c r="U538">
        <v>1.5288394718554596E-2</v>
      </c>
      <c r="V538">
        <v>14.38</v>
      </c>
      <c r="W538">
        <v>14.35</v>
      </c>
      <c r="X538">
        <f t="shared" si="8"/>
        <v>2.0884093282284117E-3</v>
      </c>
      <c r="Y538">
        <v>379000</v>
      </c>
      <c r="Z538">
        <v>2223000000</v>
      </c>
      <c r="AA538">
        <v>5442440</v>
      </c>
      <c r="AB538">
        <v>2223000000</v>
      </c>
      <c r="AC538">
        <v>1.7049032838506524E-4</v>
      </c>
      <c r="AD538">
        <v>71902.09</v>
      </c>
      <c r="AE538">
        <v>0.21590000000000001</v>
      </c>
      <c r="AF538">
        <v>73305600000</v>
      </c>
      <c r="AG538">
        <v>859150000</v>
      </c>
      <c r="AH538">
        <v>1024300000</v>
      </c>
      <c r="AI538">
        <v>1881630000</v>
      </c>
      <c r="AJ538">
        <v>0</v>
      </c>
      <c r="AK538">
        <v>7.7094174594558805E-10</v>
      </c>
      <c r="AL538">
        <v>0</v>
      </c>
    </row>
    <row r="539" spans="21:38">
      <c r="U539">
        <v>1.3976240391334681E-2</v>
      </c>
      <c r="V539">
        <v>14.33</v>
      </c>
      <c r="W539">
        <v>14.3</v>
      </c>
      <c r="X539">
        <f t="shared" si="8"/>
        <v>2.0957038071952048E-3</v>
      </c>
      <c r="Y539">
        <v>300500</v>
      </c>
      <c r="Z539">
        <v>2223000000</v>
      </c>
      <c r="AA539">
        <v>4297150</v>
      </c>
      <c r="AB539">
        <v>2223000000</v>
      </c>
      <c r="AC539">
        <v>1.3517768780926676E-4</v>
      </c>
      <c r="AD539">
        <v>70657.64</v>
      </c>
      <c r="AE539">
        <v>0.21590000000000001</v>
      </c>
      <c r="AF539">
        <v>73305600000</v>
      </c>
      <c r="AG539">
        <v>859150000</v>
      </c>
      <c r="AH539">
        <v>1024300000</v>
      </c>
      <c r="AI539">
        <v>1881630000</v>
      </c>
      <c r="AJ539">
        <v>0</v>
      </c>
      <c r="AK539">
        <v>1.6284981045139571E-10</v>
      </c>
      <c r="AL539">
        <v>0</v>
      </c>
    </row>
    <row r="540" spans="21:38">
      <c r="U540">
        <v>2.0905923344947785E-2</v>
      </c>
      <c r="V540">
        <v>14.32</v>
      </c>
      <c r="W540">
        <v>14.28</v>
      </c>
      <c r="X540">
        <f t="shared" si="8"/>
        <v>2.7972027972028618E-3</v>
      </c>
      <c r="Y540">
        <v>955000</v>
      </c>
      <c r="Z540">
        <v>2223000000</v>
      </c>
      <c r="AA540">
        <v>13646950</v>
      </c>
      <c r="AB540">
        <v>2223000000</v>
      </c>
      <c r="AC540">
        <v>4.295996401259559E-4</v>
      </c>
      <c r="AD540">
        <v>71102.55</v>
      </c>
      <c r="AE540">
        <v>0.21590000000000001</v>
      </c>
      <c r="AF540">
        <v>73305600000</v>
      </c>
      <c r="AG540">
        <v>859150000</v>
      </c>
      <c r="AH540">
        <v>1024300000</v>
      </c>
      <c r="AI540">
        <v>1881630000</v>
      </c>
      <c r="AJ540">
        <v>0</v>
      </c>
      <c r="AK540">
        <v>1.0114071274735193E-9</v>
      </c>
      <c r="AL540">
        <v>0</v>
      </c>
    </row>
    <row r="541" spans="21:38">
      <c r="U541">
        <v>1.3879250520471845E-2</v>
      </c>
      <c r="V541">
        <v>14.51</v>
      </c>
      <c r="W541">
        <v>14.5</v>
      </c>
      <c r="X541">
        <f t="shared" si="8"/>
        <v>6.8941744226127459E-4</v>
      </c>
      <c r="Y541">
        <v>176500</v>
      </c>
      <c r="Z541">
        <v>2223000000</v>
      </c>
      <c r="AA541">
        <v>2557485</v>
      </c>
      <c r="AB541">
        <v>2223000000</v>
      </c>
      <c r="AC541">
        <v>7.939721097615835E-5</v>
      </c>
      <c r="AD541">
        <v>71695.03</v>
      </c>
      <c r="AE541">
        <v>0.21640000000000001</v>
      </c>
      <c r="AF541">
        <v>73305600000</v>
      </c>
      <c r="AG541">
        <v>859150000</v>
      </c>
      <c r="AH541">
        <v>1024300000</v>
      </c>
      <c r="AI541">
        <v>1881630000</v>
      </c>
      <c r="AJ541">
        <v>0</v>
      </c>
      <c r="AK541">
        <v>1.8981026015944782E-9</v>
      </c>
      <c r="AL541">
        <v>0</v>
      </c>
    </row>
    <row r="542" spans="21:38">
      <c r="U542">
        <v>1.7415534656913968E-2</v>
      </c>
      <c r="V542">
        <v>14.45</v>
      </c>
      <c r="W542">
        <v>14.38</v>
      </c>
      <c r="X542">
        <f t="shared" si="8"/>
        <v>4.8560527228580308E-3</v>
      </c>
      <c r="Y542">
        <v>90500</v>
      </c>
      <c r="Z542">
        <v>2223000000</v>
      </c>
      <c r="AA542">
        <v>1305010</v>
      </c>
      <c r="AB542">
        <v>2223000000</v>
      </c>
      <c r="AC542">
        <v>4.0710751237067028E-5</v>
      </c>
      <c r="AD542">
        <v>72742.75</v>
      </c>
      <c r="AE542">
        <v>0.21640000000000001</v>
      </c>
      <c r="AF542">
        <v>73305600000</v>
      </c>
      <c r="AG542">
        <v>859150000</v>
      </c>
      <c r="AH542">
        <v>1024300000</v>
      </c>
      <c r="AI542">
        <v>1881630000</v>
      </c>
      <c r="AJ542">
        <v>0</v>
      </c>
      <c r="AK542">
        <v>1.1324300291302475E-8</v>
      </c>
      <c r="AL542">
        <v>0</v>
      </c>
    </row>
    <row r="543" spans="21:38">
      <c r="U543">
        <v>2.0905923344947785E-2</v>
      </c>
      <c r="V543">
        <v>14.3</v>
      </c>
      <c r="W543">
        <v>14.21</v>
      </c>
      <c r="X543">
        <f t="shared" si="8"/>
        <v>6.3135741844966573E-3</v>
      </c>
      <c r="Y543">
        <v>684000</v>
      </c>
      <c r="Z543">
        <v>2223000000</v>
      </c>
      <c r="AA543">
        <v>9719640</v>
      </c>
      <c r="AB543">
        <v>2223000000</v>
      </c>
      <c r="AC543">
        <v>3.076923076923077E-4</v>
      </c>
      <c r="AD543">
        <v>71971.399999999994</v>
      </c>
      <c r="AE543">
        <v>0.21640000000000001</v>
      </c>
      <c r="AF543">
        <v>73305600000</v>
      </c>
      <c r="AG543">
        <v>859150000</v>
      </c>
      <c r="AH543">
        <v>1024300000</v>
      </c>
      <c r="AI543">
        <v>1881630000</v>
      </c>
      <c r="AJ543">
        <v>0</v>
      </c>
      <c r="AK543">
        <v>2.4731843502909071E-9</v>
      </c>
      <c r="AL543">
        <v>0</v>
      </c>
    </row>
    <row r="544" spans="21:38">
      <c r="U544">
        <v>9.6352374397796828E-3</v>
      </c>
      <c r="V544">
        <v>14.6</v>
      </c>
      <c r="W544">
        <v>14.52</v>
      </c>
      <c r="X544">
        <f t="shared" si="8"/>
        <v>5.4945054945055001E-3</v>
      </c>
      <c r="Y544">
        <v>115500</v>
      </c>
      <c r="Z544">
        <v>2223000000</v>
      </c>
      <c r="AA544">
        <v>1681680</v>
      </c>
      <c r="AB544">
        <v>2223000000</v>
      </c>
      <c r="AC544">
        <v>5.1956815114709848E-5</v>
      </c>
      <c r="AD544">
        <v>72051.89</v>
      </c>
      <c r="AE544">
        <v>0.21640000000000001</v>
      </c>
      <c r="AF544">
        <v>73305600000</v>
      </c>
      <c r="AG544">
        <v>859150000</v>
      </c>
      <c r="AH544">
        <v>1024300000</v>
      </c>
      <c r="AI544">
        <v>1881630000</v>
      </c>
      <c r="AJ544">
        <v>0</v>
      </c>
      <c r="AK544">
        <v>2.4605935935985398E-9</v>
      </c>
      <c r="AL544">
        <v>0</v>
      </c>
    </row>
    <row r="545" spans="21:38">
      <c r="U545">
        <v>1.7857142857142846E-2</v>
      </c>
      <c r="V545">
        <v>14.51</v>
      </c>
      <c r="W545">
        <v>14.49</v>
      </c>
      <c r="X545">
        <f t="shared" si="8"/>
        <v>1.3793103448275568E-3</v>
      </c>
      <c r="Y545">
        <v>204500</v>
      </c>
      <c r="Z545">
        <v>2223000000</v>
      </c>
      <c r="AA545">
        <v>2965250</v>
      </c>
      <c r="AB545">
        <v>2223000000</v>
      </c>
      <c r="AC545">
        <v>9.1992802519118308E-5</v>
      </c>
      <c r="AD545">
        <v>71359.41</v>
      </c>
      <c r="AE545">
        <v>0.21640000000000001</v>
      </c>
      <c r="AF545">
        <v>73305600000</v>
      </c>
      <c r="AG545">
        <v>859150000</v>
      </c>
      <c r="AH545">
        <v>1024300000</v>
      </c>
      <c r="AI545">
        <v>1881630000</v>
      </c>
      <c r="AJ545">
        <v>0</v>
      </c>
      <c r="AK545">
        <v>1.4012729630687621E-9</v>
      </c>
      <c r="AL545">
        <v>0</v>
      </c>
    </row>
    <row r="546" spans="21:38">
      <c r="U546">
        <v>1.7271157167530225E-2</v>
      </c>
      <c r="V546">
        <v>14.55</v>
      </c>
      <c r="W546">
        <v>14.46</v>
      </c>
      <c r="X546">
        <f t="shared" si="8"/>
        <v>6.2047569803515929E-3</v>
      </c>
      <c r="Y546">
        <v>414000</v>
      </c>
      <c r="Z546">
        <v>2223000000</v>
      </c>
      <c r="AA546">
        <v>5978160</v>
      </c>
      <c r="AB546">
        <v>2223000000</v>
      </c>
      <c r="AC546">
        <v>1.8623481781376519E-4</v>
      </c>
      <c r="AD546">
        <v>71433.460000000006</v>
      </c>
      <c r="AE546">
        <v>0.21640000000000001</v>
      </c>
      <c r="AF546">
        <v>73305600000</v>
      </c>
      <c r="AG546">
        <v>859150000</v>
      </c>
      <c r="AH546">
        <v>1024300000</v>
      </c>
      <c r="AI546">
        <v>1881630000</v>
      </c>
      <c r="AJ546">
        <v>0</v>
      </c>
      <c r="AK546">
        <v>1.0361183393028931E-9</v>
      </c>
      <c r="AL546">
        <v>0</v>
      </c>
    </row>
    <row r="547" spans="21:38">
      <c r="U547">
        <v>1.1752506049083991E-2</v>
      </c>
      <c r="V547">
        <v>14.55</v>
      </c>
      <c r="W547">
        <v>14.5</v>
      </c>
      <c r="X547">
        <f t="shared" si="8"/>
        <v>3.4423407917384308E-3</v>
      </c>
      <c r="Y547">
        <v>150000</v>
      </c>
      <c r="Z547">
        <v>2223000000</v>
      </c>
      <c r="AA547">
        <v>2179500</v>
      </c>
      <c r="AB547">
        <v>2223000000</v>
      </c>
      <c r="AC547">
        <v>6.7476383265856947E-5</v>
      </c>
      <c r="AD547">
        <v>70909.899999999994</v>
      </c>
      <c r="AE547">
        <v>0.21640000000000001</v>
      </c>
      <c r="AF547">
        <v>73305600000</v>
      </c>
      <c r="AG547">
        <v>859150000</v>
      </c>
      <c r="AH547">
        <v>1024300000</v>
      </c>
      <c r="AI547">
        <v>1881630000</v>
      </c>
      <c r="AJ547">
        <v>0</v>
      </c>
      <c r="AK547">
        <v>1.2665861434525696E-9</v>
      </c>
      <c r="AL547">
        <v>0</v>
      </c>
    </row>
    <row r="548" spans="21:38">
      <c r="U548">
        <v>1.3840830449827065E-2</v>
      </c>
      <c r="V548">
        <v>14.49</v>
      </c>
      <c r="W548">
        <v>14.42</v>
      </c>
      <c r="X548">
        <f t="shared" si="8"/>
        <v>4.8426150121065568E-3</v>
      </c>
      <c r="Y548">
        <v>105500</v>
      </c>
      <c r="Z548">
        <v>2223000000</v>
      </c>
      <c r="AA548">
        <v>1528695</v>
      </c>
      <c r="AB548">
        <v>2223000000</v>
      </c>
      <c r="AC548">
        <v>4.7458389563652724E-5</v>
      </c>
      <c r="AD548">
        <v>70290.12</v>
      </c>
      <c r="AE548">
        <v>0.21640000000000001</v>
      </c>
      <c r="AF548">
        <v>73305600000</v>
      </c>
      <c r="AG548">
        <v>859150000</v>
      </c>
      <c r="AH548">
        <v>1024300000</v>
      </c>
      <c r="AI548">
        <v>1881630000</v>
      </c>
      <c r="AJ548">
        <v>0</v>
      </c>
      <c r="AK548">
        <v>1.8108033911051336E-9</v>
      </c>
      <c r="AL548">
        <v>0</v>
      </c>
    </row>
    <row r="549" spans="21:38">
      <c r="U549">
        <v>2.5139664804469233E-2</v>
      </c>
      <c r="V549">
        <v>14.48</v>
      </c>
      <c r="W549">
        <v>14.4</v>
      </c>
      <c r="X549">
        <f t="shared" si="8"/>
        <v>5.5401662049861539E-3</v>
      </c>
      <c r="Y549">
        <v>263500</v>
      </c>
      <c r="Z549">
        <v>2223000000</v>
      </c>
      <c r="AA549">
        <v>3807575</v>
      </c>
      <c r="AB549">
        <v>2223000000</v>
      </c>
      <c r="AC549">
        <v>1.1853351327035537E-4</v>
      </c>
      <c r="AD549">
        <v>70333.320000000007</v>
      </c>
      <c r="AE549">
        <v>0.21640000000000001</v>
      </c>
      <c r="AF549">
        <v>73305600000</v>
      </c>
      <c r="AG549">
        <v>859150000</v>
      </c>
      <c r="AH549">
        <v>1024300000</v>
      </c>
      <c r="AI549">
        <v>1881630000</v>
      </c>
      <c r="AJ549">
        <v>0</v>
      </c>
      <c r="AK549">
        <v>3.9386201673527879E-9</v>
      </c>
      <c r="AL549">
        <v>0</v>
      </c>
    </row>
    <row r="550" spans="21:38">
      <c r="U550">
        <v>6.8259385665528777E-3</v>
      </c>
      <c r="V550">
        <v>14.67</v>
      </c>
      <c r="W550">
        <v>14.61</v>
      </c>
      <c r="X550">
        <f t="shared" si="8"/>
        <v>4.098360655737739E-3</v>
      </c>
      <c r="Y550">
        <v>295500</v>
      </c>
      <c r="Z550">
        <v>2223000000</v>
      </c>
      <c r="AA550">
        <v>4334985</v>
      </c>
      <c r="AB550">
        <v>2223000000</v>
      </c>
      <c r="AC550">
        <v>1.3292847503373819E-4</v>
      </c>
      <c r="AD550">
        <v>70483.66</v>
      </c>
      <c r="AE550">
        <v>0.216</v>
      </c>
      <c r="AF550">
        <v>73305600000</v>
      </c>
      <c r="AG550">
        <v>859150000</v>
      </c>
      <c r="AH550">
        <v>1024300000</v>
      </c>
      <c r="AI550">
        <v>1881630000</v>
      </c>
      <c r="AJ550">
        <v>0</v>
      </c>
      <c r="AK550">
        <v>4.7077817490269713E-10</v>
      </c>
      <c r="AL550">
        <v>0</v>
      </c>
    </row>
    <row r="551" spans="21:38">
      <c r="U551">
        <v>2.3176550783912737E-2</v>
      </c>
      <c r="V551">
        <v>14.74</v>
      </c>
      <c r="W551">
        <v>14.67</v>
      </c>
      <c r="X551">
        <f t="shared" si="8"/>
        <v>4.7602856171370476E-3</v>
      </c>
      <c r="Y551">
        <v>675000</v>
      </c>
      <c r="Z551">
        <v>2223000000</v>
      </c>
      <c r="AA551">
        <v>9922500</v>
      </c>
      <c r="AB551">
        <v>2223000000</v>
      </c>
      <c r="AC551">
        <v>3.0364372469635629E-4</v>
      </c>
      <c r="AD551">
        <v>70544.58</v>
      </c>
      <c r="AE551">
        <v>0.216</v>
      </c>
      <c r="AF551">
        <v>73305600000</v>
      </c>
      <c r="AG551">
        <v>859150000</v>
      </c>
      <c r="AH551">
        <v>1024300000</v>
      </c>
      <c r="AI551">
        <v>1881630000</v>
      </c>
      <c r="AJ551">
        <v>0</v>
      </c>
      <c r="AK551">
        <v>6.2082784288709682E-10</v>
      </c>
      <c r="AL551">
        <v>0</v>
      </c>
    </row>
    <row r="552" spans="21:38">
      <c r="U552">
        <v>1.3745704467354024E-2</v>
      </c>
      <c r="V552">
        <v>14.6</v>
      </c>
      <c r="W552">
        <v>14.56</v>
      </c>
      <c r="X552">
        <f t="shared" si="8"/>
        <v>2.7434842249656481E-3</v>
      </c>
      <c r="Y552">
        <v>280500</v>
      </c>
      <c r="Z552">
        <v>2223000000</v>
      </c>
      <c r="AA552">
        <v>4098105</v>
      </c>
      <c r="AB552">
        <v>2223000000</v>
      </c>
      <c r="AC552">
        <v>1.261808367071525E-4</v>
      </c>
      <c r="AD552">
        <v>70314.720000000001</v>
      </c>
      <c r="AE552">
        <v>0.216</v>
      </c>
      <c r="AF552">
        <v>73305600000</v>
      </c>
      <c r="AG552">
        <v>859150000</v>
      </c>
      <c r="AH552">
        <v>1024300000</v>
      </c>
      <c r="AI552">
        <v>1881630000</v>
      </c>
      <c r="AJ552">
        <v>0</v>
      </c>
      <c r="AK552">
        <v>2.8727553797659071E-9</v>
      </c>
      <c r="AL552">
        <v>0</v>
      </c>
    </row>
    <row r="553" spans="21:38">
      <c r="U553">
        <v>1.6701461377870576E-2</v>
      </c>
      <c r="V553">
        <v>14.4</v>
      </c>
      <c r="W553">
        <v>14.36</v>
      </c>
      <c r="X553">
        <f t="shared" si="8"/>
        <v>2.7816411682893552E-3</v>
      </c>
      <c r="Y553">
        <v>270000</v>
      </c>
      <c r="Z553">
        <v>2223000000</v>
      </c>
      <c r="AA553">
        <v>3898800</v>
      </c>
      <c r="AB553">
        <v>2223000000</v>
      </c>
      <c r="AC553">
        <v>1.2145748987854252E-4</v>
      </c>
      <c r="AD553">
        <v>69619.990000000005</v>
      </c>
      <c r="AE553">
        <v>0.216</v>
      </c>
      <c r="AF553">
        <v>73305600000</v>
      </c>
      <c r="AG553">
        <v>859150000</v>
      </c>
      <c r="AH553">
        <v>1024300000</v>
      </c>
      <c r="AI553">
        <v>1881630000</v>
      </c>
      <c r="AJ553">
        <v>0</v>
      </c>
      <c r="AK553">
        <v>2.1493506381851775E-9</v>
      </c>
      <c r="AL553">
        <v>0</v>
      </c>
    </row>
    <row r="554" spans="21:38">
      <c r="U554">
        <v>1.3986013986014061E-2</v>
      </c>
      <c r="V554">
        <v>14.4</v>
      </c>
      <c r="W554">
        <v>14.26</v>
      </c>
      <c r="X554">
        <f t="shared" si="8"/>
        <v>9.7697138869504933E-3</v>
      </c>
      <c r="Y554">
        <v>172000</v>
      </c>
      <c r="Z554">
        <v>2223000000</v>
      </c>
      <c r="AA554">
        <v>2463040</v>
      </c>
      <c r="AB554">
        <v>2223000000</v>
      </c>
      <c r="AC554">
        <v>7.7372919478182629E-5</v>
      </c>
      <c r="AD554">
        <v>68416.78</v>
      </c>
      <c r="AE554">
        <v>0.216</v>
      </c>
      <c r="AF554">
        <v>73305600000</v>
      </c>
      <c r="AG554">
        <v>859150000</v>
      </c>
      <c r="AH554">
        <v>1024300000</v>
      </c>
      <c r="AI554">
        <v>1881630000</v>
      </c>
      <c r="AJ554">
        <v>0</v>
      </c>
      <c r="AK554">
        <v>1.9943974526416163E-9</v>
      </c>
      <c r="AL554">
        <v>0</v>
      </c>
    </row>
    <row r="555" spans="21:38">
      <c r="U555">
        <v>1.0552233556102608E-2</v>
      </c>
      <c r="V555">
        <v>14.25</v>
      </c>
      <c r="W555">
        <v>14.21</v>
      </c>
      <c r="X555">
        <f t="shared" si="8"/>
        <v>2.8109627547434398E-3</v>
      </c>
      <c r="Y555">
        <v>101000</v>
      </c>
      <c r="Z555">
        <v>2223000000</v>
      </c>
      <c r="AA555">
        <v>1439250</v>
      </c>
      <c r="AB555">
        <v>2223000000</v>
      </c>
      <c r="AC555">
        <v>4.5434098065677011E-5</v>
      </c>
      <c r="AD555">
        <v>67756.039999999994</v>
      </c>
      <c r="AE555">
        <v>0.216</v>
      </c>
      <c r="AF555">
        <v>73305600000</v>
      </c>
      <c r="AG555">
        <v>859150000</v>
      </c>
      <c r="AH555">
        <v>1024300000</v>
      </c>
      <c r="AI555">
        <v>1881630000</v>
      </c>
      <c r="AJ555">
        <v>0</v>
      </c>
      <c r="AK555">
        <v>2.4465011363998129E-9</v>
      </c>
      <c r="AL555">
        <v>0</v>
      </c>
    </row>
    <row r="556" spans="21:38">
      <c r="U556">
        <v>1.0619469026548572E-2</v>
      </c>
      <c r="V556">
        <v>14.2</v>
      </c>
      <c r="W556">
        <v>14.1</v>
      </c>
      <c r="X556">
        <f t="shared" si="8"/>
        <v>7.0671378091872548E-3</v>
      </c>
      <c r="Y556">
        <v>202500</v>
      </c>
      <c r="Z556">
        <v>2223000000</v>
      </c>
      <c r="AA556">
        <v>2875500</v>
      </c>
      <c r="AB556">
        <v>2223000000</v>
      </c>
      <c r="AC556">
        <v>9.1093117408906887E-5</v>
      </c>
      <c r="AD556">
        <v>66886.259999999995</v>
      </c>
      <c r="AE556">
        <v>0.216</v>
      </c>
      <c r="AF556">
        <v>73305600000</v>
      </c>
      <c r="AG556">
        <v>859150000</v>
      </c>
      <c r="AH556">
        <v>1024300000</v>
      </c>
      <c r="AI556">
        <v>1881630000</v>
      </c>
      <c r="AJ556">
        <v>0</v>
      </c>
      <c r="AK556">
        <v>9.8238871746203663E-10</v>
      </c>
      <c r="AL556">
        <v>0</v>
      </c>
    </row>
    <row r="557" spans="21:38">
      <c r="U557">
        <v>3.4373903893370764E-2</v>
      </c>
      <c r="V557">
        <v>14.2</v>
      </c>
      <c r="W557">
        <v>14.15</v>
      </c>
      <c r="X557">
        <f t="shared" si="8"/>
        <v>3.5273368606701188E-3</v>
      </c>
      <c r="Y557">
        <v>562000</v>
      </c>
      <c r="Z557">
        <v>2223000000</v>
      </c>
      <c r="AA557">
        <v>7957920</v>
      </c>
      <c r="AB557">
        <v>2223000000</v>
      </c>
      <c r="AC557">
        <v>2.5281151596941073E-4</v>
      </c>
      <c r="AD557">
        <v>66796.320000000007</v>
      </c>
      <c r="AE557">
        <v>0.216</v>
      </c>
      <c r="AF557">
        <v>73305600000</v>
      </c>
      <c r="AG557">
        <v>859150000</v>
      </c>
      <c r="AH557">
        <v>1024300000</v>
      </c>
      <c r="AI557">
        <v>1881630000</v>
      </c>
      <c r="AJ557">
        <v>0</v>
      </c>
      <c r="AK557">
        <v>1.5773344360373196E-9</v>
      </c>
      <c r="AL557">
        <v>0</v>
      </c>
    </row>
    <row r="558" spans="21:38">
      <c r="U558">
        <v>7.417582417582419E-2</v>
      </c>
      <c r="V558">
        <v>14.1</v>
      </c>
      <c r="W558">
        <v>14.04</v>
      </c>
      <c r="X558">
        <f t="shared" si="8"/>
        <v>4.2643923240938521E-3</v>
      </c>
      <c r="Y558">
        <v>425500</v>
      </c>
      <c r="Z558">
        <v>2223000000</v>
      </c>
      <c r="AA558">
        <v>6101670</v>
      </c>
      <c r="AB558">
        <v>2223000000</v>
      </c>
      <c r="AC558">
        <v>1.9140800719748087E-4</v>
      </c>
      <c r="AD558">
        <v>67005.11</v>
      </c>
      <c r="AE558">
        <v>0.216</v>
      </c>
      <c r="AF558">
        <v>73305600000</v>
      </c>
      <c r="AG558">
        <v>859150000</v>
      </c>
      <c r="AH558">
        <v>1024300000</v>
      </c>
      <c r="AI558">
        <v>1881630000</v>
      </c>
      <c r="AJ558">
        <v>0</v>
      </c>
      <c r="AK558">
        <v>3.2638034330927133E-9</v>
      </c>
      <c r="AL558">
        <v>0</v>
      </c>
    </row>
    <row r="559" spans="21:38">
      <c r="U559">
        <v>9.9150141643058621E-3</v>
      </c>
      <c r="V559">
        <v>14.15</v>
      </c>
      <c r="W559">
        <v>14.05</v>
      </c>
      <c r="X559">
        <f t="shared" si="8"/>
        <v>7.0921985815602575E-3</v>
      </c>
      <c r="Y559">
        <v>243000</v>
      </c>
      <c r="Z559">
        <v>2223000000</v>
      </c>
      <c r="AA559">
        <v>3416580</v>
      </c>
      <c r="AB559">
        <v>2223000000</v>
      </c>
      <c r="AC559">
        <v>1.0931174089068826E-4</v>
      </c>
      <c r="AD559">
        <v>67142.12</v>
      </c>
      <c r="AE559">
        <v>0.216</v>
      </c>
      <c r="AF559">
        <v>73305600000</v>
      </c>
      <c r="AG559">
        <v>859150000</v>
      </c>
      <c r="AH559">
        <v>1024300000</v>
      </c>
      <c r="AI559">
        <v>1881630000</v>
      </c>
      <c r="AJ559">
        <v>0</v>
      </c>
      <c r="AK559">
        <v>8.3032723736135348E-10</v>
      </c>
      <c r="AL559">
        <v>0</v>
      </c>
    </row>
    <row r="560" spans="21:38">
      <c r="U560">
        <v>1.1339475549255858E-2</v>
      </c>
      <c r="V560">
        <v>14.17</v>
      </c>
      <c r="W560">
        <v>14.1</v>
      </c>
      <c r="X560">
        <f t="shared" si="8"/>
        <v>4.9522461973824042E-3</v>
      </c>
      <c r="Y560">
        <v>373500</v>
      </c>
      <c r="Z560">
        <v>2223000000</v>
      </c>
      <c r="AA560">
        <v>5266350</v>
      </c>
      <c r="AB560">
        <v>2223000000</v>
      </c>
      <c r="AC560">
        <v>1.680161943319838E-4</v>
      </c>
      <c r="AD560">
        <v>66547.789999999994</v>
      </c>
      <c r="AE560">
        <v>0.216</v>
      </c>
      <c r="AF560">
        <v>73305600000</v>
      </c>
      <c r="AG560">
        <v>859150000</v>
      </c>
      <c r="AH560">
        <v>1024300000</v>
      </c>
      <c r="AI560">
        <v>1881630000</v>
      </c>
      <c r="AJ560">
        <v>0</v>
      </c>
      <c r="AK560">
        <v>9.3803376424393773E-10</v>
      </c>
      <c r="AL560">
        <v>0</v>
      </c>
    </row>
    <row r="561" spans="21:38">
      <c r="U561">
        <v>1.3479957431713339E-2</v>
      </c>
      <c r="V561">
        <v>14.18</v>
      </c>
      <c r="W561">
        <v>14.1</v>
      </c>
      <c r="X561">
        <f t="shared" si="8"/>
        <v>5.6577086280056622E-3</v>
      </c>
      <c r="Y561">
        <v>767000</v>
      </c>
      <c r="Z561">
        <v>2223000000</v>
      </c>
      <c r="AA561">
        <v>10868390</v>
      </c>
      <c r="AB561">
        <v>2223000000</v>
      </c>
      <c r="AC561">
        <v>3.4502923976608189E-4</v>
      </c>
      <c r="AD561">
        <v>65906.28</v>
      </c>
      <c r="AE561">
        <v>0.216</v>
      </c>
      <c r="AF561">
        <v>73305600000</v>
      </c>
      <c r="AG561">
        <v>859150000</v>
      </c>
      <c r="AH561">
        <v>1024300000</v>
      </c>
      <c r="AI561">
        <v>1881630000</v>
      </c>
      <c r="AJ561">
        <v>0</v>
      </c>
      <c r="AK561">
        <v>1.2504928570788342E-9</v>
      </c>
      <c r="AL561">
        <v>0</v>
      </c>
    </row>
    <row r="562" spans="21:38">
      <c r="U562">
        <v>6.4493013256897071E-3</v>
      </c>
      <c r="V562">
        <v>14</v>
      </c>
      <c r="W562">
        <v>13.95</v>
      </c>
      <c r="X562">
        <f t="shared" si="8"/>
        <v>3.5778175313059542E-3</v>
      </c>
      <c r="Y562">
        <v>84500</v>
      </c>
      <c r="Z562">
        <v>2223000000</v>
      </c>
      <c r="AA562">
        <v>1181310</v>
      </c>
      <c r="AB562">
        <v>2223000000</v>
      </c>
      <c r="AC562">
        <v>3.8011695906432746E-5</v>
      </c>
      <c r="AD562">
        <v>65525.65</v>
      </c>
      <c r="AE562">
        <v>0.216</v>
      </c>
      <c r="AF562">
        <v>73305600000</v>
      </c>
      <c r="AG562">
        <v>859150000</v>
      </c>
      <c r="AH562">
        <v>1024300000</v>
      </c>
      <c r="AI562">
        <v>1881630000</v>
      </c>
      <c r="AJ562">
        <v>0</v>
      </c>
      <c r="AK562">
        <v>0</v>
      </c>
      <c r="AL562">
        <v>0</v>
      </c>
    </row>
    <row r="563" spans="21:38">
      <c r="U563">
        <v>6.6914498141263976E-2</v>
      </c>
      <c r="V563">
        <v>139.80000000000001</v>
      </c>
      <c r="W563">
        <v>13.99</v>
      </c>
      <c r="X563">
        <f t="shared" si="8"/>
        <v>1.6361271864230444</v>
      </c>
      <c r="Y563">
        <v>25000</v>
      </c>
      <c r="Z563">
        <v>140000000</v>
      </c>
      <c r="AA563">
        <v>339250</v>
      </c>
      <c r="AB563">
        <v>140000000</v>
      </c>
      <c r="AC563">
        <v>1.7857142857142857E-4</v>
      </c>
      <c r="AD563">
        <v>75983.039999999994</v>
      </c>
      <c r="AE563">
        <v>0.2157</v>
      </c>
      <c r="AF563">
        <v>4370860000</v>
      </c>
      <c r="AG563">
        <v>2698270000</v>
      </c>
      <c r="AH563">
        <v>51730000</v>
      </c>
      <c r="AI563">
        <v>19710000</v>
      </c>
      <c r="AJ563">
        <v>1316670000</v>
      </c>
      <c r="AK563">
        <v>1.7275772618440283E-8</v>
      </c>
      <c r="AL563">
        <v>0.30123820026264853</v>
      </c>
    </row>
    <row r="564" spans="21:38">
      <c r="U564">
        <v>0</v>
      </c>
      <c r="V564">
        <v>139.80000000000001</v>
      </c>
      <c r="W564">
        <v>14.5</v>
      </c>
      <c r="X564">
        <f t="shared" si="8"/>
        <v>1.6241088788075178</v>
      </c>
      <c r="Y564">
        <v>25000</v>
      </c>
      <c r="Z564">
        <v>140000000</v>
      </c>
      <c r="AA564">
        <v>341250</v>
      </c>
      <c r="AB564">
        <v>140000000</v>
      </c>
      <c r="AC564">
        <v>1.7857142857142857E-4</v>
      </c>
      <c r="AD564">
        <v>75114.47</v>
      </c>
      <c r="AE564">
        <v>0.2157</v>
      </c>
      <c r="AF564">
        <v>4370860000</v>
      </c>
      <c r="AG564">
        <v>2698270000</v>
      </c>
      <c r="AH564">
        <v>51730000</v>
      </c>
      <c r="AI564">
        <v>19710000</v>
      </c>
      <c r="AJ564">
        <v>1316670000</v>
      </c>
      <c r="AK564">
        <v>0</v>
      </c>
      <c r="AL564">
        <v>0.30123820026264853</v>
      </c>
    </row>
    <row r="565" spans="21:38">
      <c r="U565">
        <v>2.1953896816684494E-3</v>
      </c>
      <c r="V565">
        <v>139.80000000000001</v>
      </c>
      <c r="W565">
        <v>13.79</v>
      </c>
      <c r="X565">
        <f t="shared" si="8"/>
        <v>1.640862035288756</v>
      </c>
      <c r="Y565">
        <v>1000</v>
      </c>
      <c r="Z565">
        <v>140000000</v>
      </c>
      <c r="AA565">
        <v>13650</v>
      </c>
      <c r="AB565">
        <v>140000000</v>
      </c>
      <c r="AC565">
        <v>7.1428571428571427E-6</v>
      </c>
      <c r="AD565">
        <v>74956.67</v>
      </c>
      <c r="AE565">
        <v>0.2157</v>
      </c>
      <c r="AF565">
        <v>4370860000</v>
      </c>
      <c r="AG565">
        <v>2698270000</v>
      </c>
      <c r="AH565">
        <v>51730000</v>
      </c>
      <c r="AI565">
        <v>19710000</v>
      </c>
      <c r="AJ565">
        <v>1316670000</v>
      </c>
      <c r="AK565">
        <v>8.1400081400081596E-7</v>
      </c>
      <c r="AL565">
        <v>0.30123820026264853</v>
      </c>
    </row>
    <row r="566" spans="21:38">
      <c r="U566">
        <v>5.2451539338654464E-2</v>
      </c>
      <c r="V566">
        <v>139.80000000000001</v>
      </c>
      <c r="W566">
        <v>13.84</v>
      </c>
      <c r="X566">
        <f t="shared" si="8"/>
        <v>1.6396771674043218</v>
      </c>
      <c r="Y566">
        <v>2500</v>
      </c>
      <c r="Z566">
        <v>140000000</v>
      </c>
      <c r="AA566">
        <v>33750</v>
      </c>
      <c r="AB566">
        <v>140000000</v>
      </c>
      <c r="AC566">
        <v>1.7857142857142858E-5</v>
      </c>
      <c r="AD566">
        <v>75206.77</v>
      </c>
      <c r="AE566">
        <v>0.2157</v>
      </c>
      <c r="AF566">
        <v>4370860000</v>
      </c>
      <c r="AG566">
        <v>2698270000</v>
      </c>
      <c r="AH566">
        <v>51730000</v>
      </c>
      <c r="AI566">
        <v>19710000</v>
      </c>
      <c r="AJ566">
        <v>1316670000</v>
      </c>
      <c r="AK566">
        <v>3.0411643314869243E-7</v>
      </c>
      <c r="AL566">
        <v>0.30123820026264853</v>
      </c>
    </row>
    <row r="567" spans="21:38">
      <c r="U567">
        <v>0</v>
      </c>
      <c r="V567">
        <v>139.80000000000001</v>
      </c>
      <c r="W567">
        <v>13.97</v>
      </c>
      <c r="X567">
        <f t="shared" si="8"/>
        <v>1.6366001170579438</v>
      </c>
      <c r="Y567">
        <v>1000</v>
      </c>
      <c r="Z567">
        <v>140000000</v>
      </c>
      <c r="AA567">
        <v>13640</v>
      </c>
      <c r="AB567">
        <v>140000000</v>
      </c>
      <c r="AC567">
        <v>7.1428571428571427E-6</v>
      </c>
      <c r="AD567">
        <v>75084</v>
      </c>
      <c r="AE567">
        <v>0.2157</v>
      </c>
      <c r="AF567">
        <v>4370860000</v>
      </c>
      <c r="AG567">
        <v>2698270000</v>
      </c>
      <c r="AH567">
        <v>51730000</v>
      </c>
      <c r="AI567">
        <v>19710000</v>
      </c>
      <c r="AJ567">
        <v>1316670000</v>
      </c>
      <c r="AK567">
        <v>1.3195425304392071E-6</v>
      </c>
      <c r="AL567">
        <v>0.30123820026264853</v>
      </c>
    </row>
    <row r="568" spans="21:38">
      <c r="U568">
        <v>2.773722627737232E-2</v>
      </c>
      <c r="V568">
        <v>139.80000000000001</v>
      </c>
      <c r="W568">
        <v>13.89</v>
      </c>
      <c r="X568">
        <f t="shared" si="8"/>
        <v>1.6384930704665237</v>
      </c>
      <c r="Y568">
        <v>5500</v>
      </c>
      <c r="Z568">
        <v>140000000</v>
      </c>
      <c r="AA568">
        <v>76395</v>
      </c>
      <c r="AB568">
        <v>140000000</v>
      </c>
      <c r="AC568">
        <v>3.9285714285714283E-5</v>
      </c>
      <c r="AD568">
        <v>75342.350000000006</v>
      </c>
      <c r="AE568">
        <v>0.2157</v>
      </c>
      <c r="AF568">
        <v>4370860000</v>
      </c>
      <c r="AG568">
        <v>2698270000</v>
      </c>
      <c r="AH568">
        <v>51730000</v>
      </c>
      <c r="AI568">
        <v>19710000</v>
      </c>
      <c r="AJ568">
        <v>1316670000</v>
      </c>
      <c r="AK568">
        <v>3.383642293711186E-7</v>
      </c>
      <c r="AL568">
        <v>0.30123820026264853</v>
      </c>
    </row>
    <row r="569" spans="21:38">
      <c r="U569">
        <v>2.7676620538965826E-2</v>
      </c>
      <c r="V569">
        <v>139.80000000000001</v>
      </c>
      <c r="W569">
        <v>13.94</v>
      </c>
      <c r="X569">
        <f t="shared" si="8"/>
        <v>1.6373097437231692</v>
      </c>
      <c r="Y569">
        <v>2000</v>
      </c>
      <c r="Z569">
        <v>140000000</v>
      </c>
      <c r="AA569">
        <v>27080</v>
      </c>
      <c r="AB569">
        <v>140000000</v>
      </c>
      <c r="AC569">
        <v>1.4285714285714285E-5</v>
      </c>
      <c r="AD569">
        <v>74930.7</v>
      </c>
      <c r="AE569">
        <v>0.2157</v>
      </c>
      <c r="AF569">
        <v>4370860000</v>
      </c>
      <c r="AG569">
        <v>2698270000</v>
      </c>
      <c r="AH569">
        <v>51730000</v>
      </c>
      <c r="AI569">
        <v>19710000</v>
      </c>
      <c r="AJ569">
        <v>1316670000</v>
      </c>
      <c r="AK569">
        <v>1.1366411882817091E-6</v>
      </c>
      <c r="AL569">
        <v>0.30123820026264853</v>
      </c>
    </row>
    <row r="570" spans="21:38">
      <c r="U570">
        <v>7.1931776047460191E-2</v>
      </c>
      <c r="V570">
        <v>139.80000000000001</v>
      </c>
      <c r="W570">
        <v>13.94</v>
      </c>
      <c r="X570">
        <f t="shared" si="8"/>
        <v>1.6373097437231692</v>
      </c>
      <c r="Y570">
        <v>13500</v>
      </c>
      <c r="Z570">
        <v>140000000</v>
      </c>
      <c r="AA570">
        <v>188595</v>
      </c>
      <c r="AB570">
        <v>140000000</v>
      </c>
      <c r="AC570">
        <v>9.6428571428571432E-5</v>
      </c>
      <c r="AD570">
        <v>74663.98</v>
      </c>
      <c r="AE570">
        <v>0.2157</v>
      </c>
      <c r="AF570">
        <v>4370860000</v>
      </c>
      <c r="AG570">
        <v>2698270000</v>
      </c>
      <c r="AH570">
        <v>51730000</v>
      </c>
      <c r="AI570">
        <v>19710000</v>
      </c>
      <c r="AJ570">
        <v>1316670000</v>
      </c>
      <c r="AK570">
        <v>1.4025365926179987E-7</v>
      </c>
      <c r="AL570">
        <v>0.30123820026264853</v>
      </c>
    </row>
    <row r="571" spans="21:38">
      <c r="U571">
        <v>0</v>
      </c>
      <c r="V571">
        <v>139.80000000000001</v>
      </c>
      <c r="W571">
        <v>13.95</v>
      </c>
      <c r="X571">
        <f t="shared" si="8"/>
        <v>1.6370731707317074</v>
      </c>
      <c r="Y571">
        <v>2000</v>
      </c>
      <c r="Z571">
        <v>140000000</v>
      </c>
      <c r="AA571">
        <v>27220</v>
      </c>
      <c r="AB571">
        <v>140000000</v>
      </c>
      <c r="AC571">
        <v>1.4285714285714285E-5</v>
      </c>
      <c r="AD571">
        <v>74531.19</v>
      </c>
      <c r="AE571">
        <v>0.21590000000000001</v>
      </c>
      <c r="AF571">
        <v>4370860000</v>
      </c>
      <c r="AG571">
        <v>2698270000</v>
      </c>
      <c r="AH571">
        <v>51730000</v>
      </c>
      <c r="AI571">
        <v>19710000</v>
      </c>
      <c r="AJ571">
        <v>1316670000</v>
      </c>
      <c r="AK571">
        <v>0</v>
      </c>
      <c r="AL571">
        <v>0.30123820026264853</v>
      </c>
    </row>
    <row r="572" spans="21:38">
      <c r="U572">
        <v>4.0316774658027389E-2</v>
      </c>
      <c r="V572">
        <v>139.80000000000001</v>
      </c>
      <c r="W572">
        <v>14.1</v>
      </c>
      <c r="X572">
        <f t="shared" si="8"/>
        <v>1.6335282651072127</v>
      </c>
      <c r="Y572">
        <v>2000</v>
      </c>
      <c r="Z572">
        <v>140000000</v>
      </c>
      <c r="AA572">
        <v>27220</v>
      </c>
      <c r="AB572">
        <v>140000000</v>
      </c>
      <c r="AC572">
        <v>1.4285714285714285E-5</v>
      </c>
      <c r="AD572">
        <v>73799.11</v>
      </c>
      <c r="AE572">
        <v>0.21590000000000001</v>
      </c>
      <c r="AF572">
        <v>4370860000</v>
      </c>
      <c r="AG572">
        <v>2698270000</v>
      </c>
      <c r="AH572">
        <v>51730000</v>
      </c>
      <c r="AI572">
        <v>19710000</v>
      </c>
      <c r="AJ572">
        <v>1316670000</v>
      </c>
      <c r="AK572">
        <v>9.9787871992118009E-7</v>
      </c>
      <c r="AL572">
        <v>0.30123820026264853</v>
      </c>
    </row>
    <row r="573" spans="21:38">
      <c r="U573">
        <v>4.1590660342940552E-2</v>
      </c>
      <c r="V573">
        <v>139.80000000000001</v>
      </c>
      <c r="W573">
        <v>14</v>
      </c>
      <c r="X573">
        <f t="shared" si="8"/>
        <v>1.635890767230169</v>
      </c>
      <c r="Y573">
        <v>4000</v>
      </c>
      <c r="Z573">
        <v>140000000</v>
      </c>
      <c r="AA573">
        <v>55960</v>
      </c>
      <c r="AB573">
        <v>140000000</v>
      </c>
      <c r="AC573">
        <v>2.8571428571428571E-5</v>
      </c>
      <c r="AD573">
        <v>73085.5</v>
      </c>
      <c r="AE573">
        <v>0.21590000000000001</v>
      </c>
      <c r="AF573">
        <v>4370860000</v>
      </c>
      <c r="AG573">
        <v>2698270000</v>
      </c>
      <c r="AH573">
        <v>51730000</v>
      </c>
      <c r="AI573">
        <v>19710000</v>
      </c>
      <c r="AJ573">
        <v>1316670000</v>
      </c>
      <c r="AK573">
        <v>1.2764219340344874E-8</v>
      </c>
      <c r="AL573">
        <v>0.30123820026264853</v>
      </c>
    </row>
    <row r="574" spans="21:38">
      <c r="U574">
        <v>0</v>
      </c>
      <c r="V574">
        <v>139.80000000000001</v>
      </c>
      <c r="W574">
        <v>13.93</v>
      </c>
      <c r="X574">
        <f t="shared" si="8"/>
        <v>1.6375463474923566</v>
      </c>
      <c r="Y574">
        <v>1000</v>
      </c>
      <c r="Z574">
        <v>140000000</v>
      </c>
      <c r="AA574">
        <v>14000</v>
      </c>
      <c r="AB574">
        <v>140000000</v>
      </c>
      <c r="AC574">
        <v>7.1428571428571427E-6</v>
      </c>
      <c r="AD574">
        <v>72658.05</v>
      </c>
      <c r="AE574">
        <v>0.21590000000000001</v>
      </c>
      <c r="AF574">
        <v>4370860000</v>
      </c>
      <c r="AG574">
        <v>2698270000</v>
      </c>
      <c r="AH574">
        <v>51730000</v>
      </c>
      <c r="AI574">
        <v>19710000</v>
      </c>
      <c r="AJ574">
        <v>1316670000</v>
      </c>
      <c r="AK574">
        <v>2.2633961469628368E-6</v>
      </c>
      <c r="AL574">
        <v>0.30123820026264853</v>
      </c>
    </row>
    <row r="575" spans="21:38">
      <c r="U575">
        <v>7.3664825046038953E-4</v>
      </c>
      <c r="V575">
        <v>139.80000000000001</v>
      </c>
      <c r="W575">
        <v>13.95</v>
      </c>
      <c r="X575">
        <f t="shared" si="8"/>
        <v>1.6370731707317074</v>
      </c>
      <c r="Y575">
        <v>1500</v>
      </c>
      <c r="Z575">
        <v>140000000</v>
      </c>
      <c r="AA575">
        <v>20355</v>
      </c>
      <c r="AB575">
        <v>140000000</v>
      </c>
      <c r="AC575">
        <v>1.0714285714285714E-5</v>
      </c>
      <c r="AD575">
        <v>72601.820000000007</v>
      </c>
      <c r="AE575">
        <v>0.21590000000000001</v>
      </c>
      <c r="AF575">
        <v>4370860000</v>
      </c>
      <c r="AG575">
        <v>2698270000</v>
      </c>
      <c r="AH575">
        <v>51730000</v>
      </c>
      <c r="AI575">
        <v>19710000</v>
      </c>
      <c r="AJ575">
        <v>1316670000</v>
      </c>
      <c r="AK575">
        <v>3.6230072554342523E-8</v>
      </c>
      <c r="AL575">
        <v>0.30123820026264853</v>
      </c>
    </row>
    <row r="576" spans="21:38">
      <c r="U576">
        <v>4.4345898004434954E-3</v>
      </c>
      <c r="V576">
        <v>139.80000000000001</v>
      </c>
      <c r="W576">
        <v>13.98</v>
      </c>
      <c r="X576">
        <f t="shared" si="8"/>
        <v>1.6363636363636365</v>
      </c>
      <c r="Y576">
        <v>5500</v>
      </c>
      <c r="Z576">
        <v>140000000</v>
      </c>
      <c r="AA576">
        <v>74580</v>
      </c>
      <c r="AB576">
        <v>140000000</v>
      </c>
      <c r="AC576">
        <v>3.9285714285714283E-5</v>
      </c>
      <c r="AD576">
        <v>72761.2</v>
      </c>
      <c r="AE576">
        <v>0.21590000000000001</v>
      </c>
      <c r="AF576">
        <v>4370860000</v>
      </c>
      <c r="AG576">
        <v>2698270000</v>
      </c>
      <c r="AH576">
        <v>51730000</v>
      </c>
      <c r="AI576">
        <v>19710000</v>
      </c>
      <c r="AJ576">
        <v>1316670000</v>
      </c>
      <c r="AK576">
        <v>2.2363572967768515E-7</v>
      </c>
      <c r="AL576">
        <v>0.30123820026264853</v>
      </c>
    </row>
    <row r="577" spans="21:38">
      <c r="U577">
        <v>7.2727272727273759E-3</v>
      </c>
      <c r="V577">
        <v>139.80000000000001</v>
      </c>
      <c r="W577">
        <v>13.79</v>
      </c>
      <c r="X577">
        <f t="shared" si="8"/>
        <v>1.640862035288756</v>
      </c>
      <c r="Y577">
        <v>5500</v>
      </c>
      <c r="Z577">
        <v>140000000</v>
      </c>
      <c r="AA577">
        <v>75845</v>
      </c>
      <c r="AB577">
        <v>140000000</v>
      </c>
      <c r="AC577">
        <v>3.9285714285714283E-5</v>
      </c>
      <c r="AD577">
        <v>72764.240000000005</v>
      </c>
      <c r="AE577">
        <v>0.21590000000000001</v>
      </c>
      <c r="AF577">
        <v>4370860000</v>
      </c>
      <c r="AG577">
        <v>2698270000</v>
      </c>
      <c r="AH577">
        <v>51730000</v>
      </c>
      <c r="AI577">
        <v>19710000</v>
      </c>
      <c r="AJ577">
        <v>1316670000</v>
      </c>
      <c r="AK577">
        <v>9.5541918539064347E-9</v>
      </c>
      <c r="AL577">
        <v>0.30123820026264853</v>
      </c>
    </row>
    <row r="578" spans="21:38">
      <c r="U578">
        <v>0</v>
      </c>
      <c r="V578">
        <v>139.80000000000001</v>
      </c>
      <c r="W578">
        <v>13.8</v>
      </c>
      <c r="X578">
        <f t="shared" si="8"/>
        <v>1.640625</v>
      </c>
      <c r="Y578">
        <v>1000</v>
      </c>
      <c r="Z578">
        <v>140000000</v>
      </c>
      <c r="AA578">
        <v>13800</v>
      </c>
      <c r="AB578">
        <v>140000000</v>
      </c>
      <c r="AC578">
        <v>7.1428571428571427E-6</v>
      </c>
      <c r="AD578">
        <v>71902.09</v>
      </c>
      <c r="AE578">
        <v>0.21590000000000001</v>
      </c>
      <c r="AF578">
        <v>4370860000</v>
      </c>
      <c r="AG578">
        <v>2698270000</v>
      </c>
      <c r="AH578">
        <v>51730000</v>
      </c>
      <c r="AI578">
        <v>19710000</v>
      </c>
      <c r="AJ578">
        <v>1316670000</v>
      </c>
      <c r="AK578">
        <v>1.5007289254780956E-6</v>
      </c>
      <c r="AL578">
        <v>0.30123820026264853</v>
      </c>
    </row>
    <row r="579" spans="21:38">
      <c r="U579">
        <v>0</v>
      </c>
      <c r="V579">
        <v>139.80000000000001</v>
      </c>
      <c r="W579">
        <v>13.95</v>
      </c>
      <c r="X579">
        <f t="shared" si="8"/>
        <v>1.6370731707317074</v>
      </c>
      <c r="Y579">
        <v>8000</v>
      </c>
      <c r="Z579">
        <v>140000000</v>
      </c>
      <c r="AA579">
        <v>108160</v>
      </c>
      <c r="AB579">
        <v>140000000</v>
      </c>
      <c r="AC579">
        <v>5.7142857142857142E-5</v>
      </c>
      <c r="AD579">
        <v>70657.64</v>
      </c>
      <c r="AE579">
        <v>0.21590000000000001</v>
      </c>
      <c r="AF579">
        <v>4370860000</v>
      </c>
      <c r="AG579">
        <v>2698270000</v>
      </c>
      <c r="AH579">
        <v>51730000</v>
      </c>
      <c r="AI579">
        <v>19710000</v>
      </c>
      <c r="AJ579">
        <v>1316670000</v>
      </c>
      <c r="AK579">
        <v>0</v>
      </c>
      <c r="AL579">
        <v>0.30123820026264853</v>
      </c>
    </row>
    <row r="580" spans="21:38">
      <c r="U580">
        <v>3.4169392948018948E-2</v>
      </c>
      <c r="V580">
        <v>139.80000000000001</v>
      </c>
      <c r="W580">
        <v>13.82</v>
      </c>
      <c r="X580">
        <f t="shared" ref="X580:X602" si="9">(V580-W580)/AVERAGE(V580:W580)</f>
        <v>1.6401510220023436</v>
      </c>
      <c r="Y580">
        <v>9500</v>
      </c>
      <c r="Z580">
        <v>140000000</v>
      </c>
      <c r="AA580">
        <v>128440</v>
      </c>
      <c r="AB580">
        <v>140000000</v>
      </c>
      <c r="AC580">
        <v>6.7857142857142861E-5</v>
      </c>
      <c r="AD580">
        <v>71102.55</v>
      </c>
      <c r="AE580">
        <v>0.21590000000000001</v>
      </c>
      <c r="AF580">
        <v>4370860000</v>
      </c>
      <c r="AG580">
        <v>2698270000</v>
      </c>
      <c r="AH580">
        <v>51730000</v>
      </c>
      <c r="AI580">
        <v>19710000</v>
      </c>
      <c r="AJ580">
        <v>1316670000</v>
      </c>
      <c r="AK580">
        <v>1.3023413833130455E-7</v>
      </c>
      <c r="AL580">
        <v>0.30123820026264853</v>
      </c>
    </row>
    <row r="581" spans="21:38">
      <c r="U581">
        <v>6.6420664206642083E-2</v>
      </c>
      <c r="V581">
        <v>139.80000000000001</v>
      </c>
      <c r="W581">
        <v>13.9</v>
      </c>
      <c r="X581">
        <f t="shared" si="9"/>
        <v>1.63825634352635</v>
      </c>
      <c r="Y581">
        <v>15500</v>
      </c>
      <c r="Z581">
        <v>140000000</v>
      </c>
      <c r="AA581">
        <v>213125</v>
      </c>
      <c r="AB581">
        <v>140000000</v>
      </c>
      <c r="AC581">
        <v>1.1071428571428571E-4</v>
      </c>
      <c r="AD581">
        <v>71695.03</v>
      </c>
      <c r="AE581">
        <v>0.21640000000000001</v>
      </c>
      <c r="AF581">
        <v>4370860000</v>
      </c>
      <c r="AG581">
        <v>2698270000</v>
      </c>
      <c r="AH581">
        <v>51730000</v>
      </c>
      <c r="AI581">
        <v>19710000</v>
      </c>
      <c r="AJ581">
        <v>1316670000</v>
      </c>
      <c r="AK581">
        <v>8.3787180561374102E-8</v>
      </c>
      <c r="AL581">
        <v>0.30123820026264853</v>
      </c>
    </row>
    <row r="582" spans="21:38">
      <c r="U582">
        <v>5.1282051282051232E-2</v>
      </c>
      <c r="V582">
        <v>139.80000000000001</v>
      </c>
      <c r="W582">
        <v>14</v>
      </c>
      <c r="X582">
        <f t="shared" si="9"/>
        <v>1.635890767230169</v>
      </c>
      <c r="Y582">
        <v>63500</v>
      </c>
      <c r="Z582">
        <v>140000000</v>
      </c>
      <c r="AA582">
        <v>889000</v>
      </c>
      <c r="AB582">
        <v>140000000</v>
      </c>
      <c r="AC582">
        <v>4.5357142857142856E-4</v>
      </c>
      <c r="AD582">
        <v>72742.75</v>
      </c>
      <c r="AE582">
        <v>0.21640000000000001</v>
      </c>
      <c r="AF582">
        <v>4370860000</v>
      </c>
      <c r="AG582">
        <v>2698270000</v>
      </c>
      <c r="AH582">
        <v>51730000</v>
      </c>
      <c r="AI582">
        <v>19710000</v>
      </c>
      <c r="AJ582">
        <v>1316670000</v>
      </c>
      <c r="AK582">
        <v>5.9203125925048779E-8</v>
      </c>
      <c r="AL582">
        <v>0.30123820026264853</v>
      </c>
    </row>
    <row r="583" spans="21:38">
      <c r="U583">
        <v>5.5964653902798346E-2</v>
      </c>
      <c r="V583">
        <v>139.80000000000001</v>
      </c>
      <c r="W583">
        <v>13.92</v>
      </c>
      <c r="X583">
        <f t="shared" si="9"/>
        <v>1.6377829820452772</v>
      </c>
      <c r="Y583">
        <v>10500</v>
      </c>
      <c r="Z583">
        <v>140000000</v>
      </c>
      <c r="AA583">
        <v>139650</v>
      </c>
      <c r="AB583">
        <v>140000000</v>
      </c>
      <c r="AC583">
        <v>7.4999999999999993E-5</v>
      </c>
      <c r="AD583">
        <v>71971.399999999994</v>
      </c>
      <c r="AE583">
        <v>0.21640000000000001</v>
      </c>
      <c r="AF583">
        <v>4370860000</v>
      </c>
      <c r="AG583">
        <v>2698270000</v>
      </c>
      <c r="AH583">
        <v>51730000</v>
      </c>
      <c r="AI583">
        <v>19710000</v>
      </c>
      <c r="AJ583">
        <v>1316670000</v>
      </c>
      <c r="AK583">
        <v>1.3730068956630924E-7</v>
      </c>
      <c r="AL583">
        <v>0.30123820026264853</v>
      </c>
    </row>
    <row r="584" spans="21:38">
      <c r="U584">
        <v>5.9712495392554396E-2</v>
      </c>
      <c r="V584">
        <v>139.80000000000001</v>
      </c>
      <c r="W584">
        <v>13.92</v>
      </c>
      <c r="X584">
        <f t="shared" si="9"/>
        <v>1.6377829820452772</v>
      </c>
      <c r="Y584">
        <v>3500</v>
      </c>
      <c r="Z584">
        <v>140000000</v>
      </c>
      <c r="AA584">
        <v>47460</v>
      </c>
      <c r="AB584">
        <v>140000000</v>
      </c>
      <c r="AC584">
        <v>2.5000000000000001E-5</v>
      </c>
      <c r="AD584">
        <v>72051.89</v>
      </c>
      <c r="AE584">
        <v>0.21640000000000001</v>
      </c>
      <c r="AF584">
        <v>4370860000</v>
      </c>
      <c r="AG584">
        <v>2698270000</v>
      </c>
      <c r="AH584">
        <v>51730000</v>
      </c>
      <c r="AI584">
        <v>19710000</v>
      </c>
      <c r="AJ584">
        <v>1316670000</v>
      </c>
      <c r="AK584">
        <v>2.5158656779314575E-7</v>
      </c>
      <c r="AL584">
        <v>0.30123820026264853</v>
      </c>
    </row>
    <row r="585" spans="21:38">
      <c r="U585">
        <v>4.2366691015339665E-2</v>
      </c>
      <c r="V585">
        <v>139.80000000000001</v>
      </c>
      <c r="W585">
        <v>13.59</v>
      </c>
      <c r="X585">
        <f t="shared" si="9"/>
        <v>1.6456092313710151</v>
      </c>
      <c r="Y585">
        <v>8500</v>
      </c>
      <c r="Z585">
        <v>140000000</v>
      </c>
      <c r="AA585">
        <v>113900</v>
      </c>
      <c r="AB585">
        <v>140000000</v>
      </c>
      <c r="AC585">
        <v>6.0714285714285715E-5</v>
      </c>
      <c r="AD585">
        <v>71359.41</v>
      </c>
      <c r="AE585">
        <v>0.21640000000000001</v>
      </c>
      <c r="AF585">
        <v>4370860000</v>
      </c>
      <c r="AG585">
        <v>2698270000</v>
      </c>
      <c r="AH585">
        <v>51730000</v>
      </c>
      <c r="AI585">
        <v>19710000</v>
      </c>
      <c r="AJ585">
        <v>1316670000</v>
      </c>
      <c r="AK585">
        <v>2.2348152286694844E-7</v>
      </c>
      <c r="AL585">
        <v>0.30123820026264853</v>
      </c>
    </row>
    <row r="586" spans="21:38">
      <c r="U586">
        <v>4.3049981758482292E-2</v>
      </c>
      <c r="V586">
        <v>139.80000000000001</v>
      </c>
      <c r="W586">
        <v>13.88</v>
      </c>
      <c r="X586">
        <f t="shared" si="9"/>
        <v>1.6387298282144718</v>
      </c>
      <c r="Y586">
        <v>9000</v>
      </c>
      <c r="Z586">
        <v>140000000</v>
      </c>
      <c r="AA586">
        <v>123750</v>
      </c>
      <c r="AB586">
        <v>140000000</v>
      </c>
      <c r="AC586">
        <v>6.4285714285714288E-5</v>
      </c>
      <c r="AD586">
        <v>71433.460000000006</v>
      </c>
      <c r="AE586">
        <v>0.21640000000000001</v>
      </c>
      <c r="AF586">
        <v>4370860000</v>
      </c>
      <c r="AG586">
        <v>2698270000</v>
      </c>
      <c r="AH586">
        <v>51730000</v>
      </c>
      <c r="AI586">
        <v>19710000</v>
      </c>
      <c r="AJ586">
        <v>1316670000</v>
      </c>
      <c r="AK586">
        <v>2.3439617348246294E-8</v>
      </c>
      <c r="AL586">
        <v>0.30123820026264853</v>
      </c>
    </row>
    <row r="587" spans="21:38">
      <c r="U587">
        <v>2.1978021978022028E-2</v>
      </c>
      <c r="V587">
        <v>139.80000000000001</v>
      </c>
      <c r="W587">
        <v>13.79</v>
      </c>
      <c r="X587">
        <f t="shared" si="9"/>
        <v>1.640862035288756</v>
      </c>
      <c r="Y587">
        <v>20000</v>
      </c>
      <c r="Z587">
        <v>140000000</v>
      </c>
      <c r="AA587">
        <v>275800</v>
      </c>
      <c r="AB587">
        <v>140000000</v>
      </c>
      <c r="AC587">
        <v>1.4285714285714287E-4</v>
      </c>
      <c r="AD587">
        <v>70909.899999999994</v>
      </c>
      <c r="AE587">
        <v>0.21640000000000001</v>
      </c>
      <c r="AF587">
        <v>4370860000</v>
      </c>
      <c r="AG587">
        <v>2698270000</v>
      </c>
      <c r="AH587">
        <v>51730000</v>
      </c>
      <c r="AI587">
        <v>19710000</v>
      </c>
      <c r="AJ587">
        <v>1316670000</v>
      </c>
      <c r="AK587">
        <v>1.3358268768367575E-7</v>
      </c>
      <c r="AL587">
        <v>0.30123820026264853</v>
      </c>
    </row>
    <row r="588" spans="21:38">
      <c r="U588">
        <v>3.3644859813084058E-2</v>
      </c>
      <c r="V588">
        <v>139.80000000000001</v>
      </c>
      <c r="W588">
        <v>13.35</v>
      </c>
      <c r="X588">
        <f t="shared" si="9"/>
        <v>1.6513222331047994</v>
      </c>
      <c r="Y588">
        <v>16000</v>
      </c>
      <c r="Z588">
        <v>140000000</v>
      </c>
      <c r="AA588">
        <v>212800</v>
      </c>
      <c r="AB588">
        <v>140000000</v>
      </c>
      <c r="AC588">
        <v>1.1428571428571428E-4</v>
      </c>
      <c r="AD588">
        <v>70290.12</v>
      </c>
      <c r="AE588">
        <v>0.21640000000000001</v>
      </c>
      <c r="AF588">
        <v>4370860000</v>
      </c>
      <c r="AG588">
        <v>2698270000</v>
      </c>
      <c r="AH588">
        <v>51730000</v>
      </c>
      <c r="AI588">
        <v>19710000</v>
      </c>
      <c r="AJ588">
        <v>1316670000</v>
      </c>
      <c r="AK588">
        <v>1.4196024530730411E-7</v>
      </c>
      <c r="AL588">
        <v>0.30123820026264853</v>
      </c>
    </row>
    <row r="589" spans="21:38">
      <c r="U589">
        <v>7.7160493827160212E-3</v>
      </c>
      <c r="V589">
        <v>139.80000000000001</v>
      </c>
      <c r="W589">
        <v>13.19</v>
      </c>
      <c r="X589">
        <f t="shared" si="9"/>
        <v>1.6551408588796654</v>
      </c>
      <c r="Y589">
        <v>2500</v>
      </c>
      <c r="Z589">
        <v>140000000</v>
      </c>
      <c r="AA589">
        <v>32275</v>
      </c>
      <c r="AB589">
        <v>140000000</v>
      </c>
      <c r="AC589">
        <v>1.7857142857142858E-5</v>
      </c>
      <c r="AD589">
        <v>70333.320000000007</v>
      </c>
      <c r="AE589">
        <v>0.21640000000000001</v>
      </c>
      <c r="AF589">
        <v>4370860000</v>
      </c>
      <c r="AG589">
        <v>2698270000</v>
      </c>
      <c r="AH589">
        <v>51730000</v>
      </c>
      <c r="AI589">
        <v>19710000</v>
      </c>
      <c r="AJ589">
        <v>1316670000</v>
      </c>
      <c r="AK589">
        <v>6.5772899099087311E-7</v>
      </c>
      <c r="AL589">
        <v>0.30123820026264853</v>
      </c>
    </row>
    <row r="590" spans="21:38">
      <c r="U590">
        <v>1.8292682926829285E-2</v>
      </c>
      <c r="V590">
        <v>139.80000000000001</v>
      </c>
      <c r="W590">
        <v>13.24</v>
      </c>
      <c r="X590">
        <f t="shared" si="9"/>
        <v>1.6539466806063774</v>
      </c>
      <c r="Y590">
        <v>5500</v>
      </c>
      <c r="Z590">
        <v>140000000</v>
      </c>
      <c r="AA590">
        <v>72545</v>
      </c>
      <c r="AB590">
        <v>140000000</v>
      </c>
      <c r="AC590">
        <v>3.9285714285714283E-5</v>
      </c>
      <c r="AD590">
        <v>70483.66</v>
      </c>
      <c r="AE590">
        <v>0.216</v>
      </c>
      <c r="AF590">
        <v>4370860000</v>
      </c>
      <c r="AG590">
        <v>2698270000</v>
      </c>
      <c r="AH590">
        <v>51730000</v>
      </c>
      <c r="AI590">
        <v>19710000</v>
      </c>
      <c r="AJ590">
        <v>1316670000</v>
      </c>
      <c r="AK590">
        <v>2.0146646378640262E-7</v>
      </c>
      <c r="AL590">
        <v>0.30123820026264853</v>
      </c>
    </row>
    <row r="591" spans="21:38">
      <c r="U591">
        <v>5.3163609135155436E-2</v>
      </c>
      <c r="V591">
        <v>139.80000000000001</v>
      </c>
      <c r="W591">
        <v>13.19</v>
      </c>
      <c r="X591">
        <f t="shared" si="9"/>
        <v>1.6551408588796654</v>
      </c>
      <c r="Y591">
        <v>1500</v>
      </c>
      <c r="Z591">
        <v>140000000</v>
      </c>
      <c r="AA591">
        <v>19500</v>
      </c>
      <c r="AB591">
        <v>140000000</v>
      </c>
      <c r="AC591">
        <v>1.0714285714285714E-5</v>
      </c>
      <c r="AD591">
        <v>70544.58</v>
      </c>
      <c r="AE591">
        <v>0.216</v>
      </c>
      <c r="AF591">
        <v>4370860000</v>
      </c>
      <c r="AG591">
        <v>2698270000</v>
      </c>
      <c r="AH591">
        <v>51730000</v>
      </c>
      <c r="AI591">
        <v>19710000</v>
      </c>
      <c r="AJ591">
        <v>1316670000</v>
      </c>
      <c r="AK591">
        <v>1.1700861425487668E-6</v>
      </c>
      <c r="AL591">
        <v>0.30123820026264853</v>
      </c>
    </row>
    <row r="592" spans="21:38">
      <c r="U592">
        <v>0</v>
      </c>
      <c r="V592">
        <v>139.80000000000001</v>
      </c>
      <c r="W592">
        <v>13.32</v>
      </c>
      <c r="X592">
        <f t="shared" si="9"/>
        <v>1.6520376175548592</v>
      </c>
      <c r="Y592">
        <v>500</v>
      </c>
      <c r="Z592">
        <v>140000000</v>
      </c>
      <c r="AA592">
        <v>6355</v>
      </c>
      <c r="AB592">
        <v>140000000</v>
      </c>
      <c r="AC592">
        <v>3.5714285714285714E-6</v>
      </c>
      <c r="AD592">
        <v>70314.720000000001</v>
      </c>
      <c r="AE592">
        <v>0.216</v>
      </c>
      <c r="AF592">
        <v>4370860000</v>
      </c>
      <c r="AG592">
        <v>2698270000</v>
      </c>
      <c r="AH592">
        <v>51730000</v>
      </c>
      <c r="AI592">
        <v>19710000</v>
      </c>
      <c r="AJ592">
        <v>1316670000</v>
      </c>
      <c r="AK592">
        <v>3.5102584276463011E-6</v>
      </c>
      <c r="AL592">
        <v>0.30123820026264853</v>
      </c>
    </row>
    <row r="593" spans="21:38">
      <c r="U593">
        <v>0</v>
      </c>
      <c r="V593">
        <v>139.80000000000001</v>
      </c>
      <c r="W593">
        <v>13.25</v>
      </c>
      <c r="X593">
        <f t="shared" si="9"/>
        <v>1.6537079385821627</v>
      </c>
      <c r="Y593">
        <v>7000</v>
      </c>
      <c r="Z593">
        <v>140000000</v>
      </c>
      <c r="AA593">
        <v>91000</v>
      </c>
      <c r="AB593">
        <v>140000000</v>
      </c>
      <c r="AC593">
        <v>5.0000000000000002E-5</v>
      </c>
      <c r="AD593">
        <v>69619.990000000005</v>
      </c>
      <c r="AE593">
        <v>0.216</v>
      </c>
      <c r="AF593">
        <v>4370860000</v>
      </c>
      <c r="AG593">
        <v>2698270000</v>
      </c>
      <c r="AH593">
        <v>51730000</v>
      </c>
      <c r="AI593">
        <v>19710000</v>
      </c>
      <c r="AJ593">
        <v>1316670000</v>
      </c>
      <c r="AK593">
        <v>0</v>
      </c>
      <c r="AL593">
        <v>0.30123820026264853</v>
      </c>
    </row>
    <row r="594" spans="21:38">
      <c r="U594">
        <v>6.1302681992337078E-2</v>
      </c>
      <c r="V594">
        <v>139.80000000000001</v>
      </c>
      <c r="W594">
        <v>13.1</v>
      </c>
      <c r="X594">
        <f t="shared" si="9"/>
        <v>1.65729234793983</v>
      </c>
      <c r="Y594">
        <v>7000</v>
      </c>
      <c r="Z594">
        <v>140000000</v>
      </c>
      <c r="AA594">
        <v>91000</v>
      </c>
      <c r="AB594">
        <v>140000000</v>
      </c>
      <c r="AC594">
        <v>5.0000000000000002E-5</v>
      </c>
      <c r="AD594">
        <v>68416.78</v>
      </c>
      <c r="AE594">
        <v>0.216</v>
      </c>
      <c r="AF594">
        <v>4370860000</v>
      </c>
      <c r="AG594">
        <v>2698270000</v>
      </c>
      <c r="AH594">
        <v>51730000</v>
      </c>
      <c r="AI594">
        <v>19710000</v>
      </c>
      <c r="AJ594">
        <v>1316670000</v>
      </c>
      <c r="AK594">
        <v>3.4885749171463483E-7</v>
      </c>
      <c r="AL594">
        <v>0.30123820026264853</v>
      </c>
    </row>
    <row r="595" spans="21:38">
      <c r="U595">
        <v>2.37154150197629E-2</v>
      </c>
      <c r="V595">
        <v>139.80000000000001</v>
      </c>
      <c r="W595">
        <v>12.84</v>
      </c>
      <c r="X595">
        <f t="shared" si="9"/>
        <v>1.6635220125786163</v>
      </c>
      <c r="Y595">
        <v>15500</v>
      </c>
      <c r="Z595">
        <v>140000000</v>
      </c>
      <c r="AA595">
        <v>195300</v>
      </c>
      <c r="AB595">
        <v>140000000</v>
      </c>
      <c r="AC595">
        <v>1.1071428571428571E-4</v>
      </c>
      <c r="AD595">
        <v>67756.039999999994</v>
      </c>
      <c r="AE595">
        <v>0.216</v>
      </c>
      <c r="AF595">
        <v>4370860000</v>
      </c>
      <c r="AG595">
        <v>2698270000</v>
      </c>
      <c r="AH595">
        <v>51730000</v>
      </c>
      <c r="AI595">
        <v>19710000</v>
      </c>
      <c r="AJ595">
        <v>1316670000</v>
      </c>
      <c r="AK595">
        <v>1.5754854464531898E-7</v>
      </c>
      <c r="AL595">
        <v>0.30123820026264853</v>
      </c>
    </row>
    <row r="596" spans="21:38">
      <c r="U596">
        <v>7.407407407407407E-2</v>
      </c>
      <c r="V596">
        <v>139.80000000000001</v>
      </c>
      <c r="W596">
        <v>13</v>
      </c>
      <c r="X596">
        <f t="shared" si="9"/>
        <v>1.6596858638743455</v>
      </c>
      <c r="Y596">
        <v>500</v>
      </c>
      <c r="Z596">
        <v>140000000</v>
      </c>
      <c r="AA596">
        <v>6500</v>
      </c>
      <c r="AB596">
        <v>140000000</v>
      </c>
      <c r="AC596">
        <v>3.5714285714285714E-6</v>
      </c>
      <c r="AD596">
        <v>66886.259999999995</v>
      </c>
      <c r="AE596">
        <v>0.216</v>
      </c>
      <c r="AF596">
        <v>4370860000</v>
      </c>
      <c r="AG596">
        <v>2698270000</v>
      </c>
      <c r="AH596">
        <v>51730000</v>
      </c>
      <c r="AI596">
        <v>19710000</v>
      </c>
      <c r="AJ596">
        <v>1316670000</v>
      </c>
      <c r="AK596">
        <v>0</v>
      </c>
      <c r="AL596">
        <v>0.30123820026264853</v>
      </c>
    </row>
    <row r="597" spans="21:38">
      <c r="U597">
        <v>7.407407407407407E-2</v>
      </c>
      <c r="V597">
        <v>139.80000000000001</v>
      </c>
      <c r="W597">
        <v>13.55</v>
      </c>
      <c r="X597">
        <f t="shared" si="9"/>
        <v>1.6465601565047276</v>
      </c>
      <c r="Y597">
        <v>8500</v>
      </c>
      <c r="Z597">
        <v>140000000</v>
      </c>
      <c r="AA597">
        <v>110500</v>
      </c>
      <c r="AB597">
        <v>140000000</v>
      </c>
      <c r="AC597">
        <v>6.0714285714285715E-5</v>
      </c>
      <c r="AD597">
        <v>66796.320000000007</v>
      </c>
      <c r="AE597">
        <v>0.216</v>
      </c>
      <c r="AF597">
        <v>4370860000</v>
      </c>
      <c r="AG597">
        <v>2698270000</v>
      </c>
      <c r="AH597">
        <v>51730000</v>
      </c>
      <c r="AI597">
        <v>19710000</v>
      </c>
      <c r="AJ597">
        <v>1316670000</v>
      </c>
      <c r="AK597">
        <v>0</v>
      </c>
      <c r="AL597">
        <v>0.30123820026264853</v>
      </c>
    </row>
    <row r="598" spans="21:38">
      <c r="U598">
        <v>0</v>
      </c>
      <c r="V598">
        <v>139.80000000000001</v>
      </c>
      <c r="W598">
        <v>13.1</v>
      </c>
      <c r="X598">
        <f t="shared" si="9"/>
        <v>1.65729234793983</v>
      </c>
      <c r="Y598">
        <v>9000</v>
      </c>
      <c r="Z598">
        <v>140000000</v>
      </c>
      <c r="AA598">
        <v>117000</v>
      </c>
      <c r="AB598">
        <v>140000000</v>
      </c>
      <c r="AC598">
        <v>6.4285714285714288E-5</v>
      </c>
      <c r="AD598">
        <v>67005.11</v>
      </c>
      <c r="AE598">
        <v>0.216</v>
      </c>
      <c r="AF598">
        <v>4370860000</v>
      </c>
      <c r="AG598">
        <v>2698270000</v>
      </c>
      <c r="AH598">
        <v>51730000</v>
      </c>
      <c r="AI598">
        <v>19710000</v>
      </c>
      <c r="AJ598">
        <v>1316670000</v>
      </c>
      <c r="AK598">
        <v>0</v>
      </c>
      <c r="AL598">
        <v>0.30123820026264853</v>
      </c>
    </row>
    <row r="599" spans="21:38">
      <c r="U599">
        <v>0</v>
      </c>
      <c r="V599">
        <v>139.80000000000001</v>
      </c>
      <c r="W599">
        <v>13.23</v>
      </c>
      <c r="X599">
        <f t="shared" si="9"/>
        <v>1.654185453832582</v>
      </c>
      <c r="Y599">
        <v>1000</v>
      </c>
      <c r="Z599">
        <v>140000000</v>
      </c>
      <c r="AA599">
        <v>13000</v>
      </c>
      <c r="AB599">
        <v>140000000</v>
      </c>
      <c r="AC599">
        <v>7.1428571428571427E-6</v>
      </c>
      <c r="AD599">
        <v>67142.12</v>
      </c>
      <c r="AE599">
        <v>0.216</v>
      </c>
      <c r="AF599">
        <v>4370860000</v>
      </c>
      <c r="AG599">
        <v>2698270000</v>
      </c>
      <c r="AH599">
        <v>51730000</v>
      </c>
      <c r="AI599">
        <v>19710000</v>
      </c>
      <c r="AJ599">
        <v>1316670000</v>
      </c>
      <c r="AK599">
        <v>0</v>
      </c>
      <c r="AL599">
        <v>0.30123820026264853</v>
      </c>
    </row>
    <row r="600" spans="21:38">
      <c r="U600">
        <v>7.7220077220076953E-3</v>
      </c>
      <c r="V600">
        <v>139.80000000000001</v>
      </c>
      <c r="W600">
        <v>13</v>
      </c>
      <c r="X600">
        <f t="shared" si="9"/>
        <v>1.6596858638743455</v>
      </c>
      <c r="Y600">
        <v>1000</v>
      </c>
      <c r="Z600">
        <v>140000000</v>
      </c>
      <c r="AA600">
        <v>13000</v>
      </c>
      <c r="AB600">
        <v>140000000</v>
      </c>
      <c r="AC600">
        <v>7.1428571428571427E-6</v>
      </c>
      <c r="AD600">
        <v>66547.789999999994</v>
      </c>
      <c r="AE600">
        <v>0.216</v>
      </c>
      <c r="AF600">
        <v>4370860000</v>
      </c>
      <c r="AG600">
        <v>2698270000</v>
      </c>
      <c r="AH600">
        <v>51730000</v>
      </c>
      <c r="AI600">
        <v>19710000</v>
      </c>
      <c r="AJ600">
        <v>1316670000</v>
      </c>
      <c r="AK600">
        <v>1.2019230769230727E-6</v>
      </c>
      <c r="AL600">
        <v>0.30123820026264853</v>
      </c>
    </row>
    <row r="601" spans="21:38">
      <c r="U601">
        <v>1.5748031496063079E-2</v>
      </c>
      <c r="V601">
        <v>139.80000000000001</v>
      </c>
      <c r="W601">
        <v>12.9</v>
      </c>
      <c r="X601">
        <f t="shared" si="9"/>
        <v>1.662082514734774</v>
      </c>
      <c r="Y601">
        <v>1500</v>
      </c>
      <c r="Z601">
        <v>140000000</v>
      </c>
      <c r="AA601">
        <v>19200</v>
      </c>
      <c r="AB601">
        <v>140000000</v>
      </c>
      <c r="AC601">
        <v>1.0714285714285714E-5</v>
      </c>
      <c r="AD601">
        <v>65906.28</v>
      </c>
      <c r="AE601">
        <v>0.216</v>
      </c>
      <c r="AF601">
        <v>4370860000</v>
      </c>
      <c r="AG601">
        <v>2698270000</v>
      </c>
      <c r="AH601">
        <v>51730000</v>
      </c>
      <c r="AI601">
        <v>19710000</v>
      </c>
      <c r="AJ601">
        <v>1316670000</v>
      </c>
      <c r="AK601">
        <v>4.1010498687664631E-7</v>
      </c>
      <c r="AL601">
        <v>0.30123820026264853</v>
      </c>
    </row>
    <row r="602" spans="21:38">
      <c r="U602">
        <v>7.8431372549020717E-3</v>
      </c>
      <c r="V602">
        <v>139.80000000000001</v>
      </c>
      <c r="W602">
        <v>12.78</v>
      </c>
      <c r="X602">
        <f t="shared" si="9"/>
        <v>1.6649626425481714</v>
      </c>
      <c r="Y602">
        <v>1000</v>
      </c>
      <c r="Z602">
        <v>140000000</v>
      </c>
      <c r="AA602">
        <v>12700</v>
      </c>
      <c r="AB602">
        <v>140000000</v>
      </c>
      <c r="AC602">
        <v>7.1428571428571427E-6</v>
      </c>
      <c r="AD602">
        <v>65525.65</v>
      </c>
      <c r="AE602">
        <v>0.216</v>
      </c>
      <c r="AF602">
        <v>4370860000</v>
      </c>
      <c r="AG602">
        <v>2698270000</v>
      </c>
      <c r="AH602">
        <v>51730000</v>
      </c>
      <c r="AI602">
        <v>19710000</v>
      </c>
      <c r="AJ602">
        <v>1316670000</v>
      </c>
      <c r="AK602">
        <v>0</v>
      </c>
      <c r="AL602">
        <v>0.30123820026264853</v>
      </c>
    </row>
    <row r="660" spans="2:38">
      <c r="B660" t="str" cm="1">
        <f t="array" ref="B660:B1288">'Post-Period'!G2:G630</f>
        <v>Relative high-low price</v>
      </c>
      <c r="C660" t="str" cm="1">
        <f t="array" ref="C660:C1288">'Post-Period'!H2:H630</f>
        <v>Ask price</v>
      </c>
      <c r="D660" t="str" cm="1">
        <f t="array" ref="D660:D1288">'Post-Period'!I2:I630</f>
        <v xml:space="preserve">Bid price </v>
      </c>
      <c r="E660" t="str" cm="1">
        <f t="array" ref="E660:E1288">'Post-Period'!J2:J630</f>
        <v xml:space="preserve">Relative Bid-Ask Spread </v>
      </c>
      <c r="F660" t="str" cm="1">
        <f t="array" ref="F660:F1288">'Post-Period'!K2:K630</f>
        <v>daily trading volume</v>
      </c>
      <c r="G660" t="str" cm="1">
        <f t="array" ref="G660:G1288">'Post-Period'!L2:L630</f>
        <v xml:space="preserve">Common shares outstanding </v>
      </c>
      <c r="H660" t="str" cm="1">
        <f t="array" ref="H660:H1288">'Post-Period'!M2:M630</f>
        <v xml:space="preserve">Trading value </v>
      </c>
      <c r="I660" t="str" cm="1">
        <f t="array" ref="I660:I1288">'Post-Period'!N2:N630</f>
        <v xml:space="preserve">free float shares </v>
      </c>
      <c r="J660" t="str" cm="1">
        <f t="array" ref="J660:J1288">'Post-Period'!O2:O630</f>
        <v>Turnover</v>
      </c>
      <c r="K660" t="str" cm="1">
        <f t="array" ref="K660:K1288">'Post-Period'!P2:P630</f>
        <v>Daily kse-100 index</v>
      </c>
      <c r="L660" t="str" cm="1">
        <f t="array" ref="L660:L1288">'Post-Period'!Q2:Q630</f>
        <v xml:space="preserve">Risk free rate </v>
      </c>
      <c r="M660" t="str" cm="1">
        <f t="array" ref="M660:M1288">'Post-Period'!R2:R630</f>
        <v xml:space="preserve">Total assets </v>
      </c>
      <c r="N660" t="str" cm="1">
        <f t="array" ref="N660:N1288">'Post-Period'!S2:S630</f>
        <v xml:space="preserve">Total liabilities </v>
      </c>
      <c r="O660" t="str" cm="1">
        <f t="array" ref="O660:O1288">'Post-Period'!T2:T630</f>
        <v>EBITDA</v>
      </c>
      <c r="P660" t="str" cm="1">
        <f t="array" ref="P660:P1288">'Post-Period'!U2:U630</f>
        <v xml:space="preserve">Cash and equivalents </v>
      </c>
      <c r="Q660" t="str" cm="1">
        <f t="array" ref="Q660:Q1288">'Post-Period'!V2:V630</f>
        <v xml:space="preserve">total debt </v>
      </c>
      <c r="R660" t="str" cm="1">
        <f t="array" ref="R660:R1288">'Post-Period'!W2:W630</f>
        <v>Amihud illiquidity ratio</v>
      </c>
      <c r="S660" t="str" cm="1">
        <f t="array" ref="S660:S1288">'Post-Period'!X2:X630</f>
        <v>Leverage ratio</v>
      </c>
      <c r="U660" t="s">
        <v>18</v>
      </c>
      <c r="V660" t="s">
        <v>12</v>
      </c>
      <c r="W660" t="s">
        <v>1</v>
      </c>
      <c r="X660" t="s">
        <v>19</v>
      </c>
      <c r="Y660" t="s">
        <v>2</v>
      </c>
      <c r="Z660" t="s">
        <v>3</v>
      </c>
      <c r="AA660" t="s">
        <v>20</v>
      </c>
      <c r="AB660" t="s">
        <v>4</v>
      </c>
      <c r="AC660" t="s">
        <v>21</v>
      </c>
      <c r="AD660" t="s">
        <v>5</v>
      </c>
      <c r="AE660" t="s">
        <v>6</v>
      </c>
      <c r="AF660" t="s">
        <v>7</v>
      </c>
      <c r="AG660" t="s">
        <v>58</v>
      </c>
      <c r="AH660" t="s">
        <v>9</v>
      </c>
      <c r="AI660" t="s">
        <v>10</v>
      </c>
      <c r="AJ660" t="s">
        <v>11</v>
      </c>
      <c r="AK660" t="s">
        <v>73</v>
      </c>
      <c r="AL660" t="s">
        <v>72</v>
      </c>
    </row>
    <row r="661" spans="2:38">
      <c r="B661">
        <v>0.11286089238845147</v>
      </c>
      <c r="C661">
        <v>7.49</v>
      </c>
      <c r="D661">
        <v>7.45</v>
      </c>
      <c r="E661">
        <v>5.3547523427041541E-3</v>
      </c>
      <c r="F661">
        <v>34345</v>
      </c>
      <c r="G661">
        <v>12600000</v>
      </c>
      <c r="H661">
        <v>250375.05</v>
      </c>
      <c r="I661">
        <v>67783446</v>
      </c>
      <c r="J661">
        <v>5.0668713420087851E-4</v>
      </c>
      <c r="K661">
        <v>82074.45</v>
      </c>
      <c r="L661">
        <v>0.1741</v>
      </c>
      <c r="M661">
        <v>114900000</v>
      </c>
      <c r="N661">
        <v>371000000</v>
      </c>
      <c r="O661">
        <v>-16970000</v>
      </c>
      <c r="P661">
        <v>9650000</v>
      </c>
      <c r="Q661">
        <v>10010000</v>
      </c>
      <c r="R661">
        <v>3.083981006630563E-7</v>
      </c>
      <c r="S661">
        <v>8.7119234116623145E-2</v>
      </c>
      <c r="U661">
        <v>0.11286089238845147</v>
      </c>
      <c r="V661">
        <v>7.49</v>
      </c>
      <c r="W661">
        <v>7.45</v>
      </c>
      <c r="X661">
        <f>(V661-W661)/AVERAGE(V661:W661)</f>
        <v>5.3547523427041541E-3</v>
      </c>
      <c r="Y661">
        <v>34345</v>
      </c>
      <c r="Z661">
        <v>12600000</v>
      </c>
      <c r="AA661">
        <v>250375.05</v>
      </c>
      <c r="AB661">
        <v>67783446</v>
      </c>
      <c r="AC661">
        <v>5.0668713420087851E-4</v>
      </c>
      <c r="AD661">
        <v>82074.45</v>
      </c>
      <c r="AE661">
        <v>0.1741</v>
      </c>
      <c r="AF661">
        <v>114900000</v>
      </c>
      <c r="AG661">
        <v>3710000</v>
      </c>
      <c r="AH661">
        <v>-16970000</v>
      </c>
      <c r="AI661">
        <v>9650000</v>
      </c>
      <c r="AJ661">
        <v>10010000</v>
      </c>
      <c r="AK661">
        <v>3.083981006630563E-7</v>
      </c>
      <c r="AL661">
        <v>8.7119234116623145E-2</v>
      </c>
    </row>
    <row r="662" spans="2:38">
      <c r="B662">
        <v>0.13197969543147206</v>
      </c>
      <c r="C662">
        <v>7.99</v>
      </c>
      <c r="D662">
        <v>7.86</v>
      </c>
      <c r="E662">
        <v>1.6403785488958975E-2</v>
      </c>
      <c r="F662">
        <v>1028909</v>
      </c>
      <c r="G662">
        <v>12600000</v>
      </c>
      <c r="H662">
        <v>8128381.1000000006</v>
      </c>
      <c r="I662">
        <v>67783446</v>
      </c>
      <c r="J662">
        <v>1.5179355148158151E-2</v>
      </c>
      <c r="K662">
        <v>81459.289999999994</v>
      </c>
      <c r="L662">
        <v>0.1741</v>
      </c>
      <c r="M662">
        <v>114900000</v>
      </c>
      <c r="N662">
        <v>371000000</v>
      </c>
      <c r="O662">
        <v>-16970000</v>
      </c>
      <c r="P662">
        <v>9650000</v>
      </c>
      <c r="Q662">
        <v>10010000</v>
      </c>
      <c r="R662">
        <v>2.7056110882442726E-9</v>
      </c>
      <c r="S662">
        <v>8.7119234116623145E-2</v>
      </c>
      <c r="U662">
        <v>0.13197969543147206</v>
      </c>
      <c r="V662">
        <v>7.99</v>
      </c>
      <c r="W662">
        <v>7.86</v>
      </c>
      <c r="X662">
        <f t="shared" ref="X662:X725" si="10">(V662-W662)/AVERAGE(V662:W662)</f>
        <v>1.6403785488958975E-2</v>
      </c>
      <c r="Y662">
        <v>1028909</v>
      </c>
      <c r="Z662">
        <v>12600000</v>
      </c>
      <c r="AA662">
        <v>8128381.1000000006</v>
      </c>
      <c r="AB662">
        <v>67783446</v>
      </c>
      <c r="AC662">
        <v>1.5179355148158151E-2</v>
      </c>
      <c r="AD662">
        <v>81459.289999999994</v>
      </c>
      <c r="AE662">
        <v>0.1741</v>
      </c>
      <c r="AF662">
        <v>114900000</v>
      </c>
      <c r="AG662">
        <v>3710000</v>
      </c>
      <c r="AH662">
        <v>-16970000</v>
      </c>
      <c r="AI662">
        <v>9650000</v>
      </c>
      <c r="AJ662">
        <v>10010000</v>
      </c>
      <c r="AK662">
        <v>2.7056110882442726E-9</v>
      </c>
      <c r="AL662">
        <v>8.7119234116623145E-2</v>
      </c>
    </row>
    <row r="663" spans="2:38">
      <c r="B663">
        <v>0.24872727272727285</v>
      </c>
      <c r="C663">
        <v>0</v>
      </c>
      <c r="D663">
        <v>7.73</v>
      </c>
      <c r="E663">
        <v>-1</v>
      </c>
      <c r="F663">
        <v>767825</v>
      </c>
      <c r="G663">
        <v>12600000</v>
      </c>
      <c r="H663">
        <v>5935287.25</v>
      </c>
      <c r="I663">
        <v>67783446</v>
      </c>
      <c r="J663">
        <v>1.1327618250627152E-2</v>
      </c>
      <c r="K663">
        <v>80461.34</v>
      </c>
      <c r="L663">
        <v>0.1741</v>
      </c>
      <c r="M663">
        <v>114900000</v>
      </c>
      <c r="N663">
        <v>371000000</v>
      </c>
      <c r="O663">
        <v>-16970000</v>
      </c>
      <c r="P663">
        <v>9650000</v>
      </c>
      <c r="Q663">
        <v>10010000</v>
      </c>
      <c r="R663">
        <v>2.5034746229681114E-8</v>
      </c>
      <c r="S663">
        <v>8.7119234116623145E-2</v>
      </c>
      <c r="U663">
        <v>0.24872727272727285</v>
      </c>
      <c r="V663">
        <v>7.99</v>
      </c>
      <c r="W663">
        <v>7.73</v>
      </c>
      <c r="X663">
        <f t="shared" si="10"/>
        <v>3.3078880407124651E-2</v>
      </c>
      <c r="Y663">
        <v>767825</v>
      </c>
      <c r="Z663">
        <v>12600000</v>
      </c>
      <c r="AA663">
        <v>5935287.25</v>
      </c>
      <c r="AB663">
        <v>67783446</v>
      </c>
      <c r="AC663">
        <v>1.1327618250627152E-2</v>
      </c>
      <c r="AD663">
        <v>80461.34</v>
      </c>
      <c r="AE663">
        <v>0.1741</v>
      </c>
      <c r="AF663">
        <v>114900000</v>
      </c>
      <c r="AG663">
        <v>3710000</v>
      </c>
      <c r="AH663">
        <v>-16970000</v>
      </c>
      <c r="AI663">
        <v>9650000</v>
      </c>
      <c r="AJ663">
        <v>10010000</v>
      </c>
      <c r="AK663">
        <v>2.5034746229681114E-8</v>
      </c>
      <c r="AL663">
        <v>8.7119234116623145E-2</v>
      </c>
    </row>
    <row r="664" spans="2:38">
      <c r="B664">
        <v>7.1005917159763385E-2</v>
      </c>
      <c r="C664">
        <v>6.85</v>
      </c>
      <c r="D664">
        <v>6.73</v>
      </c>
      <c r="E664">
        <v>1.7673048600883538E-2</v>
      </c>
      <c r="F664">
        <v>59844</v>
      </c>
      <c r="G664">
        <v>12600000</v>
      </c>
      <c r="H664">
        <v>402750.12000000005</v>
      </c>
      <c r="I664">
        <v>67783446</v>
      </c>
      <c r="J664">
        <v>8.8287042827536386E-4</v>
      </c>
      <c r="K664">
        <v>79491.14</v>
      </c>
      <c r="L664">
        <v>0.1741</v>
      </c>
      <c r="M664">
        <v>114900000</v>
      </c>
      <c r="N664">
        <v>371000000</v>
      </c>
      <c r="O664">
        <v>-16970000</v>
      </c>
      <c r="P664">
        <v>9650000</v>
      </c>
      <c r="Q664">
        <v>10010000</v>
      </c>
      <c r="R664">
        <v>1.0257114587710411E-7</v>
      </c>
      <c r="S664">
        <v>8.7119234116623145E-2</v>
      </c>
      <c r="U664">
        <v>7.1005917159763385E-2</v>
      </c>
      <c r="V664">
        <v>6.85</v>
      </c>
      <c r="W664">
        <v>6.73</v>
      </c>
      <c r="X664">
        <f t="shared" si="10"/>
        <v>1.7673048600883538E-2</v>
      </c>
      <c r="Y664">
        <v>59844</v>
      </c>
      <c r="Z664">
        <v>12600000</v>
      </c>
      <c r="AA664">
        <v>402750.12000000005</v>
      </c>
      <c r="AB664">
        <v>67783446</v>
      </c>
      <c r="AC664">
        <v>8.8287042827536386E-4</v>
      </c>
      <c r="AD664">
        <v>79491.14</v>
      </c>
      <c r="AE664">
        <v>0.1741</v>
      </c>
      <c r="AF664">
        <v>114900000</v>
      </c>
      <c r="AG664">
        <v>3710000</v>
      </c>
      <c r="AH664">
        <v>-16970000</v>
      </c>
      <c r="AI664">
        <v>9650000</v>
      </c>
      <c r="AJ664">
        <v>10010000</v>
      </c>
      <c r="AK664">
        <v>1.0257114587710411E-7</v>
      </c>
      <c r="AL664">
        <v>8.7119234116623145E-2</v>
      </c>
    </row>
    <row r="665" spans="2:38">
      <c r="B665">
        <v>0.18154981549815491</v>
      </c>
      <c r="C665">
        <v>7.18</v>
      </c>
      <c r="D665">
        <v>7</v>
      </c>
      <c r="E665">
        <v>2.5387870239774291E-2</v>
      </c>
      <c r="F665">
        <v>88671</v>
      </c>
      <c r="G665">
        <v>12600000</v>
      </c>
      <c r="H665">
        <v>622470.41999999993</v>
      </c>
      <c r="I665">
        <v>67783446</v>
      </c>
      <c r="J665">
        <v>1.3081512556915446E-3</v>
      </c>
      <c r="K665">
        <v>79333.06</v>
      </c>
      <c r="L665">
        <v>0.1741</v>
      </c>
      <c r="M665">
        <v>114900000</v>
      </c>
      <c r="N665">
        <v>371000000</v>
      </c>
      <c r="O665">
        <v>-16970000</v>
      </c>
      <c r="P665">
        <v>9650000</v>
      </c>
      <c r="Q665">
        <v>10010000</v>
      </c>
      <c r="R665">
        <v>2.7000034297333596E-8</v>
      </c>
      <c r="S665">
        <v>8.7119234116623145E-2</v>
      </c>
      <c r="U665">
        <v>0.18154981549815491</v>
      </c>
      <c r="V665">
        <v>7.18</v>
      </c>
      <c r="W665">
        <v>7</v>
      </c>
      <c r="X665">
        <f t="shared" si="10"/>
        <v>2.5387870239774291E-2</v>
      </c>
      <c r="Y665">
        <v>88671</v>
      </c>
      <c r="Z665">
        <v>12600000</v>
      </c>
      <c r="AA665">
        <v>622470.41999999993</v>
      </c>
      <c r="AB665">
        <v>67783446</v>
      </c>
      <c r="AC665">
        <v>1.3081512556915446E-3</v>
      </c>
      <c r="AD665">
        <v>79333.06</v>
      </c>
      <c r="AE665">
        <v>0.1741</v>
      </c>
      <c r="AF665">
        <v>114900000</v>
      </c>
      <c r="AG665">
        <v>3710000</v>
      </c>
      <c r="AH665">
        <v>-16970000</v>
      </c>
      <c r="AI665">
        <v>9650000</v>
      </c>
      <c r="AJ665">
        <v>10010000</v>
      </c>
      <c r="AK665">
        <v>2.7000034297333596E-8</v>
      </c>
      <c r="AL665">
        <v>8.7119234116623145E-2</v>
      </c>
    </row>
    <row r="666" spans="2:38">
      <c r="B666">
        <v>7.428170988086899E-2</v>
      </c>
      <c r="C666">
        <v>7.3</v>
      </c>
      <c r="D666">
        <v>7.05</v>
      </c>
      <c r="E666">
        <v>3.484320557491289E-2</v>
      </c>
      <c r="F666">
        <v>117295</v>
      </c>
      <c r="G666">
        <v>12600000</v>
      </c>
      <c r="H666">
        <v>837486.29999999993</v>
      </c>
      <c r="I666">
        <v>67783446</v>
      </c>
      <c r="J666">
        <v>1.7304372515967983E-3</v>
      </c>
      <c r="K666">
        <v>79017.62</v>
      </c>
      <c r="L666">
        <v>0.1741</v>
      </c>
      <c r="M666">
        <v>114900000</v>
      </c>
      <c r="N666">
        <v>371000000</v>
      </c>
      <c r="O666">
        <v>-16970000</v>
      </c>
      <c r="P666">
        <v>9650000</v>
      </c>
      <c r="Q666">
        <v>10010000</v>
      </c>
      <c r="R666">
        <v>1.6746835669783413E-9</v>
      </c>
      <c r="S666">
        <v>8.7119234116623145E-2</v>
      </c>
      <c r="U666">
        <v>7.428170988086899E-2</v>
      </c>
      <c r="V666">
        <v>7.3</v>
      </c>
      <c r="W666">
        <v>7.05</v>
      </c>
      <c r="X666">
        <f t="shared" si="10"/>
        <v>3.484320557491289E-2</v>
      </c>
      <c r="Y666">
        <v>117295</v>
      </c>
      <c r="Z666">
        <v>12600000</v>
      </c>
      <c r="AA666">
        <v>837486.29999999993</v>
      </c>
      <c r="AB666">
        <v>67783446</v>
      </c>
      <c r="AC666">
        <v>1.7304372515967983E-3</v>
      </c>
      <c r="AD666">
        <v>79017.62</v>
      </c>
      <c r="AE666">
        <v>0.1741</v>
      </c>
      <c r="AF666">
        <v>114900000</v>
      </c>
      <c r="AG666">
        <v>3710000</v>
      </c>
      <c r="AH666">
        <v>-16970000</v>
      </c>
      <c r="AI666">
        <v>9650000</v>
      </c>
      <c r="AJ666">
        <v>10010000</v>
      </c>
      <c r="AK666">
        <v>1.6746835669783413E-9</v>
      </c>
      <c r="AL666">
        <v>8.7119234116623145E-2</v>
      </c>
    </row>
    <row r="667" spans="2:38">
      <c r="B667">
        <v>9.1872791519434671E-2</v>
      </c>
      <c r="C667">
        <v>7.1</v>
      </c>
      <c r="D667">
        <v>7</v>
      </c>
      <c r="E667">
        <v>1.4184397163120517E-2</v>
      </c>
      <c r="F667">
        <v>15087</v>
      </c>
      <c r="G667">
        <v>12600000</v>
      </c>
      <c r="H667">
        <v>107570.31</v>
      </c>
      <c r="I667">
        <v>67783446</v>
      </c>
      <c r="J667">
        <v>2.2257646800665756E-4</v>
      </c>
      <c r="K667">
        <v>78651.8</v>
      </c>
      <c r="L667">
        <v>0.1741</v>
      </c>
      <c r="M667">
        <v>114900000</v>
      </c>
      <c r="N667">
        <v>371000000</v>
      </c>
      <c r="O667">
        <v>-16970000</v>
      </c>
      <c r="P667">
        <v>9650000</v>
      </c>
      <c r="Q667">
        <v>10010000</v>
      </c>
      <c r="R667">
        <v>1.054893095548062E-7</v>
      </c>
      <c r="S667">
        <v>8.7119234116623145E-2</v>
      </c>
      <c r="U667">
        <v>9.1872791519434671E-2</v>
      </c>
      <c r="V667">
        <v>7.1</v>
      </c>
      <c r="W667">
        <v>7</v>
      </c>
      <c r="X667">
        <f t="shared" si="10"/>
        <v>1.4184397163120517E-2</v>
      </c>
      <c r="Y667">
        <v>15087</v>
      </c>
      <c r="Z667">
        <v>12600000</v>
      </c>
      <c r="AA667">
        <v>107570.31</v>
      </c>
      <c r="AB667">
        <v>67783446</v>
      </c>
      <c r="AC667">
        <v>2.2257646800665756E-4</v>
      </c>
      <c r="AD667">
        <v>78651.8</v>
      </c>
      <c r="AE667">
        <v>0.1741</v>
      </c>
      <c r="AF667">
        <v>114900000</v>
      </c>
      <c r="AG667">
        <v>3710000</v>
      </c>
      <c r="AH667">
        <v>-16970000</v>
      </c>
      <c r="AI667">
        <v>9650000</v>
      </c>
      <c r="AJ667">
        <v>10010000</v>
      </c>
      <c r="AK667">
        <v>1.054893095548062E-7</v>
      </c>
      <c r="AL667">
        <v>8.7119234116623145E-2</v>
      </c>
    </row>
    <row r="668" spans="2:38">
      <c r="B668">
        <v>0.112482853223594</v>
      </c>
      <c r="C668">
        <v>7.29</v>
      </c>
      <c r="D668">
        <v>7.04</v>
      </c>
      <c r="E668">
        <v>3.4891835310537335E-2</v>
      </c>
      <c r="F668">
        <v>73066</v>
      </c>
      <c r="G668">
        <v>12600000</v>
      </c>
      <c r="H668">
        <v>515115.3</v>
      </c>
      <c r="I668">
        <v>67783446</v>
      </c>
      <c r="J668">
        <v>1.0779328038294188E-3</v>
      </c>
      <c r="K668">
        <v>79286.740000000005</v>
      </c>
      <c r="L668">
        <v>0.1741</v>
      </c>
      <c r="M668">
        <v>114900000</v>
      </c>
      <c r="N668">
        <v>371000000</v>
      </c>
      <c r="O668">
        <v>-16970000</v>
      </c>
      <c r="P668">
        <v>9650000</v>
      </c>
      <c r="Q668">
        <v>10010000</v>
      </c>
      <c r="R668">
        <v>8.1767257189587215E-8</v>
      </c>
      <c r="S668">
        <v>8.7119234116623145E-2</v>
      </c>
      <c r="U668">
        <v>0.112482853223594</v>
      </c>
      <c r="V668">
        <v>7.29</v>
      </c>
      <c r="W668">
        <v>7.04</v>
      </c>
      <c r="X668">
        <f t="shared" si="10"/>
        <v>3.4891835310537335E-2</v>
      </c>
      <c r="Y668">
        <v>73066</v>
      </c>
      <c r="Z668">
        <v>12600000</v>
      </c>
      <c r="AA668">
        <v>515115.3</v>
      </c>
      <c r="AB668">
        <v>67783446</v>
      </c>
      <c r="AC668">
        <v>1.0779328038294188E-3</v>
      </c>
      <c r="AD668">
        <v>79286.740000000005</v>
      </c>
      <c r="AE668">
        <v>0.1741</v>
      </c>
      <c r="AF668">
        <v>114900000</v>
      </c>
      <c r="AG668">
        <v>3710000</v>
      </c>
      <c r="AH668">
        <v>-16970000</v>
      </c>
      <c r="AI668">
        <v>9650000</v>
      </c>
      <c r="AJ668">
        <v>10010000</v>
      </c>
      <c r="AK668">
        <v>8.1767257189587215E-8</v>
      </c>
      <c r="AL668">
        <v>8.7119234116623145E-2</v>
      </c>
    </row>
    <row r="669" spans="2:38">
      <c r="B669">
        <v>7.8328981723237545E-2</v>
      </c>
      <c r="C669">
        <v>7.69</v>
      </c>
      <c r="D669">
        <v>7.36</v>
      </c>
      <c r="E669">
        <v>4.3853820598006653E-2</v>
      </c>
      <c r="F669">
        <v>8140</v>
      </c>
      <c r="G669">
        <v>12600000</v>
      </c>
      <c r="H669">
        <v>59910.400000000001</v>
      </c>
      <c r="I669">
        <v>67783446</v>
      </c>
      <c r="J669">
        <v>1.2008831772878587E-4</v>
      </c>
      <c r="K669">
        <v>78615</v>
      </c>
      <c r="L669">
        <v>0.1741</v>
      </c>
      <c r="M669">
        <v>114900000</v>
      </c>
      <c r="N669">
        <v>371000000</v>
      </c>
      <c r="O669">
        <v>-16970000</v>
      </c>
      <c r="P669">
        <v>9650000</v>
      </c>
      <c r="Q669">
        <v>10010000</v>
      </c>
      <c r="R669">
        <v>1.1416958124862885E-7</v>
      </c>
      <c r="S669">
        <v>8.7119234116623145E-2</v>
      </c>
      <c r="U669">
        <v>7.8328981723237545E-2</v>
      </c>
      <c r="V669">
        <v>7.69</v>
      </c>
      <c r="W669">
        <v>7.36</v>
      </c>
      <c r="X669">
        <f t="shared" si="10"/>
        <v>4.3853820598006653E-2</v>
      </c>
      <c r="Y669">
        <v>8140</v>
      </c>
      <c r="Z669">
        <v>12600000</v>
      </c>
      <c r="AA669">
        <v>59910.400000000001</v>
      </c>
      <c r="AB669">
        <v>67783446</v>
      </c>
      <c r="AC669">
        <v>1.2008831772878587E-4</v>
      </c>
      <c r="AD669">
        <v>78615</v>
      </c>
      <c r="AE669">
        <v>0.1741</v>
      </c>
      <c r="AF669">
        <v>114900000</v>
      </c>
      <c r="AG669">
        <v>3710000</v>
      </c>
      <c r="AH669">
        <v>-16970000</v>
      </c>
      <c r="AI669">
        <v>9650000</v>
      </c>
      <c r="AJ669">
        <v>10010000</v>
      </c>
      <c r="AK669">
        <v>1.1416958124862885E-7</v>
      </c>
      <c r="AL669">
        <v>8.7119234116623145E-2</v>
      </c>
    </row>
    <row r="670" spans="2:38">
      <c r="B670">
        <v>5.8510638297872397E-2</v>
      </c>
      <c r="C670">
        <v>7.58</v>
      </c>
      <c r="D670">
        <v>7.5</v>
      </c>
      <c r="E670">
        <v>1.0610079575596827E-2</v>
      </c>
      <c r="F670">
        <v>46958</v>
      </c>
      <c r="G670">
        <v>12600000</v>
      </c>
      <c r="H670">
        <v>343262.98</v>
      </c>
      <c r="I670">
        <v>67783446</v>
      </c>
      <c r="J670">
        <v>6.9276501522215321E-4</v>
      </c>
      <c r="K670">
        <v>78897.73</v>
      </c>
      <c r="L670">
        <v>0.1741</v>
      </c>
      <c r="M670">
        <v>114900000</v>
      </c>
      <c r="N670">
        <v>371000000</v>
      </c>
      <c r="O670">
        <v>-16970000</v>
      </c>
      <c r="P670">
        <v>9650000</v>
      </c>
      <c r="Q670">
        <v>10010000</v>
      </c>
      <c r="R670">
        <v>1.3673514904731335E-7</v>
      </c>
      <c r="S670">
        <v>8.7119234116623145E-2</v>
      </c>
      <c r="U670">
        <v>5.8510638297872397E-2</v>
      </c>
      <c r="V670">
        <v>7.58</v>
      </c>
      <c r="W670">
        <v>7.5</v>
      </c>
      <c r="X670">
        <f t="shared" si="10"/>
        <v>1.0610079575596827E-2</v>
      </c>
      <c r="Y670">
        <v>46958</v>
      </c>
      <c r="Z670">
        <v>12600000</v>
      </c>
      <c r="AA670">
        <v>343262.98</v>
      </c>
      <c r="AB670">
        <v>67783446</v>
      </c>
      <c r="AC670">
        <v>6.9276501522215321E-4</v>
      </c>
      <c r="AD670">
        <v>78897.73</v>
      </c>
      <c r="AE670">
        <v>0.1741</v>
      </c>
      <c r="AF670">
        <v>114900000</v>
      </c>
      <c r="AG670">
        <v>3710000</v>
      </c>
      <c r="AH670">
        <v>-16970000</v>
      </c>
      <c r="AI670">
        <v>9650000</v>
      </c>
      <c r="AJ670">
        <v>10010000</v>
      </c>
      <c r="AK670">
        <v>1.3673514904731335E-7</v>
      </c>
      <c r="AL670">
        <v>8.7119234116623145E-2</v>
      </c>
    </row>
    <row r="671" spans="2:38">
      <c r="B671">
        <v>8.564231738035262E-2</v>
      </c>
      <c r="C671">
        <v>7.75</v>
      </c>
      <c r="D671">
        <v>7.62</v>
      </c>
      <c r="E671">
        <v>1.6916070266753402E-2</v>
      </c>
      <c r="F671">
        <v>480319</v>
      </c>
      <c r="G671">
        <v>12600000</v>
      </c>
      <c r="H671">
        <v>3684046.73</v>
      </c>
      <c r="I671">
        <v>67783446</v>
      </c>
      <c r="J671">
        <v>7.0860811650089311E-3</v>
      </c>
      <c r="K671">
        <v>78863.34</v>
      </c>
      <c r="L671">
        <v>0.1741</v>
      </c>
      <c r="M671">
        <v>114900000</v>
      </c>
      <c r="N671">
        <v>371000000</v>
      </c>
      <c r="O671">
        <v>-16970000</v>
      </c>
      <c r="P671">
        <v>9650000</v>
      </c>
      <c r="Q671">
        <v>10010000</v>
      </c>
      <c r="R671">
        <v>1.3773596801641482E-8</v>
      </c>
      <c r="S671">
        <v>8.7119234116623145E-2</v>
      </c>
      <c r="U671">
        <v>8.564231738035262E-2</v>
      </c>
      <c r="V671">
        <v>7.75</v>
      </c>
      <c r="W671">
        <v>7.62</v>
      </c>
      <c r="X671">
        <f t="shared" si="10"/>
        <v>1.6916070266753402E-2</v>
      </c>
      <c r="Y671">
        <v>480319</v>
      </c>
      <c r="Z671">
        <v>12600000</v>
      </c>
      <c r="AA671">
        <v>3684046.73</v>
      </c>
      <c r="AB671">
        <v>67783446</v>
      </c>
      <c r="AC671">
        <v>7.0860811650089311E-3</v>
      </c>
      <c r="AD671">
        <v>78863.34</v>
      </c>
      <c r="AE671">
        <v>0.1741</v>
      </c>
      <c r="AF671">
        <v>114900000</v>
      </c>
      <c r="AG671">
        <v>3710000</v>
      </c>
      <c r="AH671">
        <v>-16970000</v>
      </c>
      <c r="AI671">
        <v>9650000</v>
      </c>
      <c r="AJ671">
        <v>10010000</v>
      </c>
      <c r="AK671">
        <v>1.3773596801641482E-8</v>
      </c>
      <c r="AL671">
        <v>8.7119234116623145E-2</v>
      </c>
    </row>
    <row r="672" spans="2:38">
      <c r="B672">
        <v>8.0996884735202418E-2</v>
      </c>
      <c r="C672">
        <v>8.19</v>
      </c>
      <c r="D672">
        <v>8.01</v>
      </c>
      <c r="E672">
        <v>2.2222222222222188E-2</v>
      </c>
      <c r="F672">
        <v>449952</v>
      </c>
      <c r="G672">
        <v>12600000</v>
      </c>
      <c r="H672">
        <v>3635612.16</v>
      </c>
      <c r="I672">
        <v>67783446</v>
      </c>
      <c r="J672">
        <v>6.6380809261305483E-3</v>
      </c>
      <c r="K672">
        <v>78848.009999999995</v>
      </c>
      <c r="L672">
        <v>0.1741</v>
      </c>
      <c r="M672">
        <v>114900000</v>
      </c>
      <c r="N672">
        <v>371000000</v>
      </c>
      <c r="O672">
        <v>-16970000</v>
      </c>
      <c r="P672">
        <v>9650000</v>
      </c>
      <c r="Q672">
        <v>10010000</v>
      </c>
      <c r="R672">
        <v>1.1712097794636689E-8</v>
      </c>
      <c r="S672">
        <v>8.7119234116623145E-2</v>
      </c>
      <c r="U672">
        <v>8.0996884735202418E-2</v>
      </c>
      <c r="V672">
        <v>8.19</v>
      </c>
      <c r="W672">
        <v>8.01</v>
      </c>
      <c r="X672">
        <f t="shared" si="10"/>
        <v>2.2222222222222188E-2</v>
      </c>
      <c r="Y672">
        <v>449952</v>
      </c>
      <c r="Z672">
        <v>12600000</v>
      </c>
      <c r="AA672">
        <v>3635612.16</v>
      </c>
      <c r="AB672">
        <v>67783446</v>
      </c>
      <c r="AC672">
        <v>6.6380809261305483E-3</v>
      </c>
      <c r="AD672">
        <v>78848.009999999995</v>
      </c>
      <c r="AE672">
        <v>0.1741</v>
      </c>
      <c r="AF672">
        <v>114900000</v>
      </c>
      <c r="AG672">
        <v>3710000</v>
      </c>
      <c r="AH672">
        <v>-16970000</v>
      </c>
      <c r="AI672">
        <v>9650000</v>
      </c>
      <c r="AJ672">
        <v>10010000</v>
      </c>
      <c r="AK672">
        <v>1.1712097794636689E-8</v>
      </c>
      <c r="AL672">
        <v>8.7119234116623145E-2</v>
      </c>
    </row>
    <row r="673" spans="2:38">
      <c r="B673">
        <v>7.7922077922077879E-2</v>
      </c>
      <c r="C673">
        <v>7.9</v>
      </c>
      <c r="D673">
        <v>7.75</v>
      </c>
      <c r="E673">
        <v>1.9169329073482472E-2</v>
      </c>
      <c r="F673">
        <v>112754</v>
      </c>
      <c r="G673">
        <v>12600000</v>
      </c>
      <c r="H673">
        <v>873843.5</v>
      </c>
      <c r="I673">
        <v>67783446</v>
      </c>
      <c r="J673">
        <v>1.663444493512472E-3</v>
      </c>
      <c r="K673">
        <v>78356.320000000007</v>
      </c>
      <c r="L673">
        <v>0.17469999999999999</v>
      </c>
      <c r="M673">
        <v>114900000</v>
      </c>
      <c r="N673">
        <v>371000000</v>
      </c>
      <c r="O673">
        <v>-16970000</v>
      </c>
      <c r="P673">
        <v>9650000</v>
      </c>
      <c r="Q673">
        <v>10010000</v>
      </c>
      <c r="R673">
        <v>3.8145655753385284E-8</v>
      </c>
      <c r="S673">
        <v>8.7119234116623145E-2</v>
      </c>
      <c r="U673">
        <v>7.7922077922077879E-2</v>
      </c>
      <c r="V673">
        <v>7.9</v>
      </c>
      <c r="W673">
        <v>7.75</v>
      </c>
      <c r="X673">
        <f t="shared" si="10"/>
        <v>1.9169329073482472E-2</v>
      </c>
      <c r="Y673">
        <v>112754</v>
      </c>
      <c r="Z673">
        <v>12600000</v>
      </c>
      <c r="AA673">
        <v>873843.5</v>
      </c>
      <c r="AB673">
        <v>67783446</v>
      </c>
      <c r="AC673">
        <v>1.663444493512472E-3</v>
      </c>
      <c r="AD673">
        <v>78356.320000000007</v>
      </c>
      <c r="AE673">
        <v>0.17469999999999999</v>
      </c>
      <c r="AF673">
        <v>114900000</v>
      </c>
      <c r="AG673">
        <v>3710000</v>
      </c>
      <c r="AH673">
        <v>-16970000</v>
      </c>
      <c r="AI673">
        <v>9650000</v>
      </c>
      <c r="AJ673">
        <v>10010000</v>
      </c>
      <c r="AK673">
        <v>3.8145655753385284E-8</v>
      </c>
      <c r="AL673">
        <v>8.7119234116623145E-2</v>
      </c>
    </row>
    <row r="674" spans="2:38">
      <c r="B674">
        <v>0.10401579986833442</v>
      </c>
      <c r="C674">
        <v>7.5</v>
      </c>
      <c r="D674">
        <v>7.3</v>
      </c>
      <c r="E674">
        <v>2.7027027027027049E-2</v>
      </c>
      <c r="F674">
        <v>191112</v>
      </c>
      <c r="G674">
        <v>12600000</v>
      </c>
      <c r="H674">
        <v>1433340</v>
      </c>
      <c r="I674">
        <v>67783446</v>
      </c>
      <c r="J674">
        <v>2.8194494567301874E-3</v>
      </c>
      <c r="K674">
        <v>78283.3</v>
      </c>
      <c r="L674">
        <v>0.17469999999999999</v>
      </c>
      <c r="M674">
        <v>114900000</v>
      </c>
      <c r="N674">
        <v>371000000</v>
      </c>
      <c r="O674">
        <v>-16970000</v>
      </c>
      <c r="P674">
        <v>9650000</v>
      </c>
      <c r="Q674">
        <v>10010000</v>
      </c>
      <c r="R674">
        <v>1.4572766028667339E-8</v>
      </c>
      <c r="S674">
        <v>8.7119234116623145E-2</v>
      </c>
      <c r="U674">
        <v>0.10401579986833442</v>
      </c>
      <c r="V674">
        <v>7.5</v>
      </c>
      <c r="W674">
        <v>7.3</v>
      </c>
      <c r="X674">
        <f t="shared" si="10"/>
        <v>2.7027027027027049E-2</v>
      </c>
      <c r="Y674">
        <v>191112</v>
      </c>
      <c r="Z674">
        <v>12600000</v>
      </c>
      <c r="AA674">
        <v>1433340</v>
      </c>
      <c r="AB674">
        <v>67783446</v>
      </c>
      <c r="AC674">
        <v>2.8194494567301874E-3</v>
      </c>
      <c r="AD674">
        <v>78283.3</v>
      </c>
      <c r="AE674">
        <v>0.17469999999999999</v>
      </c>
      <c r="AF674">
        <v>114900000</v>
      </c>
      <c r="AG674">
        <v>3710000</v>
      </c>
      <c r="AH674">
        <v>-16970000</v>
      </c>
      <c r="AI674">
        <v>9650000</v>
      </c>
      <c r="AJ674">
        <v>10010000</v>
      </c>
      <c r="AK674">
        <v>1.4572766028667339E-8</v>
      </c>
      <c r="AL674">
        <v>8.7119234116623145E-2</v>
      </c>
    </row>
    <row r="675" spans="2:38">
      <c r="B675">
        <v>0.10006333122229248</v>
      </c>
      <c r="C675">
        <v>7.7</v>
      </c>
      <c r="D675">
        <v>7.56</v>
      </c>
      <c r="E675">
        <v>1.8348623853211083E-2</v>
      </c>
      <c r="F675">
        <v>192293</v>
      </c>
      <c r="G675">
        <v>12600000</v>
      </c>
      <c r="H675">
        <v>1472964.3800000001</v>
      </c>
      <c r="I675">
        <v>67783446</v>
      </c>
      <c r="J675">
        <v>2.8368725898060714E-3</v>
      </c>
      <c r="K675">
        <v>78488.22</v>
      </c>
      <c r="L675">
        <v>0.17469999999999999</v>
      </c>
      <c r="M675">
        <v>114900000</v>
      </c>
      <c r="N675">
        <v>371000000</v>
      </c>
      <c r="O675">
        <v>-16970000</v>
      </c>
      <c r="P675">
        <v>9650000</v>
      </c>
      <c r="Q675">
        <v>10010000</v>
      </c>
      <c r="R675">
        <v>3.2087457262231744E-8</v>
      </c>
      <c r="S675">
        <v>8.7119234116623145E-2</v>
      </c>
      <c r="U675">
        <v>0.10006333122229248</v>
      </c>
      <c r="V675">
        <v>7.7</v>
      </c>
      <c r="W675">
        <v>7.56</v>
      </c>
      <c r="X675">
        <f t="shared" si="10"/>
        <v>1.8348623853211083E-2</v>
      </c>
      <c r="Y675">
        <v>192293</v>
      </c>
      <c r="Z675">
        <v>12600000</v>
      </c>
      <c r="AA675">
        <v>1472964.3800000001</v>
      </c>
      <c r="AB675">
        <v>67783446</v>
      </c>
      <c r="AC675">
        <v>2.8368725898060714E-3</v>
      </c>
      <c r="AD675">
        <v>78488.22</v>
      </c>
      <c r="AE675">
        <v>0.17469999999999999</v>
      </c>
      <c r="AF675">
        <v>114900000</v>
      </c>
      <c r="AG675">
        <v>3710000</v>
      </c>
      <c r="AH675">
        <v>-16970000</v>
      </c>
      <c r="AI675">
        <v>9650000</v>
      </c>
      <c r="AJ675">
        <v>10010000</v>
      </c>
      <c r="AK675">
        <v>3.2087457262231744E-8</v>
      </c>
      <c r="AL675">
        <v>8.7119234116623145E-2</v>
      </c>
    </row>
    <row r="676" spans="2:38">
      <c r="B676">
        <v>6.0606060606060608E-2</v>
      </c>
      <c r="C676">
        <v>8.24</v>
      </c>
      <c r="D676">
        <v>8.01</v>
      </c>
      <c r="E676">
        <v>2.830769230769236E-2</v>
      </c>
      <c r="F676">
        <v>283377</v>
      </c>
      <c r="G676">
        <v>12600000</v>
      </c>
      <c r="H676">
        <v>2278351.0799999996</v>
      </c>
      <c r="I676">
        <v>67783446</v>
      </c>
      <c r="J676">
        <v>4.1806225077432625E-3</v>
      </c>
      <c r="K676">
        <v>78349.66</v>
      </c>
      <c r="L676">
        <v>0.17469999999999999</v>
      </c>
      <c r="M676">
        <v>114900000</v>
      </c>
      <c r="N676">
        <v>371000000</v>
      </c>
      <c r="O676">
        <v>-16970000</v>
      </c>
      <c r="P676">
        <v>9650000</v>
      </c>
      <c r="Q676">
        <v>10010000</v>
      </c>
      <c r="R676">
        <v>1.0945484249226684E-9</v>
      </c>
      <c r="S676">
        <v>8.7119234116623145E-2</v>
      </c>
      <c r="U676">
        <v>6.0606060606060608E-2</v>
      </c>
      <c r="V676">
        <v>8.24</v>
      </c>
      <c r="W676">
        <v>8.01</v>
      </c>
      <c r="X676">
        <f t="shared" si="10"/>
        <v>2.830769230769236E-2</v>
      </c>
      <c r="Y676">
        <v>283377</v>
      </c>
      <c r="Z676">
        <v>12600000</v>
      </c>
      <c r="AA676">
        <v>2278351.0799999996</v>
      </c>
      <c r="AB676">
        <v>67783446</v>
      </c>
      <c r="AC676">
        <v>4.1806225077432625E-3</v>
      </c>
      <c r="AD676">
        <v>78349.66</v>
      </c>
      <c r="AE676">
        <v>0.17469999999999999</v>
      </c>
      <c r="AF676">
        <v>114900000</v>
      </c>
      <c r="AG676">
        <v>3710000</v>
      </c>
      <c r="AH676">
        <v>-16970000</v>
      </c>
      <c r="AI676">
        <v>9650000</v>
      </c>
      <c r="AJ676">
        <v>10010000</v>
      </c>
      <c r="AK676">
        <v>1.0945484249226684E-9</v>
      </c>
      <c r="AL676">
        <v>8.7119234116623145E-2</v>
      </c>
    </row>
    <row r="677" spans="2:38">
      <c r="B677">
        <v>8.7492298213185563E-2</v>
      </c>
      <c r="C677">
        <v>8.07</v>
      </c>
      <c r="D677">
        <v>8.02</v>
      </c>
      <c r="E677">
        <v>6.2150403977626742E-3</v>
      </c>
      <c r="F677">
        <v>327736</v>
      </c>
      <c r="G677">
        <v>12600000</v>
      </c>
      <c r="H677">
        <v>2628442.7199999997</v>
      </c>
      <c r="I677">
        <v>67783446</v>
      </c>
      <c r="J677">
        <v>4.8350448279068023E-3</v>
      </c>
      <c r="K677">
        <v>77992.789999999994</v>
      </c>
      <c r="L677">
        <v>0.17469999999999999</v>
      </c>
      <c r="M677">
        <v>114900000</v>
      </c>
      <c r="N677">
        <v>371000000</v>
      </c>
      <c r="O677">
        <v>-16970000</v>
      </c>
      <c r="P677">
        <v>9650000</v>
      </c>
      <c r="Q677">
        <v>10010000</v>
      </c>
      <c r="R677">
        <v>3.291933104015973E-9</v>
      </c>
      <c r="S677">
        <v>8.7119234116623145E-2</v>
      </c>
      <c r="U677">
        <v>8.7492298213185563E-2</v>
      </c>
      <c r="V677">
        <v>8.07</v>
      </c>
      <c r="W677">
        <v>8.02</v>
      </c>
      <c r="X677">
        <f t="shared" si="10"/>
        <v>6.2150403977626742E-3</v>
      </c>
      <c r="Y677">
        <v>327736</v>
      </c>
      <c r="Z677">
        <v>12600000</v>
      </c>
      <c r="AA677">
        <v>2628442.7199999997</v>
      </c>
      <c r="AB677">
        <v>67783446</v>
      </c>
      <c r="AC677">
        <v>4.8350448279068023E-3</v>
      </c>
      <c r="AD677">
        <v>77992.789999999994</v>
      </c>
      <c r="AE677">
        <v>0.17469999999999999</v>
      </c>
      <c r="AF677">
        <v>114900000</v>
      </c>
      <c r="AG677">
        <v>3710000</v>
      </c>
      <c r="AH677">
        <v>-16970000</v>
      </c>
      <c r="AI677">
        <v>9650000</v>
      </c>
      <c r="AJ677">
        <v>10010000</v>
      </c>
      <c r="AK677">
        <v>3.291933104015973E-9</v>
      </c>
      <c r="AL677">
        <v>8.7119234116623145E-2</v>
      </c>
    </row>
    <row r="678" spans="2:38">
      <c r="B678">
        <v>0.12097812097812104</v>
      </c>
      <c r="C678">
        <v>8.18</v>
      </c>
      <c r="D678">
        <v>8.06</v>
      </c>
      <c r="E678">
        <v>1.4778325123152612E-2</v>
      </c>
      <c r="F678">
        <v>445825</v>
      </c>
      <c r="G678">
        <v>12600000</v>
      </c>
      <c r="H678">
        <v>3606724.25</v>
      </c>
      <c r="I678">
        <v>67783446</v>
      </c>
      <c r="J678">
        <v>6.5771958539847623E-3</v>
      </c>
      <c r="K678">
        <v>78084.240000000005</v>
      </c>
      <c r="L678">
        <v>0.17469999999999999</v>
      </c>
      <c r="M678">
        <v>114900000</v>
      </c>
      <c r="N678">
        <v>371000000</v>
      </c>
      <c r="O678">
        <v>-16970000</v>
      </c>
      <c r="P678">
        <v>9650000</v>
      </c>
      <c r="Q678">
        <v>10010000</v>
      </c>
      <c r="R678">
        <v>2.3012200423116445E-8</v>
      </c>
      <c r="S678">
        <v>8.7119234116623145E-2</v>
      </c>
      <c r="U678">
        <v>0.12097812097812104</v>
      </c>
      <c r="V678">
        <v>8.18</v>
      </c>
      <c r="W678">
        <v>8.06</v>
      </c>
      <c r="X678">
        <f t="shared" si="10"/>
        <v>1.4778325123152612E-2</v>
      </c>
      <c r="Y678">
        <v>445825</v>
      </c>
      <c r="Z678">
        <v>12600000</v>
      </c>
      <c r="AA678">
        <v>3606724.25</v>
      </c>
      <c r="AB678">
        <v>67783446</v>
      </c>
      <c r="AC678">
        <v>6.5771958539847623E-3</v>
      </c>
      <c r="AD678">
        <v>78084.240000000005</v>
      </c>
      <c r="AE678">
        <v>0.17469999999999999</v>
      </c>
      <c r="AF678">
        <v>114900000</v>
      </c>
      <c r="AG678">
        <v>3710000</v>
      </c>
      <c r="AH678">
        <v>-16970000</v>
      </c>
      <c r="AI678">
        <v>9650000</v>
      </c>
      <c r="AJ678">
        <v>10010000</v>
      </c>
      <c r="AK678">
        <v>2.3012200423116445E-8</v>
      </c>
      <c r="AL678">
        <v>8.7119234116623145E-2</v>
      </c>
    </row>
    <row r="679" spans="2:38">
      <c r="B679">
        <v>0.12684176809737363</v>
      </c>
      <c r="C679">
        <v>7.58</v>
      </c>
      <c r="D679">
        <v>7.56</v>
      </c>
      <c r="E679">
        <v>2.6420079260238388E-3</v>
      </c>
      <c r="F679">
        <v>119911</v>
      </c>
      <c r="G679">
        <v>12600000</v>
      </c>
      <c r="H679">
        <v>895735.16999999993</v>
      </c>
      <c r="I679">
        <v>67783446</v>
      </c>
      <c r="J679">
        <v>1.7690307453533715E-3</v>
      </c>
      <c r="K679">
        <v>78571.06</v>
      </c>
      <c r="L679">
        <v>0.17469999999999999</v>
      </c>
      <c r="M679">
        <v>114900000</v>
      </c>
      <c r="N679">
        <v>371000000</v>
      </c>
      <c r="O679">
        <v>-16970000</v>
      </c>
      <c r="P679">
        <v>9650000</v>
      </c>
      <c r="Q679">
        <v>10010000</v>
      </c>
      <c r="R679">
        <v>9.0630372153544228E-8</v>
      </c>
      <c r="S679">
        <v>8.7119234116623145E-2</v>
      </c>
      <c r="U679">
        <v>0.12684176809737363</v>
      </c>
      <c r="V679">
        <v>7.58</v>
      </c>
      <c r="W679">
        <v>7.56</v>
      </c>
      <c r="X679">
        <f t="shared" si="10"/>
        <v>2.6420079260238388E-3</v>
      </c>
      <c r="Y679">
        <v>119911</v>
      </c>
      <c r="Z679">
        <v>12600000</v>
      </c>
      <c r="AA679">
        <v>895735.16999999993</v>
      </c>
      <c r="AB679">
        <v>67783446</v>
      </c>
      <c r="AC679">
        <v>1.7690307453533715E-3</v>
      </c>
      <c r="AD679">
        <v>78571.06</v>
      </c>
      <c r="AE679">
        <v>0.17469999999999999</v>
      </c>
      <c r="AF679">
        <v>114900000</v>
      </c>
      <c r="AG679">
        <v>3710000</v>
      </c>
      <c r="AH679">
        <v>-16970000</v>
      </c>
      <c r="AI679">
        <v>9650000</v>
      </c>
      <c r="AJ679">
        <v>10010000</v>
      </c>
      <c r="AK679">
        <v>9.0630372153544228E-8</v>
      </c>
      <c r="AL679">
        <v>8.7119234116623145E-2</v>
      </c>
    </row>
    <row r="680" spans="2:38">
      <c r="B680">
        <v>0.18031820860341785</v>
      </c>
      <c r="C680">
        <v>8.49</v>
      </c>
      <c r="D680">
        <v>8.25</v>
      </c>
      <c r="E680">
        <v>2.8673835125448049E-2</v>
      </c>
      <c r="F680">
        <v>491921</v>
      </c>
      <c r="G680">
        <v>12600000</v>
      </c>
      <c r="H680">
        <v>3999317.7300000004</v>
      </c>
      <c r="I680">
        <v>67783446</v>
      </c>
      <c r="J680">
        <v>7.2572438999339156E-3</v>
      </c>
      <c r="K680">
        <v>78801.429999999993</v>
      </c>
      <c r="L680">
        <v>0.17469999999999999</v>
      </c>
      <c r="M680">
        <v>114900000</v>
      </c>
      <c r="N680">
        <v>371000000</v>
      </c>
      <c r="O680">
        <v>-16970000</v>
      </c>
      <c r="P680">
        <v>9650000</v>
      </c>
      <c r="Q680">
        <v>10010000</v>
      </c>
      <c r="R680">
        <v>1.638210459945381E-8</v>
      </c>
      <c r="S680">
        <v>8.7119234116623145E-2</v>
      </c>
      <c r="U680">
        <v>0.18031820860341785</v>
      </c>
      <c r="V680">
        <v>8.49</v>
      </c>
      <c r="W680">
        <v>8.25</v>
      </c>
      <c r="X680">
        <f t="shared" si="10"/>
        <v>2.8673835125448049E-2</v>
      </c>
      <c r="Y680">
        <v>491921</v>
      </c>
      <c r="Z680">
        <v>12600000</v>
      </c>
      <c r="AA680">
        <v>3999317.7300000004</v>
      </c>
      <c r="AB680">
        <v>67783446</v>
      </c>
      <c r="AC680">
        <v>7.2572438999339156E-3</v>
      </c>
      <c r="AD680">
        <v>78801.429999999993</v>
      </c>
      <c r="AE680">
        <v>0.17469999999999999</v>
      </c>
      <c r="AF680">
        <v>114900000</v>
      </c>
      <c r="AG680">
        <v>3710000</v>
      </c>
      <c r="AH680">
        <v>-16970000</v>
      </c>
      <c r="AI680">
        <v>9650000</v>
      </c>
      <c r="AJ680">
        <v>10010000</v>
      </c>
      <c r="AK680">
        <v>1.638210459945381E-8</v>
      </c>
      <c r="AL680">
        <v>8.7119234116623145E-2</v>
      </c>
    </row>
    <row r="681" spans="2:38">
      <c r="B681">
        <v>0.15115005476451271</v>
      </c>
      <c r="C681">
        <v>8.74</v>
      </c>
      <c r="D681">
        <v>8.6</v>
      </c>
      <c r="E681">
        <v>1.6147635524798219E-2</v>
      </c>
      <c r="F681">
        <v>1418141</v>
      </c>
      <c r="G681">
        <v>12600000</v>
      </c>
      <c r="H681">
        <v>12337826.699999999</v>
      </c>
      <c r="I681">
        <v>67783446</v>
      </c>
      <c r="J681">
        <v>2.0921642136636134E-2</v>
      </c>
      <c r="K681">
        <v>78793.41</v>
      </c>
      <c r="L681">
        <v>0.17469999999999999</v>
      </c>
      <c r="M681">
        <v>114900000</v>
      </c>
      <c r="N681">
        <v>371000000</v>
      </c>
      <c r="O681">
        <v>-16970000</v>
      </c>
      <c r="P681">
        <v>9650000</v>
      </c>
      <c r="Q681">
        <v>10010000</v>
      </c>
      <c r="R681">
        <v>6.3536174088484005E-9</v>
      </c>
      <c r="S681">
        <v>8.7119234116623145E-2</v>
      </c>
      <c r="U681">
        <v>0.15115005476451271</v>
      </c>
      <c r="V681">
        <v>8.74</v>
      </c>
      <c r="W681">
        <v>8.6</v>
      </c>
      <c r="X681">
        <f t="shared" si="10"/>
        <v>1.6147635524798219E-2</v>
      </c>
      <c r="Y681">
        <v>1418141</v>
      </c>
      <c r="Z681">
        <v>12600000</v>
      </c>
      <c r="AA681">
        <v>12337826.699999999</v>
      </c>
      <c r="AB681">
        <v>67783446</v>
      </c>
      <c r="AC681">
        <v>2.0921642136636134E-2</v>
      </c>
      <c r="AD681">
        <v>78793.41</v>
      </c>
      <c r="AE681">
        <v>0.17469999999999999</v>
      </c>
      <c r="AF681">
        <v>114900000</v>
      </c>
      <c r="AG681">
        <v>3710000</v>
      </c>
      <c r="AH681">
        <v>-16970000</v>
      </c>
      <c r="AI681">
        <v>9650000</v>
      </c>
      <c r="AJ681">
        <v>10010000</v>
      </c>
      <c r="AK681">
        <v>6.3536174088484005E-9</v>
      </c>
      <c r="AL681">
        <v>8.7119234116623145E-2</v>
      </c>
    </row>
    <row r="682" spans="2:38">
      <c r="B682">
        <v>0.11422845691382771</v>
      </c>
      <c r="C682">
        <v>9.41</v>
      </c>
      <c r="D682">
        <v>0</v>
      </c>
      <c r="E682">
        <v>1</v>
      </c>
      <c r="F682">
        <v>694027</v>
      </c>
      <c r="G682">
        <v>12600000</v>
      </c>
      <c r="H682">
        <v>6551614.8799999999</v>
      </c>
      <c r="I682">
        <v>67783446</v>
      </c>
      <c r="J682">
        <v>1.0238886349920893E-2</v>
      </c>
      <c r="K682">
        <v>78260.86</v>
      </c>
      <c r="L682">
        <v>0.17469999999999999</v>
      </c>
      <c r="M682">
        <v>114900000</v>
      </c>
      <c r="N682">
        <v>371000000</v>
      </c>
      <c r="O682">
        <v>-16970000</v>
      </c>
      <c r="P682">
        <v>9650000</v>
      </c>
      <c r="Q682">
        <v>10010000</v>
      </c>
      <c r="R682">
        <v>1.4752197660212479E-8</v>
      </c>
      <c r="S682">
        <v>8.7119234116623145E-2</v>
      </c>
      <c r="U682">
        <v>0.11422845691382771</v>
      </c>
      <c r="V682">
        <v>9.41</v>
      </c>
      <c r="W682">
        <v>8.6</v>
      </c>
      <c r="X682">
        <f t="shared" si="10"/>
        <v>8.9950027762354307E-2</v>
      </c>
      <c r="Y682">
        <v>694027</v>
      </c>
      <c r="Z682">
        <v>12600000</v>
      </c>
      <c r="AA682">
        <v>6551614.8799999999</v>
      </c>
      <c r="AB682">
        <v>67783446</v>
      </c>
      <c r="AC682">
        <v>1.0238886349920893E-2</v>
      </c>
      <c r="AD682">
        <v>78260.86</v>
      </c>
      <c r="AE682">
        <v>0.17469999999999999</v>
      </c>
      <c r="AF682">
        <v>114900000</v>
      </c>
      <c r="AG682">
        <v>3710000</v>
      </c>
      <c r="AH682">
        <v>-16970000</v>
      </c>
      <c r="AI682">
        <v>9650000</v>
      </c>
      <c r="AJ682">
        <v>10010000</v>
      </c>
      <c r="AK682">
        <v>1.4752197660212479E-8</v>
      </c>
      <c r="AL682">
        <v>8.7119234116623145E-2</v>
      </c>
    </row>
    <row r="683" spans="2:38">
      <c r="B683">
        <v>8.1002892960462869E-2</v>
      </c>
      <c r="C683">
        <v>10.29</v>
      </c>
      <c r="D683">
        <v>10.1</v>
      </c>
      <c r="E683">
        <v>1.8636586562040168E-2</v>
      </c>
      <c r="F683">
        <v>1867760</v>
      </c>
      <c r="G683">
        <v>12600000</v>
      </c>
      <c r="H683">
        <v>19518092</v>
      </c>
      <c r="I683">
        <v>67783446</v>
      </c>
      <c r="J683">
        <v>2.7554810358859594E-2</v>
      </c>
      <c r="K683">
        <v>77745.52</v>
      </c>
      <c r="L683">
        <v>0.189</v>
      </c>
      <c r="M683">
        <v>114900000</v>
      </c>
      <c r="N683">
        <v>371000000</v>
      </c>
      <c r="O683">
        <v>-16970000</v>
      </c>
      <c r="P683">
        <v>9650000</v>
      </c>
      <c r="Q683">
        <v>10010000</v>
      </c>
      <c r="R683">
        <v>2.5745988020451505E-9</v>
      </c>
      <c r="S683">
        <v>8.7119234116623145E-2</v>
      </c>
      <c r="U683">
        <v>8.1002892960462869E-2</v>
      </c>
      <c r="V683">
        <v>10.29</v>
      </c>
      <c r="W683">
        <v>10.1</v>
      </c>
      <c r="X683">
        <f t="shared" si="10"/>
        <v>1.8636586562040168E-2</v>
      </c>
      <c r="Y683">
        <v>1867760</v>
      </c>
      <c r="Z683">
        <v>12600000</v>
      </c>
      <c r="AA683">
        <v>19518092</v>
      </c>
      <c r="AB683">
        <v>67783446</v>
      </c>
      <c r="AC683">
        <v>2.7554810358859594E-2</v>
      </c>
      <c r="AD683">
        <v>77745.52</v>
      </c>
      <c r="AE683">
        <v>0.189</v>
      </c>
      <c r="AF683">
        <v>114900000</v>
      </c>
      <c r="AG683">
        <v>3710000</v>
      </c>
      <c r="AH683">
        <v>-16970000</v>
      </c>
      <c r="AI683">
        <v>9650000</v>
      </c>
      <c r="AJ683">
        <v>10010000</v>
      </c>
      <c r="AK683">
        <v>2.5745988020451505E-9</v>
      </c>
      <c r="AL683">
        <v>8.7119234116623145E-2</v>
      </c>
    </row>
    <row r="684" spans="2:38">
      <c r="B684">
        <v>0.17367558711086836</v>
      </c>
      <c r="C684">
        <v>0</v>
      </c>
      <c r="D684">
        <v>9.9499999999999993</v>
      </c>
      <c r="E684">
        <v>-1</v>
      </c>
      <c r="F684">
        <v>1674428</v>
      </c>
      <c r="G684">
        <v>12600000</v>
      </c>
      <c r="H684">
        <v>16660558.6</v>
      </c>
      <c r="I684">
        <v>67783446</v>
      </c>
      <c r="J684">
        <v>2.4702609542748829E-2</v>
      </c>
      <c r="K684">
        <v>77830.34</v>
      </c>
      <c r="L684">
        <v>0.189</v>
      </c>
      <c r="M684">
        <v>114900000</v>
      </c>
      <c r="N684">
        <v>371000000</v>
      </c>
      <c r="O684">
        <v>-16970000</v>
      </c>
      <c r="P684">
        <v>9650000</v>
      </c>
      <c r="Q684">
        <v>10010000</v>
      </c>
      <c r="R684">
        <v>6.7063683912386351E-9</v>
      </c>
      <c r="S684">
        <v>8.7119234116623145E-2</v>
      </c>
      <c r="U684">
        <v>0.17367558711086836</v>
      </c>
      <c r="V684">
        <f>TREND(V681:V683)</f>
        <v>8.7049999999999983</v>
      </c>
      <c r="W684">
        <v>9.9499999999999993</v>
      </c>
      <c r="X684">
        <f t="shared" si="10"/>
        <v>-0.13347627981774335</v>
      </c>
      <c r="Y684">
        <v>1674428</v>
      </c>
      <c r="Z684">
        <v>12600000</v>
      </c>
      <c r="AA684">
        <v>16660558.6</v>
      </c>
      <c r="AB684">
        <v>67783446</v>
      </c>
      <c r="AC684">
        <v>2.4702609542748829E-2</v>
      </c>
      <c r="AD684">
        <v>77830.34</v>
      </c>
      <c r="AE684">
        <v>0.189</v>
      </c>
      <c r="AF684">
        <v>114900000</v>
      </c>
      <c r="AG684">
        <v>3710000</v>
      </c>
      <c r="AH684">
        <v>-16970000</v>
      </c>
      <c r="AI684">
        <v>9650000</v>
      </c>
      <c r="AJ684">
        <v>10010000</v>
      </c>
      <c r="AK684">
        <v>6.7063683912386351E-9</v>
      </c>
      <c r="AL684">
        <v>8.7119234116623145E-2</v>
      </c>
    </row>
    <row r="685" spans="2:38">
      <c r="B685">
        <v>6.4590542099192474E-2</v>
      </c>
      <c r="C685">
        <v>0</v>
      </c>
      <c r="D685">
        <v>8.9499999999999993</v>
      </c>
      <c r="E685">
        <v>-1</v>
      </c>
      <c r="F685">
        <v>1238018</v>
      </c>
      <c r="G685">
        <v>12600000</v>
      </c>
      <c r="H685">
        <v>11080261.1</v>
      </c>
      <c r="I685">
        <v>67783446</v>
      </c>
      <c r="J685">
        <v>1.8264311908839807E-2</v>
      </c>
      <c r="K685">
        <v>78045.31</v>
      </c>
      <c r="L685">
        <v>0.189</v>
      </c>
      <c r="M685">
        <v>114900000</v>
      </c>
      <c r="N685">
        <v>371000000</v>
      </c>
      <c r="O685">
        <v>-16970000</v>
      </c>
      <c r="P685">
        <v>9650000</v>
      </c>
      <c r="Q685">
        <v>10010000</v>
      </c>
      <c r="R685">
        <v>1.1352274317977261E-8</v>
      </c>
      <c r="S685">
        <v>8.7119234116623145E-2</v>
      </c>
      <c r="U685">
        <v>6.4590542099192474E-2</v>
      </c>
      <c r="V685">
        <f t="shared" ref="V685:V686" si="11">TREND(V682:V684)</f>
        <v>9.8208333333333329</v>
      </c>
      <c r="W685">
        <v>8.9499999999999993</v>
      </c>
      <c r="X685">
        <f t="shared" si="10"/>
        <v>9.2785793562708135E-2</v>
      </c>
      <c r="Y685">
        <v>1238018</v>
      </c>
      <c r="Z685">
        <v>12600000</v>
      </c>
      <c r="AA685">
        <v>11080261.1</v>
      </c>
      <c r="AB685">
        <v>67783446</v>
      </c>
      <c r="AC685">
        <v>1.8264311908839807E-2</v>
      </c>
      <c r="AD685">
        <v>78045.31</v>
      </c>
      <c r="AE685">
        <v>0.189</v>
      </c>
      <c r="AF685">
        <v>114900000</v>
      </c>
      <c r="AG685">
        <v>3710000</v>
      </c>
      <c r="AH685">
        <v>-16970000</v>
      </c>
      <c r="AI685">
        <v>9650000</v>
      </c>
      <c r="AJ685">
        <v>10010000</v>
      </c>
      <c r="AK685">
        <v>1.1352274317977261E-8</v>
      </c>
      <c r="AL685">
        <v>8.7119234116623145E-2</v>
      </c>
    </row>
    <row r="686" spans="2:38">
      <c r="B686">
        <v>0.19783197831978308</v>
      </c>
      <c r="C686">
        <v>0</v>
      </c>
      <c r="D686">
        <v>8.11</v>
      </c>
      <c r="E686">
        <v>-1</v>
      </c>
      <c r="F686">
        <v>2119541</v>
      </c>
      <c r="G686">
        <v>12600000</v>
      </c>
      <c r="H686">
        <v>16850350.949999999</v>
      </c>
      <c r="I686">
        <v>67783446</v>
      </c>
      <c r="J686">
        <v>3.126930135714847E-2</v>
      </c>
      <c r="K686">
        <v>78105.98</v>
      </c>
      <c r="L686">
        <v>0.189</v>
      </c>
      <c r="M686">
        <v>114900000</v>
      </c>
      <c r="N686">
        <v>371000000</v>
      </c>
      <c r="O686">
        <v>-16970000</v>
      </c>
      <c r="P686">
        <v>9650000</v>
      </c>
      <c r="Q686">
        <v>10010000</v>
      </c>
      <c r="R686">
        <v>7.0113352692877765E-9</v>
      </c>
      <c r="S686">
        <v>8.7119234116623145E-2</v>
      </c>
      <c r="U686">
        <v>0.19783197831978308</v>
      </c>
      <c r="V686">
        <f t="shared" si="11"/>
        <v>9.8398611111111105</v>
      </c>
      <c r="W686">
        <v>8.11</v>
      </c>
      <c r="X686">
        <f t="shared" si="10"/>
        <v>0.19274367644441692</v>
      </c>
      <c r="Y686">
        <v>2119541</v>
      </c>
      <c r="Z686">
        <v>12600000</v>
      </c>
      <c r="AA686">
        <v>16850350.949999999</v>
      </c>
      <c r="AB686">
        <v>67783446</v>
      </c>
      <c r="AC686">
        <v>3.126930135714847E-2</v>
      </c>
      <c r="AD686">
        <v>78105.98</v>
      </c>
      <c r="AE686">
        <v>0.189</v>
      </c>
      <c r="AF686">
        <v>114900000</v>
      </c>
      <c r="AG686">
        <v>3710000</v>
      </c>
      <c r="AH686">
        <v>-16970000</v>
      </c>
      <c r="AI686">
        <v>9650000</v>
      </c>
      <c r="AJ686">
        <v>10010000</v>
      </c>
      <c r="AK686">
        <v>7.0113352692877765E-9</v>
      </c>
      <c r="AL686">
        <v>8.7119234116623145E-2</v>
      </c>
    </row>
    <row r="687" spans="2:38">
      <c r="B687">
        <v>0.11062590975254727</v>
      </c>
      <c r="C687">
        <v>7.11</v>
      </c>
      <c r="D687">
        <v>7.1</v>
      </c>
      <c r="E687">
        <v>1.4074595355384482E-3</v>
      </c>
      <c r="F687">
        <v>2305349</v>
      </c>
      <c r="G687">
        <v>12600000</v>
      </c>
      <c r="H687">
        <v>16391031.390000001</v>
      </c>
      <c r="I687">
        <v>67783446</v>
      </c>
      <c r="J687">
        <v>3.4010501620115333E-2</v>
      </c>
      <c r="K687">
        <v>77877.42</v>
      </c>
      <c r="L687">
        <v>0.189</v>
      </c>
      <c r="M687">
        <v>114900000</v>
      </c>
      <c r="N687">
        <v>371000000</v>
      </c>
      <c r="O687">
        <v>-16970000</v>
      </c>
      <c r="P687">
        <v>9650000</v>
      </c>
      <c r="Q687">
        <v>10010000</v>
      </c>
      <c r="R687">
        <v>5.0144361795354842E-9</v>
      </c>
      <c r="S687">
        <v>8.7119234116623145E-2</v>
      </c>
      <c r="U687">
        <v>0.11062590975254727</v>
      </c>
      <c r="V687">
        <v>7.11</v>
      </c>
      <c r="W687">
        <v>7.1</v>
      </c>
      <c r="X687">
        <f t="shared" si="10"/>
        <v>1.4074595355384482E-3</v>
      </c>
      <c r="Y687">
        <v>2305349</v>
      </c>
      <c r="Z687">
        <v>12600000</v>
      </c>
      <c r="AA687">
        <v>16391031.390000001</v>
      </c>
      <c r="AB687">
        <v>67783446</v>
      </c>
      <c r="AC687">
        <v>3.4010501620115333E-2</v>
      </c>
      <c r="AD687">
        <v>77877.42</v>
      </c>
      <c r="AE687">
        <v>0.189</v>
      </c>
      <c r="AF687">
        <v>114900000</v>
      </c>
      <c r="AG687">
        <v>3710000</v>
      </c>
      <c r="AH687">
        <v>-16970000</v>
      </c>
      <c r="AI687">
        <v>9650000</v>
      </c>
      <c r="AJ687">
        <v>10010000</v>
      </c>
      <c r="AK687">
        <v>5.0144361795354842E-9</v>
      </c>
      <c r="AL687">
        <v>8.7119234116623145E-2</v>
      </c>
    </row>
    <row r="688" spans="2:38">
      <c r="B688">
        <v>0.15586546349466776</v>
      </c>
      <c r="C688">
        <v>0</v>
      </c>
      <c r="D688">
        <v>6.57</v>
      </c>
      <c r="E688">
        <v>-1</v>
      </c>
      <c r="F688">
        <v>1526772</v>
      </c>
      <c r="G688">
        <v>12600000</v>
      </c>
      <c r="H688">
        <v>10030892.040000001</v>
      </c>
      <c r="I688">
        <v>67783446</v>
      </c>
      <c r="J688">
        <v>2.2524260569461163E-2</v>
      </c>
      <c r="K688">
        <v>77980.289999999994</v>
      </c>
      <c r="L688">
        <v>0.189</v>
      </c>
      <c r="M688">
        <v>114900000</v>
      </c>
      <c r="N688">
        <v>371000000</v>
      </c>
      <c r="O688">
        <v>-16970000</v>
      </c>
      <c r="P688">
        <v>9650000</v>
      </c>
      <c r="Q688">
        <v>10010000</v>
      </c>
      <c r="R688">
        <v>1.789803069643288E-8</v>
      </c>
      <c r="S688">
        <v>8.7119234116623145E-2</v>
      </c>
      <c r="U688">
        <v>0.15586546349466776</v>
      </c>
      <c r="V688">
        <v>7.11</v>
      </c>
      <c r="W688">
        <v>6.57</v>
      </c>
      <c r="X688">
        <f t="shared" si="10"/>
        <v>7.8947368421052641E-2</v>
      </c>
      <c r="Y688">
        <v>1526772</v>
      </c>
      <c r="Z688">
        <v>12600000</v>
      </c>
      <c r="AA688">
        <v>10030892.040000001</v>
      </c>
      <c r="AB688">
        <v>67783446</v>
      </c>
      <c r="AC688">
        <v>2.2524260569461163E-2</v>
      </c>
      <c r="AD688">
        <v>77980.289999999994</v>
      </c>
      <c r="AE688">
        <v>0.189</v>
      </c>
      <c r="AF688">
        <v>114900000</v>
      </c>
      <c r="AG688">
        <v>3710000</v>
      </c>
      <c r="AH688">
        <v>-16970000</v>
      </c>
      <c r="AI688">
        <v>9650000</v>
      </c>
      <c r="AJ688">
        <v>10010000</v>
      </c>
      <c r="AK688">
        <v>1.789803069643288E-8</v>
      </c>
      <c r="AL688">
        <v>8.7119234116623145E-2</v>
      </c>
    </row>
    <row r="689" spans="2:38">
      <c r="B689">
        <v>8.0717488789237707E-2</v>
      </c>
      <c r="C689">
        <v>5.6</v>
      </c>
      <c r="D689">
        <v>5.58</v>
      </c>
      <c r="E689">
        <v>3.5778175313058271E-3</v>
      </c>
      <c r="F689">
        <v>156411</v>
      </c>
      <c r="G689">
        <v>12600000</v>
      </c>
      <c r="H689">
        <v>871209.27</v>
      </c>
      <c r="I689">
        <v>67783446</v>
      </c>
      <c r="J689">
        <v>2.307510302736748E-3</v>
      </c>
      <c r="K689">
        <v>78569.59</v>
      </c>
      <c r="L689">
        <v>0.189</v>
      </c>
      <c r="M689">
        <v>114900000</v>
      </c>
      <c r="N689">
        <v>371000000</v>
      </c>
      <c r="O689">
        <v>-16970000</v>
      </c>
      <c r="P689">
        <v>9650000</v>
      </c>
      <c r="Q689">
        <v>10010000</v>
      </c>
      <c r="R689">
        <v>3.5932064664655035E-8</v>
      </c>
      <c r="S689">
        <v>8.7119234116623145E-2</v>
      </c>
      <c r="U689">
        <v>8.0717488789237707E-2</v>
      </c>
      <c r="V689">
        <v>5.6</v>
      </c>
      <c r="W689">
        <v>5.58</v>
      </c>
      <c r="X689">
        <f t="shared" si="10"/>
        <v>3.5778175313058271E-3</v>
      </c>
      <c r="Y689">
        <v>156411</v>
      </c>
      <c r="Z689">
        <v>12600000</v>
      </c>
      <c r="AA689">
        <v>871209.27</v>
      </c>
      <c r="AB689">
        <v>67783446</v>
      </c>
      <c r="AC689">
        <v>2.307510302736748E-3</v>
      </c>
      <c r="AD689">
        <v>78569.59</v>
      </c>
      <c r="AE689">
        <v>0.189</v>
      </c>
      <c r="AF689">
        <v>114900000</v>
      </c>
      <c r="AG689">
        <v>3710000</v>
      </c>
      <c r="AH689">
        <v>-16970000</v>
      </c>
      <c r="AI689">
        <v>9650000</v>
      </c>
      <c r="AJ689">
        <v>10010000</v>
      </c>
      <c r="AK689">
        <v>3.5932064664655035E-8</v>
      </c>
      <c r="AL689">
        <v>8.7119234116623145E-2</v>
      </c>
    </row>
    <row r="690" spans="2:38">
      <c r="B690">
        <v>8.1244598098530643E-2</v>
      </c>
      <c r="C690">
        <v>5.7</v>
      </c>
      <c r="D690">
        <v>5.63</v>
      </c>
      <c r="E690">
        <v>1.2356575463371629E-2</v>
      </c>
      <c r="F690">
        <v>115426</v>
      </c>
      <c r="G690">
        <v>12600000</v>
      </c>
      <c r="H690">
        <v>663699.5</v>
      </c>
      <c r="I690">
        <v>67783446</v>
      </c>
      <c r="J690">
        <v>1.7028641476858524E-3</v>
      </c>
      <c r="K690">
        <v>77874.22</v>
      </c>
      <c r="L690">
        <v>0.189</v>
      </c>
      <c r="M690">
        <v>114900000</v>
      </c>
      <c r="N690">
        <v>371000000</v>
      </c>
      <c r="O690">
        <v>-16970000</v>
      </c>
      <c r="P690">
        <v>9650000</v>
      </c>
      <c r="Q690">
        <v>10010000</v>
      </c>
      <c r="R690">
        <v>3.5813045165438931E-8</v>
      </c>
      <c r="S690">
        <v>8.7119234116623145E-2</v>
      </c>
      <c r="U690">
        <v>8.1244598098530643E-2</v>
      </c>
      <c r="V690">
        <v>5.7</v>
      </c>
      <c r="W690">
        <v>5.63</v>
      </c>
      <c r="X690">
        <f t="shared" si="10"/>
        <v>1.2356575463371629E-2</v>
      </c>
      <c r="Y690">
        <v>115426</v>
      </c>
      <c r="Z690">
        <v>12600000</v>
      </c>
      <c r="AA690">
        <v>663699.5</v>
      </c>
      <c r="AB690">
        <v>67783446</v>
      </c>
      <c r="AC690">
        <v>1.7028641476858524E-3</v>
      </c>
      <c r="AD690">
        <v>77874.22</v>
      </c>
      <c r="AE690">
        <v>0.189</v>
      </c>
      <c r="AF690">
        <v>114900000</v>
      </c>
      <c r="AG690">
        <v>3710000</v>
      </c>
      <c r="AH690">
        <v>-16970000</v>
      </c>
      <c r="AI690">
        <v>9650000</v>
      </c>
      <c r="AJ690">
        <v>10010000</v>
      </c>
      <c r="AK690">
        <v>3.5813045165438931E-8</v>
      </c>
      <c r="AL690">
        <v>8.7119234116623145E-2</v>
      </c>
    </row>
    <row r="691" spans="2:38">
      <c r="B691">
        <v>9.9999999999999936E-2</v>
      </c>
      <c r="C691">
        <v>5.9</v>
      </c>
      <c r="D691">
        <v>5.85</v>
      </c>
      <c r="E691">
        <v>8.510638297872462E-3</v>
      </c>
      <c r="F691">
        <v>674351</v>
      </c>
      <c r="G691">
        <v>12600000</v>
      </c>
      <c r="H691">
        <v>3971927.3899999997</v>
      </c>
      <c r="I691">
        <v>67783446</v>
      </c>
      <c r="J691">
        <v>9.9486089863297898E-3</v>
      </c>
      <c r="K691">
        <v>77114.490000000005</v>
      </c>
      <c r="L691">
        <v>0.189</v>
      </c>
      <c r="M691">
        <v>114900000</v>
      </c>
      <c r="N691">
        <v>371000000</v>
      </c>
      <c r="O691">
        <v>-16970000</v>
      </c>
      <c r="P691">
        <v>9650000</v>
      </c>
      <c r="Q691">
        <v>10010000</v>
      </c>
      <c r="R691">
        <v>0</v>
      </c>
      <c r="S691">
        <v>8.7119234116623145E-2</v>
      </c>
      <c r="U691">
        <v>9.9999999999999936E-2</v>
      </c>
      <c r="V691">
        <v>5.9</v>
      </c>
      <c r="W691">
        <v>5.85</v>
      </c>
      <c r="X691">
        <f t="shared" si="10"/>
        <v>8.510638297872462E-3</v>
      </c>
      <c r="Y691">
        <v>674351</v>
      </c>
      <c r="Z691">
        <v>12600000</v>
      </c>
      <c r="AA691">
        <v>3971927.3899999997</v>
      </c>
      <c r="AB691">
        <v>67783446</v>
      </c>
      <c r="AC691">
        <v>9.9486089863297898E-3</v>
      </c>
      <c r="AD691">
        <v>77114.490000000005</v>
      </c>
      <c r="AE691">
        <v>0.189</v>
      </c>
      <c r="AF691">
        <v>114900000</v>
      </c>
      <c r="AG691">
        <v>3710000</v>
      </c>
      <c r="AH691">
        <v>-16970000</v>
      </c>
      <c r="AI691">
        <v>9650000</v>
      </c>
      <c r="AJ691">
        <v>10010000</v>
      </c>
      <c r="AK691">
        <v>0</v>
      </c>
      <c r="AL691">
        <v>8.7119234116623145E-2</v>
      </c>
    </row>
    <row r="692" spans="2:38">
      <c r="B692">
        <v>0.21722846441947569</v>
      </c>
      <c r="C692">
        <v>0</v>
      </c>
      <c r="D692">
        <v>5.92</v>
      </c>
      <c r="E692">
        <v>-1</v>
      </c>
      <c r="F692">
        <v>932958</v>
      </c>
      <c r="G692">
        <v>12600000</v>
      </c>
      <c r="H692">
        <v>5495122.6200000001</v>
      </c>
      <c r="I692">
        <v>67783446</v>
      </c>
      <c r="J692">
        <v>1.3763803038281648E-2</v>
      </c>
      <c r="K692">
        <v>77191.34</v>
      </c>
      <c r="L692">
        <v>0.19489999999999999</v>
      </c>
      <c r="M692">
        <v>114900000</v>
      </c>
      <c r="N692">
        <v>371000000</v>
      </c>
      <c r="O692">
        <v>-16970000</v>
      </c>
      <c r="P692">
        <v>9650000</v>
      </c>
      <c r="Q692">
        <v>10010000</v>
      </c>
      <c r="R692">
        <v>3.5878084108105927E-8</v>
      </c>
      <c r="S692">
        <v>8.7119234116623145E-2</v>
      </c>
      <c r="U692">
        <v>0.21722846441947569</v>
      </c>
      <c r="V692">
        <v>5.9</v>
      </c>
      <c r="W692">
        <v>5.92</v>
      </c>
      <c r="X692">
        <f t="shared" si="10"/>
        <v>-3.3840947546530582E-3</v>
      </c>
      <c r="Y692">
        <v>932958</v>
      </c>
      <c r="Z692">
        <v>12600000</v>
      </c>
      <c r="AA692">
        <v>5495122.6200000001</v>
      </c>
      <c r="AB692">
        <v>67783446</v>
      </c>
      <c r="AC692">
        <v>1.3763803038281648E-2</v>
      </c>
      <c r="AD692">
        <v>77191.34</v>
      </c>
      <c r="AE692">
        <v>0.19489999999999999</v>
      </c>
      <c r="AF692">
        <v>114900000</v>
      </c>
      <c r="AG692">
        <v>3710000</v>
      </c>
      <c r="AH692">
        <v>-16970000</v>
      </c>
      <c r="AI692">
        <v>9650000</v>
      </c>
      <c r="AJ692">
        <v>10010000</v>
      </c>
      <c r="AK692">
        <v>3.5878084108105927E-8</v>
      </c>
      <c r="AL692">
        <v>8.7119234116623145E-2</v>
      </c>
    </row>
    <row r="693" spans="2:38">
      <c r="B693">
        <v>0.13737373737373731</v>
      </c>
      <c r="C693">
        <v>5</v>
      </c>
      <c r="D693">
        <v>4.83</v>
      </c>
      <c r="E693">
        <v>3.4587995930823991E-2</v>
      </c>
      <c r="F693">
        <v>215785</v>
      </c>
      <c r="G693">
        <v>12600000</v>
      </c>
      <c r="H693">
        <v>1061662.2</v>
      </c>
      <c r="I693">
        <v>67783446</v>
      </c>
      <c r="J693">
        <v>3.183446884656764E-3</v>
      </c>
      <c r="K693">
        <v>77084.490000000005</v>
      </c>
      <c r="L693">
        <v>0.19489999999999999</v>
      </c>
      <c r="M693">
        <v>114900000</v>
      </c>
      <c r="N693">
        <v>371000000</v>
      </c>
      <c r="O693">
        <v>-16970000</v>
      </c>
      <c r="P693">
        <v>9650000</v>
      </c>
      <c r="Q693">
        <v>10010000</v>
      </c>
      <c r="R693">
        <v>1.1371689543525794E-7</v>
      </c>
      <c r="S693">
        <v>8.7119234116623145E-2</v>
      </c>
      <c r="U693">
        <v>0.13737373737373731</v>
      </c>
      <c r="V693">
        <v>5</v>
      </c>
      <c r="W693">
        <v>4.83</v>
      </c>
      <c r="X693">
        <f t="shared" si="10"/>
        <v>3.4587995930823991E-2</v>
      </c>
      <c r="Y693">
        <v>215785</v>
      </c>
      <c r="Z693">
        <v>12600000</v>
      </c>
      <c r="AA693">
        <v>1061662.2</v>
      </c>
      <c r="AB693">
        <v>67783446</v>
      </c>
      <c r="AC693">
        <v>3.183446884656764E-3</v>
      </c>
      <c r="AD693">
        <v>77084.490000000005</v>
      </c>
      <c r="AE693">
        <v>0.19489999999999999</v>
      </c>
      <c r="AF693">
        <v>114900000</v>
      </c>
      <c r="AG693">
        <v>3710000</v>
      </c>
      <c r="AH693">
        <v>-16970000</v>
      </c>
      <c r="AI693">
        <v>9650000</v>
      </c>
      <c r="AJ693">
        <v>10010000</v>
      </c>
      <c r="AK693">
        <v>1.1371689543525794E-7</v>
      </c>
      <c r="AL693">
        <v>8.7119234116623145E-2</v>
      </c>
    </row>
    <row r="694" spans="2:38">
      <c r="B694">
        <v>0.20131291028446388</v>
      </c>
      <c r="C694">
        <v>4.82</v>
      </c>
      <c r="D694">
        <v>4.71</v>
      </c>
      <c r="E694">
        <v>2.3084994753410349E-2</v>
      </c>
      <c r="F694">
        <v>148500</v>
      </c>
      <c r="G694">
        <v>12600000</v>
      </c>
      <c r="H694">
        <v>651915</v>
      </c>
      <c r="I694">
        <v>67783446</v>
      </c>
      <c r="J694">
        <v>2.1908003909981207E-3</v>
      </c>
      <c r="K694">
        <v>78225.98</v>
      </c>
      <c r="L694">
        <v>0.19489999999999999</v>
      </c>
      <c r="M694">
        <v>114900000</v>
      </c>
      <c r="N694">
        <v>371000000</v>
      </c>
      <c r="O694">
        <v>-16970000</v>
      </c>
      <c r="P694">
        <v>9650000</v>
      </c>
      <c r="Q694">
        <v>10010000</v>
      </c>
      <c r="R694">
        <v>1.5965521985697728E-7</v>
      </c>
      <c r="S694">
        <v>8.7119234116623145E-2</v>
      </c>
      <c r="U694">
        <v>0.20131291028446388</v>
      </c>
      <c r="V694">
        <v>4.82</v>
      </c>
      <c r="W694">
        <v>4.71</v>
      </c>
      <c r="X694">
        <f t="shared" si="10"/>
        <v>2.3084994753410349E-2</v>
      </c>
      <c r="Y694">
        <v>148500</v>
      </c>
      <c r="Z694">
        <v>12600000</v>
      </c>
      <c r="AA694">
        <v>651915</v>
      </c>
      <c r="AB694">
        <v>67783446</v>
      </c>
      <c r="AC694">
        <v>2.1908003909981207E-3</v>
      </c>
      <c r="AD694">
        <v>78225.98</v>
      </c>
      <c r="AE694">
        <v>0.19489999999999999</v>
      </c>
      <c r="AF694">
        <v>114900000</v>
      </c>
      <c r="AG694">
        <v>3710000</v>
      </c>
      <c r="AH694">
        <v>-16970000</v>
      </c>
      <c r="AI694">
        <v>9650000</v>
      </c>
      <c r="AJ694">
        <v>10010000</v>
      </c>
      <c r="AK694">
        <v>1.5965521985697728E-7</v>
      </c>
      <c r="AL694">
        <v>8.7119234116623145E-2</v>
      </c>
    </row>
    <row r="695" spans="2:38">
      <c r="B695">
        <v>4.4354838709677546E-2</v>
      </c>
      <c r="C695">
        <v>4.99</v>
      </c>
      <c r="D695">
        <v>4.8499999999999996</v>
      </c>
      <c r="E695">
        <v>2.8455284552845645E-2</v>
      </c>
      <c r="F695">
        <v>25499</v>
      </c>
      <c r="G695">
        <v>12600000</v>
      </c>
      <c r="H695">
        <v>124945.1</v>
      </c>
      <c r="I695">
        <v>67783446</v>
      </c>
      <c r="J695">
        <v>3.761832940744854E-4</v>
      </c>
      <c r="K695">
        <v>77740.31</v>
      </c>
      <c r="L695">
        <v>0.19489999999999999</v>
      </c>
      <c r="M695">
        <v>114900000</v>
      </c>
      <c r="N695">
        <v>371000000</v>
      </c>
      <c r="O695">
        <v>-16970000</v>
      </c>
      <c r="P695">
        <v>9650000</v>
      </c>
      <c r="Q695">
        <v>10010000</v>
      </c>
      <c r="R695">
        <v>6.4805790638471145E-8</v>
      </c>
      <c r="S695">
        <v>8.7119234116623145E-2</v>
      </c>
      <c r="U695">
        <v>4.4354838709677546E-2</v>
      </c>
      <c r="V695">
        <v>4.99</v>
      </c>
      <c r="W695">
        <v>4.8499999999999996</v>
      </c>
      <c r="X695">
        <f t="shared" si="10"/>
        <v>2.8455284552845645E-2</v>
      </c>
      <c r="Y695">
        <v>25499</v>
      </c>
      <c r="Z695">
        <v>12600000</v>
      </c>
      <c r="AA695">
        <v>124945.1</v>
      </c>
      <c r="AB695">
        <v>67783446</v>
      </c>
      <c r="AC695">
        <v>3.761832940744854E-4</v>
      </c>
      <c r="AD695">
        <v>77740.31</v>
      </c>
      <c r="AE695">
        <v>0.19489999999999999</v>
      </c>
      <c r="AF695">
        <v>114900000</v>
      </c>
      <c r="AG695">
        <v>3710000</v>
      </c>
      <c r="AH695">
        <v>-16970000</v>
      </c>
      <c r="AI695">
        <v>9650000</v>
      </c>
      <c r="AJ695">
        <v>10010000</v>
      </c>
      <c r="AK695">
        <v>6.4805790638471145E-8</v>
      </c>
      <c r="AL695">
        <v>8.7119234116623145E-2</v>
      </c>
    </row>
    <row r="696" spans="2:38">
      <c r="B696">
        <v>4.3912175648702548E-2</v>
      </c>
      <c r="C696">
        <v>4.99</v>
      </c>
      <c r="D696">
        <v>4.93</v>
      </c>
      <c r="E696">
        <v>1.2096774193548487E-2</v>
      </c>
      <c r="F696">
        <v>17389</v>
      </c>
      <c r="G696">
        <v>12600000</v>
      </c>
      <c r="H696">
        <v>85901.66</v>
      </c>
      <c r="I696">
        <v>67783446</v>
      </c>
      <c r="J696">
        <v>2.5653756228327489E-4</v>
      </c>
      <c r="K696">
        <v>77886.990000000005</v>
      </c>
      <c r="L696">
        <v>0.19489999999999999</v>
      </c>
      <c r="M696">
        <v>114900000</v>
      </c>
      <c r="N696">
        <v>371000000</v>
      </c>
      <c r="O696">
        <v>-16970000</v>
      </c>
      <c r="P696">
        <v>9650000</v>
      </c>
      <c r="Q696">
        <v>10010000</v>
      </c>
      <c r="R696">
        <v>1.431297365756752E-7</v>
      </c>
      <c r="S696">
        <v>8.7119234116623145E-2</v>
      </c>
      <c r="U696">
        <v>4.3912175648702548E-2</v>
      </c>
      <c r="V696">
        <v>4.99</v>
      </c>
      <c r="W696">
        <v>4.93</v>
      </c>
      <c r="X696">
        <f t="shared" si="10"/>
        <v>1.2096774193548487E-2</v>
      </c>
      <c r="Y696">
        <v>17389</v>
      </c>
      <c r="Z696">
        <v>12600000</v>
      </c>
      <c r="AA696">
        <v>85901.66</v>
      </c>
      <c r="AB696">
        <v>67783446</v>
      </c>
      <c r="AC696">
        <v>2.5653756228327489E-4</v>
      </c>
      <c r="AD696">
        <v>77886.990000000005</v>
      </c>
      <c r="AE696">
        <v>0.19489999999999999</v>
      </c>
      <c r="AF696">
        <v>114900000</v>
      </c>
      <c r="AG696">
        <v>3710000</v>
      </c>
      <c r="AH696">
        <v>-16970000</v>
      </c>
      <c r="AI696">
        <v>9650000</v>
      </c>
      <c r="AJ696">
        <v>10010000</v>
      </c>
      <c r="AK696">
        <v>1.431297365756752E-7</v>
      </c>
      <c r="AL696">
        <v>8.7119234116623145E-2</v>
      </c>
    </row>
    <row r="697" spans="2:38">
      <c r="B697">
        <v>5.8058058058058075E-2</v>
      </c>
      <c r="C697">
        <v>4.9400000000000004</v>
      </c>
      <c r="D697">
        <v>4.82</v>
      </c>
      <c r="E697">
        <v>2.4590163934426246E-2</v>
      </c>
      <c r="F697">
        <v>20716</v>
      </c>
      <c r="G697">
        <v>12600000</v>
      </c>
      <c r="H697">
        <v>101094.08</v>
      </c>
      <c r="I697">
        <v>67783446</v>
      </c>
      <c r="J697">
        <v>3.056203427603843E-4</v>
      </c>
      <c r="K697">
        <v>78628.81</v>
      </c>
      <c r="L697">
        <v>0.19489999999999999</v>
      </c>
      <c r="M697">
        <v>114900000</v>
      </c>
      <c r="N697">
        <v>371000000</v>
      </c>
      <c r="O697">
        <v>-16970000</v>
      </c>
      <c r="P697">
        <v>9650000</v>
      </c>
      <c r="Q697">
        <v>10010000</v>
      </c>
      <c r="R697">
        <v>4.070689735193665E-8</v>
      </c>
      <c r="S697">
        <v>8.7119234116623145E-2</v>
      </c>
      <c r="U697">
        <v>5.8058058058058075E-2</v>
      </c>
      <c r="V697">
        <v>4.9400000000000004</v>
      </c>
      <c r="W697">
        <v>4.82</v>
      </c>
      <c r="X697">
        <f t="shared" si="10"/>
        <v>2.4590163934426246E-2</v>
      </c>
      <c r="Y697">
        <v>20716</v>
      </c>
      <c r="Z697">
        <v>12600000</v>
      </c>
      <c r="AA697">
        <v>101094.08</v>
      </c>
      <c r="AB697">
        <v>67783446</v>
      </c>
      <c r="AC697">
        <v>3.056203427603843E-4</v>
      </c>
      <c r="AD697">
        <v>78628.81</v>
      </c>
      <c r="AE697">
        <v>0.19489999999999999</v>
      </c>
      <c r="AF697">
        <v>114900000</v>
      </c>
      <c r="AG697">
        <v>3710000</v>
      </c>
      <c r="AH697">
        <v>-16970000</v>
      </c>
      <c r="AI697">
        <v>9650000</v>
      </c>
      <c r="AJ697">
        <v>10010000</v>
      </c>
      <c r="AK697">
        <v>4.070689735193665E-8</v>
      </c>
      <c r="AL697">
        <v>8.7119234116623145E-2</v>
      </c>
    </row>
    <row r="698" spans="2:38">
      <c r="B698">
        <v>8.6606243705941541E-2</v>
      </c>
      <c r="C698">
        <v>4.9000000000000004</v>
      </c>
      <c r="D698">
        <v>4.8099999999999996</v>
      </c>
      <c r="E698">
        <v>1.8537590113285426E-2</v>
      </c>
      <c r="F698">
        <v>126086</v>
      </c>
      <c r="G698">
        <v>12600000</v>
      </c>
      <c r="H698">
        <v>612777.96000000008</v>
      </c>
      <c r="I698">
        <v>67783446</v>
      </c>
      <c r="J698">
        <v>1.86012968417097E-3</v>
      </c>
      <c r="K698">
        <v>78827.740000000005</v>
      </c>
      <c r="L698">
        <v>0.19489999999999999</v>
      </c>
      <c r="M698">
        <v>114900000</v>
      </c>
      <c r="N698">
        <v>371000000</v>
      </c>
      <c r="O698">
        <v>-16970000</v>
      </c>
      <c r="P698">
        <v>9650000</v>
      </c>
      <c r="Q698">
        <v>10010000</v>
      </c>
      <c r="R698">
        <v>1.0136102356265643E-8</v>
      </c>
      <c r="S698">
        <v>8.7119234116623145E-2</v>
      </c>
      <c r="U698">
        <v>8.6606243705941541E-2</v>
      </c>
      <c r="V698">
        <v>4.9000000000000004</v>
      </c>
      <c r="W698">
        <v>4.8099999999999996</v>
      </c>
      <c r="X698">
        <f t="shared" si="10"/>
        <v>1.8537590113285426E-2</v>
      </c>
      <c r="Y698">
        <v>126086</v>
      </c>
      <c r="Z698">
        <v>12600000</v>
      </c>
      <c r="AA698">
        <v>612777.96000000008</v>
      </c>
      <c r="AB698">
        <v>67783446</v>
      </c>
      <c r="AC698">
        <v>1.86012968417097E-3</v>
      </c>
      <c r="AD698">
        <v>78827.740000000005</v>
      </c>
      <c r="AE698">
        <v>0.19489999999999999</v>
      </c>
      <c r="AF698">
        <v>114900000</v>
      </c>
      <c r="AG698">
        <v>3710000</v>
      </c>
      <c r="AH698">
        <v>-16970000</v>
      </c>
      <c r="AI698">
        <v>9650000</v>
      </c>
      <c r="AJ698">
        <v>10010000</v>
      </c>
      <c r="AK698">
        <v>1.0136102356265643E-8</v>
      </c>
      <c r="AL698">
        <v>8.7119234116623145E-2</v>
      </c>
    </row>
    <row r="699" spans="2:38">
      <c r="B699">
        <v>0.13880742913000976</v>
      </c>
      <c r="C699">
        <v>4.95</v>
      </c>
      <c r="D699">
        <v>4.8</v>
      </c>
      <c r="E699">
        <v>3.0769230769230844E-2</v>
      </c>
      <c r="F699">
        <v>172854</v>
      </c>
      <c r="G699">
        <v>12600000</v>
      </c>
      <c r="H699">
        <v>834884.82000000007</v>
      </c>
      <c r="I699">
        <v>67783446</v>
      </c>
      <c r="J699">
        <v>2.5500916551218127E-3</v>
      </c>
      <c r="K699">
        <v>78029.509999999995</v>
      </c>
      <c r="L699">
        <v>0.19489999999999999</v>
      </c>
      <c r="M699">
        <v>114900000</v>
      </c>
      <c r="N699">
        <v>371000000</v>
      </c>
      <c r="O699">
        <v>-16970000</v>
      </c>
      <c r="P699">
        <v>9650000</v>
      </c>
      <c r="Q699">
        <v>10010000</v>
      </c>
      <c r="R699">
        <v>3.3740000308673692E-8</v>
      </c>
      <c r="S699">
        <v>8.7119234116623145E-2</v>
      </c>
      <c r="U699">
        <v>0.13880742913000976</v>
      </c>
      <c r="V699">
        <v>4.95</v>
      </c>
      <c r="W699">
        <v>4.8</v>
      </c>
      <c r="X699">
        <f t="shared" si="10"/>
        <v>3.0769230769230844E-2</v>
      </c>
      <c r="Y699">
        <v>172854</v>
      </c>
      <c r="Z699">
        <v>12600000</v>
      </c>
      <c r="AA699">
        <v>834884.82000000007</v>
      </c>
      <c r="AB699">
        <v>67783446</v>
      </c>
      <c r="AC699">
        <v>2.5500916551218127E-3</v>
      </c>
      <c r="AD699">
        <v>78029.509999999995</v>
      </c>
      <c r="AE699">
        <v>0.19489999999999999</v>
      </c>
      <c r="AF699">
        <v>114900000</v>
      </c>
      <c r="AG699">
        <v>3710000</v>
      </c>
      <c r="AH699">
        <v>-16970000</v>
      </c>
      <c r="AI699">
        <v>9650000</v>
      </c>
      <c r="AJ699">
        <v>10010000</v>
      </c>
      <c r="AK699">
        <v>3.3740000308673692E-8</v>
      </c>
      <c r="AL699">
        <v>8.7119234116623145E-2</v>
      </c>
    </row>
    <row r="700" spans="2:38">
      <c r="B700">
        <v>5.8526740665993955E-2</v>
      </c>
      <c r="C700">
        <v>5</v>
      </c>
      <c r="D700">
        <v>4.95</v>
      </c>
      <c r="E700">
        <v>1.0050251256281372E-2</v>
      </c>
      <c r="F700">
        <v>105118</v>
      </c>
      <c r="G700">
        <v>12600000</v>
      </c>
      <c r="H700">
        <v>522436.45999999996</v>
      </c>
      <c r="I700">
        <v>67783446</v>
      </c>
      <c r="J700">
        <v>1.5507916195349526E-3</v>
      </c>
      <c r="K700">
        <v>78469.33</v>
      </c>
      <c r="L700">
        <v>0.19489999999999999</v>
      </c>
      <c r="M700">
        <v>114900000</v>
      </c>
      <c r="N700">
        <v>371000000</v>
      </c>
      <c r="O700">
        <v>-16970000</v>
      </c>
      <c r="P700">
        <v>9650000</v>
      </c>
      <c r="Q700">
        <v>10010000</v>
      </c>
      <c r="R700">
        <v>4.3323440435162129E-8</v>
      </c>
      <c r="S700">
        <v>8.7119234116623145E-2</v>
      </c>
      <c r="U700">
        <v>5.8526740665993955E-2</v>
      </c>
      <c r="V700">
        <v>5</v>
      </c>
      <c r="W700">
        <v>4.95</v>
      </c>
      <c r="X700">
        <f t="shared" si="10"/>
        <v>1.0050251256281372E-2</v>
      </c>
      <c r="Y700">
        <v>105118</v>
      </c>
      <c r="Z700">
        <v>12600000</v>
      </c>
      <c r="AA700">
        <v>522436.45999999996</v>
      </c>
      <c r="AB700">
        <v>67783446</v>
      </c>
      <c r="AC700">
        <v>1.5507916195349526E-3</v>
      </c>
      <c r="AD700">
        <v>78469.33</v>
      </c>
      <c r="AE700">
        <v>0.19489999999999999</v>
      </c>
      <c r="AF700">
        <v>114900000</v>
      </c>
      <c r="AG700">
        <v>3710000</v>
      </c>
      <c r="AH700">
        <v>-16970000</v>
      </c>
      <c r="AI700">
        <v>9650000</v>
      </c>
      <c r="AJ700">
        <v>10010000</v>
      </c>
      <c r="AK700">
        <v>4.3323440435162129E-8</v>
      </c>
      <c r="AL700">
        <v>8.7119234116623145E-2</v>
      </c>
    </row>
    <row r="701" spans="2:38">
      <c r="B701">
        <v>2.8455284552845645E-2</v>
      </c>
      <c r="C701">
        <v>4.8499999999999996</v>
      </c>
      <c r="D701">
        <v>4.8099999999999996</v>
      </c>
      <c r="E701">
        <v>8.2815734989648108E-3</v>
      </c>
      <c r="F701">
        <v>62965</v>
      </c>
      <c r="G701">
        <v>12600000</v>
      </c>
      <c r="H701">
        <v>306009.90000000002</v>
      </c>
      <c r="I701">
        <v>67783446</v>
      </c>
      <c r="J701">
        <v>9.2891411864778905E-4</v>
      </c>
      <c r="K701">
        <v>79397.009999999995</v>
      </c>
      <c r="L701">
        <v>0.19489999999999999</v>
      </c>
      <c r="M701">
        <v>114900000</v>
      </c>
      <c r="N701">
        <v>371000000</v>
      </c>
      <c r="O701">
        <v>-16970000</v>
      </c>
      <c r="P701">
        <v>9650000</v>
      </c>
      <c r="Q701">
        <v>10010000</v>
      </c>
      <c r="R701">
        <v>4.0848351638297009E-8</v>
      </c>
      <c r="S701">
        <v>8.7119234116623145E-2</v>
      </c>
      <c r="U701">
        <v>2.8455284552845645E-2</v>
      </c>
      <c r="V701">
        <v>4.8499999999999996</v>
      </c>
      <c r="W701">
        <v>4.8099999999999996</v>
      </c>
      <c r="X701">
        <f t="shared" si="10"/>
        <v>8.2815734989648108E-3</v>
      </c>
      <c r="Y701">
        <v>62965</v>
      </c>
      <c r="Z701">
        <v>12600000</v>
      </c>
      <c r="AA701">
        <v>306009.90000000002</v>
      </c>
      <c r="AB701">
        <v>67783446</v>
      </c>
      <c r="AC701">
        <v>9.2891411864778905E-4</v>
      </c>
      <c r="AD701">
        <v>79397.009999999995</v>
      </c>
      <c r="AE701">
        <v>0.19489999999999999</v>
      </c>
      <c r="AF701">
        <v>114900000</v>
      </c>
      <c r="AG701">
        <v>3710000</v>
      </c>
      <c r="AH701">
        <v>-16970000</v>
      </c>
      <c r="AI701">
        <v>9650000</v>
      </c>
      <c r="AJ701">
        <v>10010000</v>
      </c>
      <c r="AK701">
        <v>4.0848351638297009E-8</v>
      </c>
      <c r="AL701">
        <v>8.7119234116623145E-2</v>
      </c>
    </row>
    <row r="702" spans="2:38">
      <c r="B702">
        <v>0.12723658051689857</v>
      </c>
      <c r="C702">
        <v>4.8499999999999996</v>
      </c>
      <c r="D702">
        <v>4.75</v>
      </c>
      <c r="E702">
        <v>2.0833333333333259E-2</v>
      </c>
      <c r="F702">
        <v>294648</v>
      </c>
      <c r="G702">
        <v>12600000</v>
      </c>
      <c r="H702">
        <v>1414310.4</v>
      </c>
      <c r="I702">
        <v>67783446</v>
      </c>
      <c r="J702">
        <v>4.3469020444903321E-3</v>
      </c>
      <c r="K702">
        <v>78987.09</v>
      </c>
      <c r="L702">
        <v>0.19489999999999999</v>
      </c>
      <c r="M702">
        <v>114900000</v>
      </c>
      <c r="N702">
        <v>371000000</v>
      </c>
      <c r="O702">
        <v>-16970000</v>
      </c>
      <c r="P702">
        <v>9650000</v>
      </c>
      <c r="Q702">
        <v>10010000</v>
      </c>
      <c r="R702">
        <v>5.5641829161653172E-8</v>
      </c>
      <c r="S702">
        <v>8.7119234116623145E-2</v>
      </c>
      <c r="U702">
        <v>0.12723658051689857</v>
      </c>
      <c r="V702">
        <v>4.8499999999999996</v>
      </c>
      <c r="W702">
        <v>4.75</v>
      </c>
      <c r="X702">
        <f t="shared" si="10"/>
        <v>2.0833333333333259E-2</v>
      </c>
      <c r="Y702">
        <v>294648</v>
      </c>
      <c r="Z702">
        <v>12600000</v>
      </c>
      <c r="AA702">
        <v>1414310.4</v>
      </c>
      <c r="AB702">
        <v>67783446</v>
      </c>
      <c r="AC702">
        <v>4.3469020444903321E-3</v>
      </c>
      <c r="AD702">
        <v>78987.09</v>
      </c>
      <c r="AE702">
        <v>0.19489999999999999</v>
      </c>
      <c r="AF702">
        <v>114900000</v>
      </c>
      <c r="AG702">
        <v>3710000</v>
      </c>
      <c r="AH702">
        <v>-16970000</v>
      </c>
      <c r="AI702">
        <v>9650000</v>
      </c>
      <c r="AJ702">
        <v>10010000</v>
      </c>
      <c r="AK702">
        <v>5.5641829161653172E-8</v>
      </c>
      <c r="AL702">
        <v>8.7119234116623145E-2</v>
      </c>
    </row>
    <row r="703" spans="2:38">
      <c r="B703">
        <v>4.15094339622641E-2</v>
      </c>
      <c r="C703">
        <v>5.21</v>
      </c>
      <c r="D703">
        <v>5.19</v>
      </c>
      <c r="E703">
        <v>3.846153846153764E-3</v>
      </c>
      <c r="F703">
        <v>62755</v>
      </c>
      <c r="G703">
        <v>12600000</v>
      </c>
      <c r="H703">
        <v>326953.55</v>
      </c>
      <c r="I703">
        <v>67783446</v>
      </c>
      <c r="J703">
        <v>9.2581601708476133E-4</v>
      </c>
      <c r="K703">
        <v>78539.19</v>
      </c>
      <c r="L703">
        <v>0.19489999999999999</v>
      </c>
      <c r="M703">
        <v>114900000</v>
      </c>
      <c r="N703">
        <v>371000000</v>
      </c>
      <c r="O703">
        <v>-16970000</v>
      </c>
      <c r="P703">
        <v>9650000</v>
      </c>
      <c r="Q703">
        <v>10010000</v>
      </c>
      <c r="R703">
        <v>0</v>
      </c>
      <c r="S703">
        <v>8.7119234116623145E-2</v>
      </c>
      <c r="U703">
        <v>4.15094339622641E-2</v>
      </c>
      <c r="V703">
        <v>5.21</v>
      </c>
      <c r="W703">
        <v>5.19</v>
      </c>
      <c r="X703">
        <f t="shared" si="10"/>
        <v>3.846153846153764E-3</v>
      </c>
      <c r="Y703">
        <v>62755</v>
      </c>
      <c r="Z703">
        <v>12600000</v>
      </c>
      <c r="AA703">
        <v>326953.55</v>
      </c>
      <c r="AB703">
        <v>67783446</v>
      </c>
      <c r="AC703">
        <v>9.2581601708476133E-4</v>
      </c>
      <c r="AD703">
        <v>78539.19</v>
      </c>
      <c r="AE703">
        <v>0.19489999999999999</v>
      </c>
      <c r="AF703">
        <v>114900000</v>
      </c>
      <c r="AG703">
        <v>3710000</v>
      </c>
      <c r="AH703">
        <v>-16970000</v>
      </c>
      <c r="AI703">
        <v>9650000</v>
      </c>
      <c r="AJ703">
        <v>10010000</v>
      </c>
      <c r="AK703">
        <v>0</v>
      </c>
      <c r="AL703">
        <v>8.7119234116623145E-2</v>
      </c>
    </row>
    <row r="704" spans="2:38">
      <c r="B704">
        <v>0</v>
      </c>
      <c r="C704">
        <v>0</v>
      </c>
      <c r="D704">
        <v>0</v>
      </c>
      <c r="E704">
        <v>0</v>
      </c>
      <c r="F704">
        <v>0</v>
      </c>
      <c r="G704">
        <v>0</v>
      </c>
      <c r="H704">
        <v>0</v>
      </c>
      <c r="I704">
        <v>0</v>
      </c>
      <c r="J704">
        <v>0</v>
      </c>
      <c r="K704">
        <v>0</v>
      </c>
      <c r="L704">
        <v>0</v>
      </c>
      <c r="M704">
        <v>0</v>
      </c>
      <c r="N704">
        <v>0</v>
      </c>
      <c r="O704">
        <v>0</v>
      </c>
      <c r="P704">
        <v>0</v>
      </c>
      <c r="Q704">
        <v>0</v>
      </c>
      <c r="R704">
        <v>0</v>
      </c>
      <c r="S704">
        <v>0</v>
      </c>
      <c r="U704">
        <v>1.3536911695262072E-2</v>
      </c>
      <c r="V704">
        <v>31.84</v>
      </c>
      <c r="W704">
        <v>31.81</v>
      </c>
      <c r="X704">
        <f t="shared" si="10"/>
        <v>9.4265514532603726E-4</v>
      </c>
      <c r="Y704">
        <v>365492</v>
      </c>
      <c r="Z704">
        <v>880300000</v>
      </c>
      <c r="AA704">
        <v>11644575.119999999</v>
      </c>
      <c r="AB704">
        <v>456360000</v>
      </c>
      <c r="AC704">
        <v>8.0088526601805588E-4</v>
      </c>
      <c r="AD704">
        <v>82074.45</v>
      </c>
      <c r="AE704">
        <v>0.1741</v>
      </c>
      <c r="AF704">
        <v>81551000000</v>
      </c>
      <c r="AG704">
        <v>19590000000</v>
      </c>
      <c r="AH704">
        <v>-1361500000</v>
      </c>
      <c r="AI704">
        <v>2784300000</v>
      </c>
      <c r="AJ704">
        <v>9944190000</v>
      </c>
      <c r="AK704">
        <v>5.3875093395896477E-11</v>
      </c>
      <c r="AL704">
        <v>0.12193829628085492</v>
      </c>
    </row>
    <row r="705" spans="2:38">
      <c r="B705" t="str">
        <v>Relative high-low price</v>
      </c>
      <c r="C705" t="str">
        <v>Ask price</v>
      </c>
      <c r="D705" t="str">
        <v xml:space="preserve">Bid price </v>
      </c>
      <c r="E705" t="str">
        <v xml:space="preserve">Relative Bid-Ask Spread </v>
      </c>
      <c r="F705" t="str">
        <v>daily trading volume</v>
      </c>
      <c r="G705" t="str">
        <v xml:space="preserve">Common shares outstanding </v>
      </c>
      <c r="H705" t="str">
        <v xml:space="preserve">Trading value </v>
      </c>
      <c r="I705" t="str">
        <v xml:space="preserve">free float shares </v>
      </c>
      <c r="J705" t="str">
        <v>Turnover</v>
      </c>
      <c r="K705" t="str">
        <v>Daily kse-100 index</v>
      </c>
      <c r="L705" t="str">
        <v xml:space="preserve">Risk free rate </v>
      </c>
      <c r="M705" t="str">
        <v xml:space="preserve">Total assets </v>
      </c>
      <c r="N705" t="str">
        <v xml:space="preserve">total liabilities </v>
      </c>
      <c r="O705" t="str">
        <v>EBITDA</v>
      </c>
      <c r="P705" t="str">
        <v xml:space="preserve">Cash and equivalents </v>
      </c>
      <c r="Q705" t="str">
        <v xml:space="preserve">total debt </v>
      </c>
      <c r="R705" t="str">
        <v>Amihud illiquidity ratio</v>
      </c>
      <c r="S705" t="str">
        <v>Leverage ratio</v>
      </c>
      <c r="U705">
        <v>5.1218759642085894E-2</v>
      </c>
      <c r="V705">
        <v>31.86</v>
      </c>
      <c r="W705">
        <v>31.85</v>
      </c>
      <c r="X705">
        <f t="shared" si="10"/>
        <v>3.1392246115203296E-4</v>
      </c>
      <c r="Y705">
        <v>1003105</v>
      </c>
      <c r="Z705">
        <v>880300000</v>
      </c>
      <c r="AA705">
        <v>31978987.399999999</v>
      </c>
      <c r="AB705">
        <v>456360000</v>
      </c>
      <c r="AC705">
        <v>2.198056359014813E-3</v>
      </c>
      <c r="AD705">
        <v>81459.289999999994</v>
      </c>
      <c r="AE705">
        <v>0.1741</v>
      </c>
      <c r="AF705">
        <v>81551000000</v>
      </c>
      <c r="AG705">
        <v>19590000000</v>
      </c>
      <c r="AH705">
        <v>-1361500000</v>
      </c>
      <c r="AI705">
        <v>2784300000</v>
      </c>
      <c r="AJ705">
        <v>9944190000</v>
      </c>
      <c r="AK705">
        <v>1.379292597373259E-10</v>
      </c>
      <c r="AL705">
        <v>0.12193829628085492</v>
      </c>
    </row>
    <row r="706" spans="2:38">
      <c r="B706">
        <v>1.3536911695262072E-2</v>
      </c>
      <c r="C706">
        <v>31.84</v>
      </c>
      <c r="D706">
        <v>31.81</v>
      </c>
      <c r="E706">
        <v>9.4265514532603726E-4</v>
      </c>
      <c r="F706">
        <v>365492</v>
      </c>
      <c r="G706">
        <v>880300000</v>
      </c>
      <c r="H706">
        <v>11644575.119999999</v>
      </c>
      <c r="I706">
        <v>456360000</v>
      </c>
      <c r="J706">
        <v>8.0088526601805588E-4</v>
      </c>
      <c r="K706">
        <v>82074.45</v>
      </c>
      <c r="L706">
        <v>0.1741</v>
      </c>
      <c r="M706">
        <v>81551000000</v>
      </c>
      <c r="N706">
        <v>19590000000</v>
      </c>
      <c r="O706">
        <v>-1361500000</v>
      </c>
      <c r="P706">
        <v>2784300000</v>
      </c>
      <c r="Q706">
        <v>9944190000</v>
      </c>
      <c r="R706">
        <v>5.3875093395896477E-11</v>
      </c>
      <c r="S706">
        <v>0.12193829628085492</v>
      </c>
      <c r="U706">
        <v>1.2618296529968411E-2</v>
      </c>
      <c r="V706">
        <v>31.74</v>
      </c>
      <c r="W706">
        <v>31.7</v>
      </c>
      <c r="X706">
        <f t="shared" si="10"/>
        <v>1.2610340479192669E-3</v>
      </c>
      <c r="Y706">
        <v>617450</v>
      </c>
      <c r="Z706">
        <v>880300000</v>
      </c>
      <c r="AA706">
        <v>19597863</v>
      </c>
      <c r="AB706">
        <v>456360000</v>
      </c>
      <c r="AC706">
        <v>1.3529888684371987E-3</v>
      </c>
      <c r="AD706">
        <v>80461.34</v>
      </c>
      <c r="AE706">
        <v>0.1741</v>
      </c>
      <c r="AF706">
        <v>81551000000</v>
      </c>
      <c r="AG706">
        <v>19590000000</v>
      </c>
      <c r="AH706">
        <v>-1361500000</v>
      </c>
      <c r="AI706">
        <v>2784300000</v>
      </c>
      <c r="AJ706">
        <v>9944190000</v>
      </c>
      <c r="AK706">
        <v>1.2828654068179925E-10</v>
      </c>
      <c r="AL706">
        <v>0.12193829628085492</v>
      </c>
    </row>
    <row r="707" spans="2:38">
      <c r="B707">
        <v>5.1218759642085894E-2</v>
      </c>
      <c r="C707">
        <v>31.86</v>
      </c>
      <c r="D707">
        <v>31.85</v>
      </c>
      <c r="E707">
        <v>3.1392246115203296E-4</v>
      </c>
      <c r="F707">
        <v>1003105</v>
      </c>
      <c r="G707">
        <v>880300000</v>
      </c>
      <c r="H707">
        <v>31978987.399999999</v>
      </c>
      <c r="I707">
        <v>456360000</v>
      </c>
      <c r="J707">
        <v>2.198056359014813E-3</v>
      </c>
      <c r="K707">
        <v>81459.289999999994</v>
      </c>
      <c r="L707">
        <v>0.1741</v>
      </c>
      <c r="M707">
        <v>81551000000</v>
      </c>
      <c r="N707">
        <v>19590000000</v>
      </c>
      <c r="O707">
        <v>-1361500000</v>
      </c>
      <c r="P707">
        <v>2784300000</v>
      </c>
      <c r="Q707">
        <v>9944190000</v>
      </c>
      <c r="R707">
        <v>1.379292597373259E-10</v>
      </c>
      <c r="S707">
        <v>0.12193829628085492</v>
      </c>
      <c r="U707">
        <v>1.2923561859732076E-2</v>
      </c>
      <c r="V707">
        <v>31.83</v>
      </c>
      <c r="W707">
        <v>31.8</v>
      </c>
      <c r="X707">
        <f t="shared" si="10"/>
        <v>9.4295143800086705E-4</v>
      </c>
      <c r="Y707">
        <v>525179</v>
      </c>
      <c r="Z707">
        <v>880300000</v>
      </c>
      <c r="AA707">
        <v>16711195.779999999</v>
      </c>
      <c r="AB707">
        <v>456360000</v>
      </c>
      <c r="AC707">
        <v>1.1507998071697782E-3</v>
      </c>
      <c r="AD707">
        <v>79491.14</v>
      </c>
      <c r="AE707">
        <v>0.1741</v>
      </c>
      <c r="AF707">
        <v>81551000000</v>
      </c>
      <c r="AG707">
        <v>19590000000</v>
      </c>
      <c r="AH707">
        <v>-1361500000</v>
      </c>
      <c r="AI707">
        <v>2784300000</v>
      </c>
      <c r="AJ707">
        <v>9944190000</v>
      </c>
      <c r="AK707">
        <v>1.8865107927053919E-10</v>
      </c>
      <c r="AL707">
        <v>0.12193829628085492</v>
      </c>
    </row>
    <row r="708" spans="2:38">
      <c r="B708">
        <v>1.2618296529968411E-2</v>
      </c>
      <c r="C708">
        <v>31.74</v>
      </c>
      <c r="D708">
        <v>31.7</v>
      </c>
      <c r="E708">
        <v>1.2610340479192669E-3</v>
      </c>
      <c r="F708">
        <v>617450</v>
      </c>
      <c r="G708">
        <v>880300000</v>
      </c>
      <c r="H708">
        <v>19597863</v>
      </c>
      <c r="I708">
        <v>456360000</v>
      </c>
      <c r="J708">
        <v>1.3529888684371987E-3</v>
      </c>
      <c r="K708">
        <v>80461.34</v>
      </c>
      <c r="L708">
        <v>0.1741</v>
      </c>
      <c r="M708">
        <v>81551000000</v>
      </c>
      <c r="N708">
        <v>19590000000</v>
      </c>
      <c r="O708">
        <v>-1361500000</v>
      </c>
      <c r="P708">
        <v>2784300000</v>
      </c>
      <c r="Q708">
        <v>9944190000</v>
      </c>
      <c r="R708">
        <v>1.2828654068179925E-10</v>
      </c>
      <c r="S708">
        <v>0.12193829628085492</v>
      </c>
      <c r="U708">
        <v>1.5748031496062992E-2</v>
      </c>
      <c r="V708">
        <v>31.78</v>
      </c>
      <c r="W708">
        <v>31.75</v>
      </c>
      <c r="X708">
        <f t="shared" si="10"/>
        <v>9.4443569966948325E-4</v>
      </c>
      <c r="Y708">
        <v>529073</v>
      </c>
      <c r="Z708">
        <v>880300000</v>
      </c>
      <c r="AA708">
        <v>16782195.559999999</v>
      </c>
      <c r="AB708">
        <v>456360000</v>
      </c>
      <c r="AC708">
        <v>1.1593325444824261E-3</v>
      </c>
      <c r="AD708">
        <v>79333.06</v>
      </c>
      <c r="AE708">
        <v>0.1741</v>
      </c>
      <c r="AF708">
        <v>81551000000</v>
      </c>
      <c r="AG708">
        <v>19590000000</v>
      </c>
      <c r="AH708">
        <v>-1361500000</v>
      </c>
      <c r="AI708">
        <v>2784300000</v>
      </c>
      <c r="AJ708">
        <v>9944190000</v>
      </c>
      <c r="AK708">
        <v>1.8791220143063821E-11</v>
      </c>
      <c r="AL708">
        <v>0.12193829628085492</v>
      </c>
    </row>
    <row r="709" spans="2:38">
      <c r="B709">
        <v>1.2923561859732076E-2</v>
      </c>
      <c r="C709">
        <v>31.83</v>
      </c>
      <c r="D709">
        <v>31.8</v>
      </c>
      <c r="E709">
        <v>9.4295143800086705E-4</v>
      </c>
      <c r="F709">
        <v>525179</v>
      </c>
      <c r="G709">
        <v>880300000</v>
      </c>
      <c r="H709">
        <v>16711195.779999999</v>
      </c>
      <c r="I709">
        <v>456360000</v>
      </c>
      <c r="J709">
        <v>1.1507998071697782E-3</v>
      </c>
      <c r="K709">
        <v>79491.14</v>
      </c>
      <c r="L709">
        <v>0.1741</v>
      </c>
      <c r="M709">
        <v>81551000000</v>
      </c>
      <c r="N709">
        <v>19590000000</v>
      </c>
      <c r="O709">
        <v>-1361500000</v>
      </c>
      <c r="P709">
        <v>2784300000</v>
      </c>
      <c r="Q709">
        <v>9944190000</v>
      </c>
      <c r="R709">
        <v>1.8865107927053919E-10</v>
      </c>
      <c r="S709">
        <v>0.12193829628085492</v>
      </c>
      <c r="U709">
        <v>1.0766307789740338E-2</v>
      </c>
      <c r="V709">
        <v>31.74</v>
      </c>
      <c r="W709">
        <v>31.71</v>
      </c>
      <c r="X709">
        <f t="shared" si="10"/>
        <v>9.45626477541295E-4</v>
      </c>
      <c r="Y709">
        <v>515200</v>
      </c>
      <c r="Z709">
        <v>880300000</v>
      </c>
      <c r="AA709">
        <v>16336992</v>
      </c>
      <c r="AB709">
        <v>456360000</v>
      </c>
      <c r="AC709">
        <v>1.1289332982732929E-3</v>
      </c>
      <c r="AD709">
        <v>79017.62</v>
      </c>
      <c r="AE709">
        <v>0.1741</v>
      </c>
      <c r="AF709">
        <v>81551000000</v>
      </c>
      <c r="AG709">
        <v>19590000000</v>
      </c>
      <c r="AH709">
        <v>-1361500000</v>
      </c>
      <c r="AI709">
        <v>2784300000</v>
      </c>
      <c r="AJ709">
        <v>9944190000</v>
      </c>
      <c r="AK709">
        <v>3.6897360185558814E-10</v>
      </c>
      <c r="AL709">
        <v>0.12193829628085492</v>
      </c>
    </row>
    <row r="710" spans="2:38">
      <c r="B710">
        <v>1.5748031496062992E-2</v>
      </c>
      <c r="C710">
        <v>31.78</v>
      </c>
      <c r="D710">
        <v>31.75</v>
      </c>
      <c r="E710">
        <v>9.4443569966948325E-4</v>
      </c>
      <c r="F710">
        <v>529073</v>
      </c>
      <c r="G710">
        <v>880300000</v>
      </c>
      <c r="H710">
        <v>16782195.559999999</v>
      </c>
      <c r="I710">
        <v>456360000</v>
      </c>
      <c r="J710">
        <v>1.1593325444824261E-3</v>
      </c>
      <c r="K710">
        <v>79333.06</v>
      </c>
      <c r="L710">
        <v>0.1741</v>
      </c>
      <c r="M710">
        <v>81551000000</v>
      </c>
      <c r="N710">
        <v>19590000000</v>
      </c>
      <c r="O710">
        <v>-1361500000</v>
      </c>
      <c r="P710">
        <v>2784300000</v>
      </c>
      <c r="Q710">
        <v>9944190000</v>
      </c>
      <c r="R710">
        <v>1.8791220143063821E-11</v>
      </c>
      <c r="S710">
        <v>0.12193829628085492</v>
      </c>
      <c r="U710">
        <v>1.3888888888888817E-2</v>
      </c>
      <c r="V710">
        <v>31.59</v>
      </c>
      <c r="W710">
        <v>31.51</v>
      </c>
      <c r="X710">
        <f t="shared" si="10"/>
        <v>2.5356576862123072E-3</v>
      </c>
      <c r="Y710">
        <v>513597</v>
      </c>
      <c r="Z710">
        <v>880300000</v>
      </c>
      <c r="AA710">
        <v>16188577.439999999</v>
      </c>
      <c r="AB710">
        <v>456360000</v>
      </c>
      <c r="AC710">
        <v>1.1254207204838287E-3</v>
      </c>
      <c r="AD710">
        <v>78651.8</v>
      </c>
      <c r="AE710">
        <v>0.1741</v>
      </c>
      <c r="AF710">
        <v>81551000000</v>
      </c>
      <c r="AG710">
        <v>19590000000</v>
      </c>
      <c r="AH710">
        <v>-1361500000</v>
      </c>
      <c r="AI710">
        <v>2784300000</v>
      </c>
      <c r="AJ710">
        <v>9944190000</v>
      </c>
      <c r="AK710">
        <v>5.6315201408882886E-10</v>
      </c>
      <c r="AL710">
        <v>0.12193829628085492</v>
      </c>
    </row>
    <row r="711" spans="2:38">
      <c r="B711">
        <v>1.0766307789740338E-2</v>
      </c>
      <c r="C711">
        <v>31.74</v>
      </c>
      <c r="D711">
        <v>31.71</v>
      </c>
      <c r="E711">
        <v>9.45626477541295E-4</v>
      </c>
      <c r="F711">
        <v>515200</v>
      </c>
      <c r="G711">
        <v>880300000</v>
      </c>
      <c r="H711">
        <v>16336992</v>
      </c>
      <c r="I711">
        <v>456360000</v>
      </c>
      <c r="J711">
        <v>1.1289332982732929E-3</v>
      </c>
      <c r="K711">
        <v>79017.62</v>
      </c>
      <c r="L711">
        <v>0.1741</v>
      </c>
      <c r="M711">
        <v>81551000000</v>
      </c>
      <c r="N711">
        <v>19590000000</v>
      </c>
      <c r="O711">
        <v>-1361500000</v>
      </c>
      <c r="P711">
        <v>2784300000</v>
      </c>
      <c r="Q711">
        <v>9944190000</v>
      </c>
      <c r="R711">
        <v>3.6897360185558814E-10</v>
      </c>
      <c r="S711">
        <v>0.12193829628085492</v>
      </c>
      <c r="U711">
        <v>1.5797788309636653E-2</v>
      </c>
      <c r="V711">
        <v>31.85</v>
      </c>
      <c r="W711">
        <v>31.8</v>
      </c>
      <c r="X711">
        <f t="shared" si="10"/>
        <v>1.5710919088766915E-3</v>
      </c>
      <c r="Y711">
        <v>764208</v>
      </c>
      <c r="Z711">
        <v>880300000</v>
      </c>
      <c r="AA711">
        <v>24309456.48</v>
      </c>
      <c r="AB711">
        <v>456360000</v>
      </c>
      <c r="AC711">
        <v>1.6745727057586115E-3</v>
      </c>
      <c r="AD711">
        <v>79286.740000000005</v>
      </c>
      <c r="AE711">
        <v>0.1741</v>
      </c>
      <c r="AF711">
        <v>81551000000</v>
      </c>
      <c r="AG711">
        <v>19590000000</v>
      </c>
      <c r="AH711">
        <v>-1361500000</v>
      </c>
      <c r="AI711">
        <v>2784300000</v>
      </c>
      <c r="AJ711">
        <v>9944190000</v>
      </c>
      <c r="AK711">
        <v>3.3899924858336902E-10</v>
      </c>
      <c r="AL711">
        <v>0.12193829628085492</v>
      </c>
    </row>
    <row r="712" spans="2:38">
      <c r="B712">
        <v>1.3888888888888817E-2</v>
      </c>
      <c r="C712">
        <v>31.59</v>
      </c>
      <c r="D712">
        <v>31.51</v>
      </c>
      <c r="E712">
        <v>2.5356576862123072E-3</v>
      </c>
      <c r="F712">
        <v>513597</v>
      </c>
      <c r="G712">
        <v>880300000</v>
      </c>
      <c r="H712">
        <v>16188577.439999999</v>
      </c>
      <c r="I712">
        <v>456360000</v>
      </c>
      <c r="J712">
        <v>1.1254207204838287E-3</v>
      </c>
      <c r="K712">
        <v>78651.8</v>
      </c>
      <c r="L712">
        <v>0.1741</v>
      </c>
      <c r="M712">
        <v>81551000000</v>
      </c>
      <c r="N712">
        <v>19590000000</v>
      </c>
      <c r="O712">
        <v>-1361500000</v>
      </c>
      <c r="P712">
        <v>2784300000</v>
      </c>
      <c r="Q712">
        <v>9944190000</v>
      </c>
      <c r="R712">
        <v>5.6315201408882886E-10</v>
      </c>
      <c r="S712">
        <v>0.12193829628085492</v>
      </c>
      <c r="U712">
        <v>1.1084718923198778E-2</v>
      </c>
      <c r="V712">
        <v>31.63</v>
      </c>
      <c r="W712">
        <v>31.53</v>
      </c>
      <c r="X712">
        <f t="shared" si="10"/>
        <v>3.1665611146294449E-3</v>
      </c>
      <c r="Y712">
        <v>414497</v>
      </c>
      <c r="Z712">
        <v>880300000</v>
      </c>
      <c r="AA712">
        <v>13077380.35</v>
      </c>
      <c r="AB712">
        <v>456360000</v>
      </c>
      <c r="AC712">
        <v>9.0826759575773517E-4</v>
      </c>
      <c r="AD712">
        <v>78615</v>
      </c>
      <c r="AE712">
        <v>0.1741</v>
      </c>
      <c r="AF712">
        <v>81551000000</v>
      </c>
      <c r="AG712">
        <v>19590000000</v>
      </c>
      <c r="AH712">
        <v>-1361500000</v>
      </c>
      <c r="AI712">
        <v>2784300000</v>
      </c>
      <c r="AJ712">
        <v>9944190000</v>
      </c>
      <c r="AK712">
        <v>1.6928380776987813E-10</v>
      </c>
      <c r="AL712">
        <v>0.12193829628085492</v>
      </c>
    </row>
    <row r="713" spans="2:38">
      <c r="B713">
        <v>1.5797788309636653E-2</v>
      </c>
      <c r="C713">
        <v>31.85</v>
      </c>
      <c r="D713">
        <v>31.8</v>
      </c>
      <c r="E713">
        <v>1.5710919088766915E-3</v>
      </c>
      <c r="F713">
        <v>764208</v>
      </c>
      <c r="G713">
        <v>880300000</v>
      </c>
      <c r="H713">
        <v>24309456.48</v>
      </c>
      <c r="I713">
        <v>456360000</v>
      </c>
      <c r="J713">
        <v>1.6745727057586115E-3</v>
      </c>
      <c r="K713">
        <v>79286.740000000005</v>
      </c>
      <c r="L713">
        <v>0.1741</v>
      </c>
      <c r="M713">
        <v>81551000000</v>
      </c>
      <c r="N713">
        <v>19590000000</v>
      </c>
      <c r="O713">
        <v>-1361500000</v>
      </c>
      <c r="P713">
        <v>2784300000</v>
      </c>
      <c r="Q713">
        <v>9944190000</v>
      </c>
      <c r="R713">
        <v>3.3899924858336902E-10</v>
      </c>
      <c r="S713">
        <v>0.12193829628085492</v>
      </c>
      <c r="U713">
        <v>9.4786729857820138E-3</v>
      </c>
      <c r="V713">
        <v>31.7</v>
      </c>
      <c r="W713">
        <v>31.66</v>
      </c>
      <c r="X713">
        <f t="shared" si="10"/>
        <v>1.2626262626262356E-3</v>
      </c>
      <c r="Y713">
        <v>588049</v>
      </c>
      <c r="Z713">
        <v>880300000</v>
      </c>
      <c r="AA713">
        <v>18594109.379999999</v>
      </c>
      <c r="AB713">
        <v>456360000</v>
      </c>
      <c r="AC713">
        <v>1.288563853098431E-3</v>
      </c>
      <c r="AD713">
        <v>78897.73</v>
      </c>
      <c r="AE713">
        <v>0.1741</v>
      </c>
      <c r="AF713">
        <v>81551000000</v>
      </c>
      <c r="AG713">
        <v>19590000000</v>
      </c>
      <c r="AH713">
        <v>-1361500000</v>
      </c>
      <c r="AI713">
        <v>2784300000</v>
      </c>
      <c r="AJ713">
        <v>9944190000</v>
      </c>
      <c r="AK713">
        <v>8.4907598888629628E-11</v>
      </c>
      <c r="AL713">
        <v>0.12193829628085492</v>
      </c>
    </row>
    <row r="714" spans="2:38">
      <c r="B714">
        <v>1.1084718923198778E-2</v>
      </c>
      <c r="C714">
        <v>31.63</v>
      </c>
      <c r="D714">
        <v>31.53</v>
      </c>
      <c r="E714">
        <v>3.1665611146294449E-3</v>
      </c>
      <c r="F714">
        <v>414497</v>
      </c>
      <c r="G714">
        <v>880300000</v>
      </c>
      <c r="H714">
        <v>13077380.35</v>
      </c>
      <c r="I714">
        <v>456360000</v>
      </c>
      <c r="J714">
        <v>9.0826759575773517E-4</v>
      </c>
      <c r="K714">
        <v>78615</v>
      </c>
      <c r="L714">
        <v>0.1741</v>
      </c>
      <c r="M714">
        <v>81551000000</v>
      </c>
      <c r="N714">
        <v>19590000000</v>
      </c>
      <c r="O714">
        <v>-1361500000</v>
      </c>
      <c r="P714">
        <v>2784300000</v>
      </c>
      <c r="Q714">
        <v>9944190000</v>
      </c>
      <c r="R714">
        <v>1.6928380776987813E-10</v>
      </c>
      <c r="S714">
        <v>0.12193829628085492</v>
      </c>
      <c r="U714">
        <v>2.151217968997152E-2</v>
      </c>
      <c r="V714">
        <v>31.7</v>
      </c>
      <c r="W714">
        <v>31.62</v>
      </c>
      <c r="X714">
        <f t="shared" si="10"/>
        <v>2.5268477574225613E-3</v>
      </c>
      <c r="Y714">
        <v>553105</v>
      </c>
      <c r="Z714">
        <v>880300000</v>
      </c>
      <c r="AA714">
        <v>17516835.350000001</v>
      </c>
      <c r="AB714">
        <v>456360000</v>
      </c>
      <c r="AC714">
        <v>1.2119927250416338E-3</v>
      </c>
      <c r="AD714">
        <v>78863.34</v>
      </c>
      <c r="AE714">
        <v>0.1741</v>
      </c>
      <c r="AF714">
        <v>81551000000</v>
      </c>
      <c r="AG714">
        <v>19590000000</v>
      </c>
      <c r="AH714">
        <v>-1361500000</v>
      </c>
      <c r="AI714">
        <v>2784300000</v>
      </c>
      <c r="AJ714">
        <v>9944190000</v>
      </c>
      <c r="AK714">
        <v>2.3530221505044478E-10</v>
      </c>
      <c r="AL714">
        <v>0.12193829628085492</v>
      </c>
    </row>
    <row r="715" spans="2:38">
      <c r="B715">
        <v>9.4786729857820138E-3</v>
      </c>
      <c r="C715">
        <v>31.7</v>
      </c>
      <c r="D715">
        <v>31.66</v>
      </c>
      <c r="E715">
        <v>1.2626262626262356E-3</v>
      </c>
      <c r="F715">
        <v>588049</v>
      </c>
      <c r="G715">
        <v>880300000</v>
      </c>
      <c r="H715">
        <v>18594109.379999999</v>
      </c>
      <c r="I715">
        <v>456360000</v>
      </c>
      <c r="J715">
        <v>1.288563853098431E-3</v>
      </c>
      <c r="K715">
        <v>78897.73</v>
      </c>
      <c r="L715">
        <v>0.1741</v>
      </c>
      <c r="M715">
        <v>81551000000</v>
      </c>
      <c r="N715">
        <v>19590000000</v>
      </c>
      <c r="O715">
        <v>-1361500000</v>
      </c>
      <c r="P715">
        <v>2784300000</v>
      </c>
      <c r="Q715">
        <v>9944190000</v>
      </c>
      <c r="R715">
        <v>8.4907598888629628E-11</v>
      </c>
      <c r="S715">
        <v>0.12193829628085492</v>
      </c>
      <c r="U715">
        <v>1.6700803529226441E-2</v>
      </c>
      <c r="V715">
        <v>31.6</v>
      </c>
      <c r="W715">
        <v>31.59</v>
      </c>
      <c r="X715">
        <f t="shared" si="10"/>
        <v>3.1650577623046567E-4</v>
      </c>
      <c r="Y715">
        <v>1508532</v>
      </c>
      <c r="Z715">
        <v>880300000</v>
      </c>
      <c r="AA715">
        <v>47579099.280000001</v>
      </c>
      <c r="AB715">
        <v>456360000</v>
      </c>
      <c r="AC715">
        <v>3.3055745464107282E-3</v>
      </c>
      <c r="AD715">
        <v>78848.009999999995</v>
      </c>
      <c r="AE715">
        <v>0.1741</v>
      </c>
      <c r="AF715">
        <v>81551000000</v>
      </c>
      <c r="AG715">
        <v>19590000000</v>
      </c>
      <c r="AH715">
        <v>-1361500000</v>
      </c>
      <c r="AI715">
        <v>2784300000</v>
      </c>
      <c r="AJ715">
        <v>9944190000</v>
      </c>
      <c r="AK715">
        <v>3.2153105477823414E-10</v>
      </c>
      <c r="AL715">
        <v>0.12193829628085492</v>
      </c>
    </row>
    <row r="716" spans="2:38">
      <c r="B716">
        <v>2.151217968997152E-2</v>
      </c>
      <c r="C716">
        <v>31.7</v>
      </c>
      <c r="D716">
        <v>31.62</v>
      </c>
      <c r="E716">
        <v>2.5268477574225613E-3</v>
      </c>
      <c r="F716">
        <v>553105</v>
      </c>
      <c r="G716">
        <v>880300000</v>
      </c>
      <c r="H716">
        <v>17516835.350000001</v>
      </c>
      <c r="I716">
        <v>456360000</v>
      </c>
      <c r="J716">
        <v>1.2119927250416338E-3</v>
      </c>
      <c r="K716">
        <v>78863.34</v>
      </c>
      <c r="L716">
        <v>0.1741</v>
      </c>
      <c r="M716">
        <v>81551000000</v>
      </c>
      <c r="N716">
        <v>19590000000</v>
      </c>
      <c r="O716">
        <v>-1361500000</v>
      </c>
      <c r="P716">
        <v>2784300000</v>
      </c>
      <c r="Q716">
        <v>9944190000</v>
      </c>
      <c r="R716">
        <v>2.3530221505044478E-10</v>
      </c>
      <c r="S716">
        <v>0.12193829628085492</v>
      </c>
      <c r="U716">
        <v>8.5171568627451011E-2</v>
      </c>
      <c r="V716">
        <v>32.08</v>
      </c>
      <c r="W716">
        <v>32</v>
      </c>
      <c r="X716">
        <f t="shared" si="10"/>
        <v>2.4968789013732301E-3</v>
      </c>
      <c r="Y716">
        <v>5861333</v>
      </c>
      <c r="Z716">
        <v>880300000</v>
      </c>
      <c r="AA716">
        <v>187738495.99000001</v>
      </c>
      <c r="AB716">
        <v>456360000</v>
      </c>
      <c r="AC716">
        <v>1.2843660706459812E-2</v>
      </c>
      <c r="AD716">
        <v>78356.320000000007</v>
      </c>
      <c r="AE716">
        <v>0.17469999999999999</v>
      </c>
      <c r="AF716">
        <v>81551000000</v>
      </c>
      <c r="AG716">
        <v>19590000000</v>
      </c>
      <c r="AH716">
        <v>-1361500000</v>
      </c>
      <c r="AI716">
        <v>2784300000</v>
      </c>
      <c r="AJ716">
        <v>9944190000</v>
      </c>
      <c r="AK716">
        <v>4.7793992542188232E-11</v>
      </c>
      <c r="AL716">
        <v>0.12193829628085492</v>
      </c>
    </row>
    <row r="717" spans="2:38">
      <c r="B717">
        <v>1.6700803529226441E-2</v>
      </c>
      <c r="C717">
        <v>31.6</v>
      </c>
      <c r="D717">
        <v>31.59</v>
      </c>
      <c r="E717">
        <v>3.1650577623046567E-4</v>
      </c>
      <c r="F717">
        <v>1508532</v>
      </c>
      <c r="G717">
        <v>880300000</v>
      </c>
      <c r="H717">
        <v>47579099.280000001</v>
      </c>
      <c r="I717">
        <v>456360000</v>
      </c>
      <c r="J717">
        <v>3.3055745464107282E-3</v>
      </c>
      <c r="K717">
        <v>78848.009999999995</v>
      </c>
      <c r="L717">
        <v>0.1741</v>
      </c>
      <c r="M717">
        <v>81551000000</v>
      </c>
      <c r="N717">
        <v>19590000000</v>
      </c>
      <c r="O717">
        <v>-1361500000</v>
      </c>
      <c r="P717">
        <v>2784300000</v>
      </c>
      <c r="Q717">
        <v>9944190000</v>
      </c>
      <c r="R717">
        <v>3.2153105477823414E-10</v>
      </c>
      <c r="S717">
        <v>0.12193829628085492</v>
      </c>
      <c r="U717">
        <v>2.4537971734741502E-2</v>
      </c>
      <c r="V717">
        <v>32.4</v>
      </c>
      <c r="W717">
        <v>32.380000000000003</v>
      </c>
      <c r="X717">
        <f t="shared" si="10"/>
        <v>6.1747452917554867E-4</v>
      </c>
      <c r="Y717">
        <v>3145416</v>
      </c>
      <c r="Z717">
        <v>880300000</v>
      </c>
      <c r="AA717">
        <v>101659845.12</v>
      </c>
      <c r="AB717">
        <v>456360000</v>
      </c>
      <c r="AC717">
        <v>6.8924007362608465E-3</v>
      </c>
      <c r="AD717">
        <v>78283.3</v>
      </c>
      <c r="AE717">
        <v>0.17469999999999999</v>
      </c>
      <c r="AF717">
        <v>81551000000</v>
      </c>
      <c r="AG717">
        <v>19590000000</v>
      </c>
      <c r="AH717">
        <v>-1361500000</v>
      </c>
      <c r="AI717">
        <v>2784300000</v>
      </c>
      <c r="AJ717">
        <v>9944190000</v>
      </c>
      <c r="AK717">
        <v>1.8922745537987901E-10</v>
      </c>
      <c r="AL717">
        <v>0.12193829628085492</v>
      </c>
    </row>
    <row r="718" spans="2:38">
      <c r="B718">
        <v>8.5171568627451011E-2</v>
      </c>
      <c r="C718">
        <v>32.08</v>
      </c>
      <c r="D718">
        <v>32</v>
      </c>
      <c r="E718">
        <v>2.4968789013732301E-3</v>
      </c>
      <c r="F718">
        <v>5861333</v>
      </c>
      <c r="G718">
        <v>880300000</v>
      </c>
      <c r="H718">
        <v>187738495.99000001</v>
      </c>
      <c r="I718">
        <v>456360000</v>
      </c>
      <c r="J718">
        <v>1.2843660706459812E-2</v>
      </c>
      <c r="K718">
        <v>78356.320000000007</v>
      </c>
      <c r="L718">
        <v>0.17469999999999999</v>
      </c>
      <c r="M718">
        <v>81551000000</v>
      </c>
      <c r="N718">
        <v>19590000000</v>
      </c>
      <c r="O718">
        <v>-1361500000</v>
      </c>
      <c r="P718">
        <v>2784300000</v>
      </c>
      <c r="Q718">
        <v>9944190000</v>
      </c>
      <c r="R718">
        <v>4.7793992542188232E-11</v>
      </c>
      <c r="S718">
        <v>0.12193829628085492</v>
      </c>
      <c r="U718">
        <v>3.3791252171167026E-2</v>
      </c>
      <c r="V718">
        <v>31.89</v>
      </c>
      <c r="W718">
        <v>31.7</v>
      </c>
      <c r="X718">
        <f t="shared" si="10"/>
        <v>5.9757823557163477E-3</v>
      </c>
      <c r="Y718">
        <v>693674</v>
      </c>
      <c r="Z718">
        <v>880300000</v>
      </c>
      <c r="AA718">
        <v>21996402.539999999</v>
      </c>
      <c r="AB718">
        <v>456360000</v>
      </c>
      <c r="AC718">
        <v>1.5200149005171356E-3</v>
      </c>
      <c r="AD718">
        <v>78488.22</v>
      </c>
      <c r="AE718">
        <v>0.17469999999999999</v>
      </c>
      <c r="AF718">
        <v>81551000000</v>
      </c>
      <c r="AG718">
        <v>19590000000</v>
      </c>
      <c r="AH718">
        <v>-1361500000</v>
      </c>
      <c r="AI718">
        <v>2784300000</v>
      </c>
      <c r="AJ718">
        <v>9944190000</v>
      </c>
      <c r="AK718">
        <v>5.3672407122968775E-10</v>
      </c>
      <c r="AL718">
        <v>0.12193829628085492</v>
      </c>
    </row>
    <row r="719" spans="2:38">
      <c r="B719">
        <v>2.4537971734741502E-2</v>
      </c>
      <c r="C719">
        <v>32.4</v>
      </c>
      <c r="D719">
        <v>32.380000000000003</v>
      </c>
      <c r="E719">
        <v>6.1747452917554867E-4</v>
      </c>
      <c r="F719">
        <v>3145416</v>
      </c>
      <c r="G719">
        <v>880300000</v>
      </c>
      <c r="H719">
        <v>101659845.12</v>
      </c>
      <c r="I719">
        <v>456360000</v>
      </c>
      <c r="J719">
        <v>6.8924007362608465E-3</v>
      </c>
      <c r="K719">
        <v>78283.3</v>
      </c>
      <c r="L719">
        <v>0.17469999999999999</v>
      </c>
      <c r="M719">
        <v>81551000000</v>
      </c>
      <c r="N719">
        <v>19590000000</v>
      </c>
      <c r="O719">
        <v>-1361500000</v>
      </c>
      <c r="P719">
        <v>2784300000</v>
      </c>
      <c r="Q719">
        <v>9944190000</v>
      </c>
      <c r="R719">
        <v>1.8922745537987901E-10</v>
      </c>
      <c r="S719">
        <v>0.12193829628085492</v>
      </c>
      <c r="U719">
        <v>8.9342693044033548E-3</v>
      </c>
      <c r="V719">
        <v>31.43</v>
      </c>
      <c r="W719">
        <v>31.42</v>
      </c>
      <c r="X719">
        <f t="shared" si="10"/>
        <v>3.1821797931576805E-4</v>
      </c>
      <c r="Y719">
        <v>256228</v>
      </c>
      <c r="Z719">
        <v>880300000</v>
      </c>
      <c r="AA719">
        <v>8030185.5199999996</v>
      </c>
      <c r="AB719">
        <v>456360000</v>
      </c>
      <c r="AC719">
        <v>5.6146025067928826E-4</v>
      </c>
      <c r="AD719">
        <v>78349.66</v>
      </c>
      <c r="AE719">
        <v>0.17469999999999999</v>
      </c>
      <c r="AF719">
        <v>81551000000</v>
      </c>
      <c r="AG719">
        <v>19590000000</v>
      </c>
      <c r="AH719">
        <v>-1361500000</v>
      </c>
      <c r="AI719">
        <v>2784300000</v>
      </c>
      <c r="AJ719">
        <v>9944190000</v>
      </c>
      <c r="AK719">
        <v>7.1936528730852404E-10</v>
      </c>
      <c r="AL719">
        <v>0.12193829628085492</v>
      </c>
    </row>
    <row r="720" spans="2:38">
      <c r="B720">
        <v>3.3791252171167026E-2</v>
      </c>
      <c r="C720">
        <v>31.89</v>
      </c>
      <c r="D720">
        <v>31.7</v>
      </c>
      <c r="E720">
        <v>5.9757823557163477E-3</v>
      </c>
      <c r="F720">
        <v>693674</v>
      </c>
      <c r="G720">
        <v>880300000</v>
      </c>
      <c r="H720">
        <v>21996402.539999999</v>
      </c>
      <c r="I720">
        <v>456360000</v>
      </c>
      <c r="J720">
        <v>1.5200149005171356E-3</v>
      </c>
      <c r="K720">
        <v>78488.22</v>
      </c>
      <c r="L720">
        <v>0.17469999999999999</v>
      </c>
      <c r="M720">
        <v>81551000000</v>
      </c>
      <c r="N720">
        <v>19590000000</v>
      </c>
      <c r="O720">
        <v>-1361500000</v>
      </c>
      <c r="P720">
        <v>2784300000</v>
      </c>
      <c r="Q720">
        <v>9944190000</v>
      </c>
      <c r="R720">
        <v>5.3672407122968775E-10</v>
      </c>
      <c r="S720">
        <v>0.12193829628085492</v>
      </c>
      <c r="U720">
        <v>2.5477707006369449E-2</v>
      </c>
      <c r="V720">
        <v>31.24</v>
      </c>
      <c r="W720">
        <v>31.18</v>
      </c>
      <c r="X720">
        <f t="shared" si="10"/>
        <v>1.9224607497596515E-3</v>
      </c>
      <c r="Y720">
        <v>431102</v>
      </c>
      <c r="Z720">
        <v>880300000</v>
      </c>
      <c r="AA720">
        <v>13433138.32</v>
      </c>
      <c r="AB720">
        <v>456360000</v>
      </c>
      <c r="AC720">
        <v>9.4465334385134545E-4</v>
      </c>
      <c r="AD720">
        <v>77992.789999999994</v>
      </c>
      <c r="AE720">
        <v>0.17469999999999999</v>
      </c>
      <c r="AF720">
        <v>81551000000</v>
      </c>
      <c r="AG720">
        <v>19590000000</v>
      </c>
      <c r="AH720">
        <v>-1361500000</v>
      </c>
      <c r="AI720">
        <v>2784300000</v>
      </c>
      <c r="AJ720">
        <v>9944190000</v>
      </c>
      <c r="AK720">
        <v>8.2687936572103939E-10</v>
      </c>
      <c r="AL720">
        <v>0.12193829628085492</v>
      </c>
    </row>
    <row r="721" spans="2:38">
      <c r="B721">
        <v>8.9342693044033548E-3</v>
      </c>
      <c r="C721">
        <v>31.43</v>
      </c>
      <c r="D721">
        <v>31.42</v>
      </c>
      <c r="E721">
        <v>3.1821797931576805E-4</v>
      </c>
      <c r="F721">
        <v>256228</v>
      </c>
      <c r="G721">
        <v>880300000</v>
      </c>
      <c r="H721">
        <v>8030185.5199999996</v>
      </c>
      <c r="I721">
        <v>456360000</v>
      </c>
      <c r="J721">
        <v>5.6146025067928826E-4</v>
      </c>
      <c r="K721">
        <v>78349.66</v>
      </c>
      <c r="L721">
        <v>0.17469999999999999</v>
      </c>
      <c r="M721">
        <v>81551000000</v>
      </c>
      <c r="N721">
        <v>19590000000</v>
      </c>
      <c r="O721">
        <v>-1361500000</v>
      </c>
      <c r="P721">
        <v>2784300000</v>
      </c>
      <c r="Q721">
        <v>9944190000</v>
      </c>
      <c r="R721">
        <v>7.1936528730852404E-10</v>
      </c>
      <c r="S721">
        <v>0.12193829628085492</v>
      </c>
      <c r="U721">
        <v>1.2738853503184782E-2</v>
      </c>
      <c r="V721">
        <v>31.59</v>
      </c>
      <c r="W721">
        <v>31.54</v>
      </c>
      <c r="X721">
        <f t="shared" si="10"/>
        <v>1.5840329478853386E-3</v>
      </c>
      <c r="Y721">
        <v>550829</v>
      </c>
      <c r="Z721">
        <v>880300000</v>
      </c>
      <c r="AA721">
        <v>17356621.789999999</v>
      </c>
      <c r="AB721">
        <v>456360000</v>
      </c>
      <c r="AC721">
        <v>1.2070054343062495E-3</v>
      </c>
      <c r="AD721">
        <v>78084.240000000005</v>
      </c>
      <c r="AE721">
        <v>0.17469999999999999</v>
      </c>
      <c r="AF721">
        <v>81551000000</v>
      </c>
      <c r="AG721">
        <v>19590000000</v>
      </c>
      <c r="AH721">
        <v>-1361500000</v>
      </c>
      <c r="AI721">
        <v>2784300000</v>
      </c>
      <c r="AJ721">
        <v>9944190000</v>
      </c>
      <c r="AK721">
        <v>7.3045829911245284E-11</v>
      </c>
      <c r="AL721">
        <v>0.12193829628085492</v>
      </c>
    </row>
    <row r="722" spans="2:38">
      <c r="B722">
        <v>2.5477707006369449E-2</v>
      </c>
      <c r="C722">
        <v>31.24</v>
      </c>
      <c r="D722">
        <v>31.18</v>
      </c>
      <c r="E722">
        <v>1.9224607497596515E-3</v>
      </c>
      <c r="F722">
        <v>431102</v>
      </c>
      <c r="G722">
        <v>880300000</v>
      </c>
      <c r="H722">
        <v>13433138.32</v>
      </c>
      <c r="I722">
        <v>456360000</v>
      </c>
      <c r="J722">
        <v>9.4465334385134545E-4</v>
      </c>
      <c r="K722">
        <v>77992.789999999994</v>
      </c>
      <c r="L722">
        <v>0.17469999999999999</v>
      </c>
      <c r="M722">
        <v>81551000000</v>
      </c>
      <c r="N722">
        <v>19590000000</v>
      </c>
      <c r="O722">
        <v>-1361500000</v>
      </c>
      <c r="P722">
        <v>2784300000</v>
      </c>
      <c r="Q722">
        <v>9944190000</v>
      </c>
      <c r="R722">
        <v>8.2687936572103939E-10</v>
      </c>
      <c r="S722">
        <v>0.12193829628085492</v>
      </c>
      <c r="U722">
        <v>1.3937282229965084E-2</v>
      </c>
      <c r="V722">
        <v>31.6</v>
      </c>
      <c r="W722">
        <v>31.56</v>
      </c>
      <c r="X722">
        <f t="shared" si="10"/>
        <v>1.2666244458518906E-3</v>
      </c>
      <c r="Y722">
        <v>908383</v>
      </c>
      <c r="Z722">
        <v>880300000</v>
      </c>
      <c r="AA722">
        <v>28659483.650000002</v>
      </c>
      <c r="AB722">
        <v>456360000</v>
      </c>
      <c r="AC722">
        <v>1.9904965378210186E-3</v>
      </c>
      <c r="AD722">
        <v>78571.06</v>
      </c>
      <c r="AE722">
        <v>0.17469999999999999</v>
      </c>
      <c r="AF722">
        <v>81551000000</v>
      </c>
      <c r="AG722">
        <v>19590000000</v>
      </c>
      <c r="AH722">
        <v>-1361500000</v>
      </c>
      <c r="AI722">
        <v>2784300000</v>
      </c>
      <c r="AJ722">
        <v>9944190000</v>
      </c>
      <c r="AK722">
        <v>4.9349675785027633E-10</v>
      </c>
      <c r="AL722">
        <v>0.12193829628085492</v>
      </c>
    </row>
    <row r="723" spans="2:38">
      <c r="B723">
        <v>1.2738853503184782E-2</v>
      </c>
      <c r="C723">
        <v>31.59</v>
      </c>
      <c r="D723">
        <v>31.54</v>
      </c>
      <c r="E723">
        <v>1.5840329478853386E-3</v>
      </c>
      <c r="F723">
        <v>550829</v>
      </c>
      <c r="G723">
        <v>880300000</v>
      </c>
      <c r="H723">
        <v>17356621.789999999</v>
      </c>
      <c r="I723">
        <v>456360000</v>
      </c>
      <c r="J723">
        <v>1.2070054343062495E-3</v>
      </c>
      <c r="K723">
        <v>78084.240000000005</v>
      </c>
      <c r="L723">
        <v>0.17469999999999999</v>
      </c>
      <c r="M723">
        <v>81551000000</v>
      </c>
      <c r="N723">
        <v>19590000000</v>
      </c>
      <c r="O723">
        <v>-1361500000</v>
      </c>
      <c r="P723">
        <v>2784300000</v>
      </c>
      <c r="Q723">
        <v>9944190000</v>
      </c>
      <c r="R723">
        <v>7.3045829911245284E-11</v>
      </c>
      <c r="S723">
        <v>0.12193829628085492</v>
      </c>
      <c r="U723">
        <v>3.5772357723577279E-2</v>
      </c>
      <c r="V723">
        <v>31.23</v>
      </c>
      <c r="W723">
        <v>31.21</v>
      </c>
      <c r="X723">
        <f t="shared" si="10"/>
        <v>6.4061499039076155E-4</v>
      </c>
      <c r="Y723">
        <v>1333881</v>
      </c>
      <c r="Z723">
        <v>880300000</v>
      </c>
      <c r="AA723">
        <v>41497037.909999996</v>
      </c>
      <c r="AB723">
        <v>456360000</v>
      </c>
      <c r="AC723">
        <v>2.9228701025506179E-3</v>
      </c>
      <c r="AD723">
        <v>78801.429999999993</v>
      </c>
      <c r="AE723">
        <v>0.17469999999999999</v>
      </c>
      <c r="AF723">
        <v>81551000000</v>
      </c>
      <c r="AG723">
        <v>19590000000</v>
      </c>
      <c r="AH723">
        <v>-1361500000</v>
      </c>
      <c r="AI723">
        <v>2784300000</v>
      </c>
      <c r="AJ723">
        <v>9944190000</v>
      </c>
      <c r="AK723">
        <v>2.900552718723502E-10</v>
      </c>
      <c r="AL723">
        <v>0.12193829628085492</v>
      </c>
    </row>
    <row r="724" spans="2:38">
      <c r="B724">
        <v>1.3937282229965084E-2</v>
      </c>
      <c r="C724">
        <v>31.6</v>
      </c>
      <c r="D724">
        <v>31.56</v>
      </c>
      <c r="E724">
        <v>1.2666244458518906E-3</v>
      </c>
      <c r="F724">
        <v>908383</v>
      </c>
      <c r="G724">
        <v>880300000</v>
      </c>
      <c r="H724">
        <v>28659483.650000002</v>
      </c>
      <c r="I724">
        <v>456360000</v>
      </c>
      <c r="J724">
        <v>1.9904965378210186E-3</v>
      </c>
      <c r="K724">
        <v>78571.06</v>
      </c>
      <c r="L724">
        <v>0.17469999999999999</v>
      </c>
      <c r="M724">
        <v>81551000000</v>
      </c>
      <c r="N724">
        <v>19590000000</v>
      </c>
      <c r="O724">
        <v>-1361500000</v>
      </c>
      <c r="P724">
        <v>2784300000</v>
      </c>
      <c r="Q724">
        <v>9944190000</v>
      </c>
      <c r="R724">
        <v>4.9349675785027633E-10</v>
      </c>
      <c r="S724">
        <v>0.12193829628085492</v>
      </c>
      <c r="U724">
        <v>4.3413421706710816E-2</v>
      </c>
      <c r="V724">
        <v>30.78</v>
      </c>
      <c r="W724">
        <v>30.75</v>
      </c>
      <c r="X724">
        <f t="shared" si="10"/>
        <v>9.7513408093616565E-4</v>
      </c>
      <c r="Y724">
        <v>1116104</v>
      </c>
      <c r="Z724">
        <v>880300000</v>
      </c>
      <c r="AA724">
        <v>34309036.960000001</v>
      </c>
      <c r="AB724">
        <v>456360000</v>
      </c>
      <c r="AC724">
        <v>2.445665702515558E-3</v>
      </c>
      <c r="AD724">
        <v>78793.41</v>
      </c>
      <c r="AE724">
        <v>0.17469999999999999</v>
      </c>
      <c r="AF724">
        <v>81551000000</v>
      </c>
      <c r="AG724">
        <v>19590000000</v>
      </c>
      <c r="AH724">
        <v>-1361500000</v>
      </c>
      <c r="AI724">
        <v>2784300000</v>
      </c>
      <c r="AJ724">
        <v>9944190000</v>
      </c>
      <c r="AK724">
        <v>2.3898687835701176E-10</v>
      </c>
      <c r="AL724">
        <v>0.12193829628085492</v>
      </c>
    </row>
    <row r="725" spans="2:38">
      <c r="B725">
        <v>3.5772357723577279E-2</v>
      </c>
      <c r="C725">
        <v>31.23</v>
      </c>
      <c r="D725">
        <v>31.21</v>
      </c>
      <c r="E725">
        <v>6.4061499039076155E-4</v>
      </c>
      <c r="F725">
        <v>1333881</v>
      </c>
      <c r="G725">
        <v>880300000</v>
      </c>
      <c r="H725">
        <v>41497037.909999996</v>
      </c>
      <c r="I725">
        <v>456360000</v>
      </c>
      <c r="J725">
        <v>2.9228701025506179E-3</v>
      </c>
      <c r="K725">
        <v>78801.429999999993</v>
      </c>
      <c r="L725">
        <v>0.17469999999999999</v>
      </c>
      <c r="M725">
        <v>81551000000</v>
      </c>
      <c r="N725">
        <v>19590000000</v>
      </c>
      <c r="O725">
        <v>-1361500000</v>
      </c>
      <c r="P725">
        <v>2784300000</v>
      </c>
      <c r="Q725">
        <v>9944190000</v>
      </c>
      <c r="R725">
        <v>2.900552718723502E-10</v>
      </c>
      <c r="S725">
        <v>0.12193829628085492</v>
      </c>
      <c r="U725">
        <v>5.513784461152877E-2</v>
      </c>
      <c r="V725">
        <v>30.55</v>
      </c>
      <c r="W725">
        <v>30.53</v>
      </c>
      <c r="X725">
        <f t="shared" si="10"/>
        <v>6.5487884741321459E-4</v>
      </c>
      <c r="Y725">
        <v>1140783</v>
      </c>
      <c r="Z725">
        <v>880300000</v>
      </c>
      <c r="AA725">
        <v>34782473.670000002</v>
      </c>
      <c r="AB725">
        <v>456360000</v>
      </c>
      <c r="AC725">
        <v>2.4997436234551669E-3</v>
      </c>
      <c r="AD725">
        <v>78260.86</v>
      </c>
      <c r="AE725">
        <v>0.17469999999999999</v>
      </c>
      <c r="AF725">
        <v>81551000000</v>
      </c>
      <c r="AG725">
        <v>19590000000</v>
      </c>
      <c r="AH725">
        <v>-1361500000</v>
      </c>
      <c r="AI725">
        <v>2784300000</v>
      </c>
      <c r="AJ725">
        <v>9944190000</v>
      </c>
      <c r="AK725">
        <v>1.2804092185627259E-9</v>
      </c>
      <c r="AL725">
        <v>0.12193829628085492</v>
      </c>
    </row>
    <row r="726" spans="2:38">
      <c r="B726">
        <v>4.3413421706710816E-2</v>
      </c>
      <c r="C726">
        <v>30.78</v>
      </c>
      <c r="D726">
        <v>30.75</v>
      </c>
      <c r="E726">
        <v>9.7513408093616565E-4</v>
      </c>
      <c r="F726">
        <v>1116104</v>
      </c>
      <c r="G726">
        <v>880300000</v>
      </c>
      <c r="H726">
        <v>34309036.960000001</v>
      </c>
      <c r="I726">
        <v>456360000</v>
      </c>
      <c r="J726">
        <v>2.445665702515558E-3</v>
      </c>
      <c r="K726">
        <v>78793.41</v>
      </c>
      <c r="L726">
        <v>0.17469999999999999</v>
      </c>
      <c r="M726">
        <v>81551000000</v>
      </c>
      <c r="N726">
        <v>19590000000</v>
      </c>
      <c r="O726">
        <v>-1361500000</v>
      </c>
      <c r="P726">
        <v>2784300000</v>
      </c>
      <c r="Q726">
        <v>9944190000</v>
      </c>
      <c r="R726">
        <v>2.3898687835701176E-10</v>
      </c>
      <c r="S726">
        <v>0.12193829628085492</v>
      </c>
      <c r="U726">
        <v>2.1932830705963007E-2</v>
      </c>
      <c r="V726">
        <v>29.3</v>
      </c>
      <c r="W726">
        <v>29.15</v>
      </c>
      <c r="X726">
        <f t="shared" ref="X726:X789" si="12">(V726-W726)/AVERAGE(V726:W726)</f>
        <v>5.1325919589393374E-3</v>
      </c>
      <c r="Y726">
        <v>615540</v>
      </c>
      <c r="Z726">
        <v>880300000</v>
      </c>
      <c r="AA726">
        <v>17967612.600000001</v>
      </c>
      <c r="AB726">
        <v>456360000</v>
      </c>
      <c r="AC726">
        <v>1.3488035761241126E-3</v>
      </c>
      <c r="AD726">
        <v>77745.52</v>
      </c>
      <c r="AE726">
        <v>0.189</v>
      </c>
      <c r="AF726">
        <v>81551000000</v>
      </c>
      <c r="AG726">
        <v>19590000000</v>
      </c>
      <c r="AH726">
        <v>-1361500000</v>
      </c>
      <c r="AI726">
        <v>2784300000</v>
      </c>
      <c r="AJ726">
        <v>9944190000</v>
      </c>
      <c r="AK726">
        <v>7.6371453654755585E-11</v>
      </c>
      <c r="AL726">
        <v>0.12193829628085492</v>
      </c>
    </row>
    <row r="727" spans="2:38">
      <c r="B727">
        <v>5.513784461152877E-2</v>
      </c>
      <c r="C727">
        <v>30.55</v>
      </c>
      <c r="D727">
        <v>30.53</v>
      </c>
      <c r="E727">
        <v>6.5487884741321459E-4</v>
      </c>
      <c r="F727">
        <v>1140783</v>
      </c>
      <c r="G727">
        <v>880300000</v>
      </c>
      <c r="H727">
        <v>34782473.670000002</v>
      </c>
      <c r="I727">
        <v>456360000</v>
      </c>
      <c r="J727">
        <v>2.4997436234551669E-3</v>
      </c>
      <c r="K727">
        <v>78260.86</v>
      </c>
      <c r="L727">
        <v>0.17469999999999999</v>
      </c>
      <c r="M727">
        <v>81551000000</v>
      </c>
      <c r="N727">
        <v>19590000000</v>
      </c>
      <c r="O727">
        <v>-1361500000</v>
      </c>
      <c r="P727">
        <v>2784300000</v>
      </c>
      <c r="Q727">
        <v>9944190000</v>
      </c>
      <c r="R727">
        <v>1.2804092185627259E-9</v>
      </c>
      <c r="S727">
        <v>0.12193829628085492</v>
      </c>
      <c r="U727">
        <v>4.7244094488189024E-2</v>
      </c>
      <c r="V727">
        <v>29.24</v>
      </c>
      <c r="W727">
        <v>29.12</v>
      </c>
      <c r="X727">
        <f t="shared" si="12"/>
        <v>4.1124057573679726E-3</v>
      </c>
      <c r="Y727">
        <v>2038468</v>
      </c>
      <c r="Z727">
        <v>880300000</v>
      </c>
      <c r="AA727">
        <v>59421342.199999996</v>
      </c>
      <c r="AB727">
        <v>456360000</v>
      </c>
      <c r="AC727">
        <v>4.4667981418178631E-3</v>
      </c>
      <c r="AD727">
        <v>77830.34</v>
      </c>
      <c r="AE727">
        <v>0.189</v>
      </c>
      <c r="AF727">
        <v>81551000000</v>
      </c>
      <c r="AG727">
        <v>19590000000</v>
      </c>
      <c r="AH727">
        <v>-1361500000</v>
      </c>
      <c r="AI727">
        <v>2784300000</v>
      </c>
      <c r="AJ727">
        <v>9944190000</v>
      </c>
      <c r="AK727">
        <v>6.1022217039825255E-10</v>
      </c>
      <c r="AL727">
        <v>0.12193829628085492</v>
      </c>
    </row>
    <row r="728" spans="2:38">
      <c r="B728">
        <v>2.1932830705963007E-2</v>
      </c>
      <c r="C728">
        <v>29.3</v>
      </c>
      <c r="D728">
        <v>29.15</v>
      </c>
      <c r="E728">
        <v>5.1325919589393374E-3</v>
      </c>
      <c r="F728">
        <v>615540</v>
      </c>
      <c r="G728">
        <v>880300000</v>
      </c>
      <c r="H728">
        <v>17967612.600000001</v>
      </c>
      <c r="I728">
        <v>456360000</v>
      </c>
      <c r="J728">
        <v>1.3488035761241126E-3</v>
      </c>
      <c r="K728">
        <v>77745.52</v>
      </c>
      <c r="L728">
        <v>0.189</v>
      </c>
      <c r="M728">
        <v>81551000000</v>
      </c>
      <c r="N728">
        <v>19590000000</v>
      </c>
      <c r="O728">
        <v>-1361500000</v>
      </c>
      <c r="P728">
        <v>2784300000</v>
      </c>
      <c r="Q728">
        <v>9944190000</v>
      </c>
      <c r="R728">
        <v>7.6371453654755585E-11</v>
      </c>
      <c r="S728">
        <v>0.12193829628085492</v>
      </c>
      <c r="U728">
        <v>5.3097345132743362E-2</v>
      </c>
      <c r="V728">
        <v>28.25</v>
      </c>
      <c r="W728">
        <v>28.2</v>
      </c>
      <c r="X728">
        <f t="shared" si="12"/>
        <v>1.7714791851195998E-3</v>
      </c>
      <c r="Y728">
        <v>2832373</v>
      </c>
      <c r="Z728">
        <v>880300000</v>
      </c>
      <c r="AA728">
        <v>79674652.489999995</v>
      </c>
      <c r="AB728">
        <v>456360000</v>
      </c>
      <c r="AC728">
        <v>6.2064444736611444E-3</v>
      </c>
      <c r="AD728">
        <v>78045.31</v>
      </c>
      <c r="AE728">
        <v>0.189</v>
      </c>
      <c r="AF728">
        <v>81551000000</v>
      </c>
      <c r="AG728">
        <v>19590000000</v>
      </c>
      <c r="AH728">
        <v>-1361500000</v>
      </c>
      <c r="AI728">
        <v>2784300000</v>
      </c>
      <c r="AJ728">
        <v>9944190000</v>
      </c>
      <c r="AK728">
        <v>4.3086313535495551E-10</v>
      </c>
      <c r="AL728">
        <v>0.12193829628085492</v>
      </c>
    </row>
    <row r="729" spans="2:38">
      <c r="B729">
        <v>4.7244094488189024E-2</v>
      </c>
      <c r="C729">
        <v>29.24</v>
      </c>
      <c r="D729">
        <v>29.12</v>
      </c>
      <c r="E729">
        <v>4.1124057573679726E-3</v>
      </c>
      <c r="F729">
        <v>2038468</v>
      </c>
      <c r="G729">
        <v>880300000</v>
      </c>
      <c r="H729">
        <v>59421342.199999996</v>
      </c>
      <c r="I729">
        <v>456360000</v>
      </c>
      <c r="J729">
        <v>4.4667981418178631E-3</v>
      </c>
      <c r="K729">
        <v>77830.34</v>
      </c>
      <c r="L729">
        <v>0.189</v>
      </c>
      <c r="M729">
        <v>81551000000</v>
      </c>
      <c r="N729">
        <v>19590000000</v>
      </c>
      <c r="O729">
        <v>-1361500000</v>
      </c>
      <c r="P729">
        <v>2784300000</v>
      </c>
      <c r="Q729">
        <v>9944190000</v>
      </c>
      <c r="R729">
        <v>6.1022217039825255E-10</v>
      </c>
      <c r="S729">
        <v>0.12193829628085492</v>
      </c>
      <c r="U729">
        <v>4.3170320404721671E-2</v>
      </c>
      <c r="V729">
        <v>29.04</v>
      </c>
      <c r="W729">
        <v>29.03</v>
      </c>
      <c r="X729">
        <f t="shared" si="12"/>
        <v>3.4441191665224763E-4</v>
      </c>
      <c r="Y729">
        <v>1629003</v>
      </c>
      <c r="Z729">
        <v>880300000</v>
      </c>
      <c r="AA729">
        <v>47452857.390000001</v>
      </c>
      <c r="AB729">
        <v>456360000</v>
      </c>
      <c r="AC729">
        <v>3.569556928740468E-3</v>
      </c>
      <c r="AD729">
        <v>78105.98</v>
      </c>
      <c r="AE729">
        <v>0.189</v>
      </c>
      <c r="AF729">
        <v>81551000000</v>
      </c>
      <c r="AG729">
        <v>19590000000</v>
      </c>
      <c r="AH729">
        <v>-1361500000</v>
      </c>
      <c r="AI729">
        <v>2784300000</v>
      </c>
      <c r="AJ729">
        <v>9944190000</v>
      </c>
      <c r="AK729">
        <v>6.6555416355530495E-10</v>
      </c>
      <c r="AL729">
        <v>0.12193829628085492</v>
      </c>
    </row>
    <row r="730" spans="2:38">
      <c r="B730">
        <v>5.3097345132743362E-2</v>
      </c>
      <c r="C730">
        <v>28.25</v>
      </c>
      <c r="D730">
        <v>28.2</v>
      </c>
      <c r="E730">
        <v>1.7714791851195998E-3</v>
      </c>
      <c r="F730">
        <v>2832373</v>
      </c>
      <c r="G730">
        <v>880300000</v>
      </c>
      <c r="H730">
        <v>79674652.489999995</v>
      </c>
      <c r="I730">
        <v>456360000</v>
      </c>
      <c r="J730">
        <v>6.2064444736611444E-3</v>
      </c>
      <c r="K730">
        <v>78045.31</v>
      </c>
      <c r="L730">
        <v>0.189</v>
      </c>
      <c r="M730">
        <v>81551000000</v>
      </c>
      <c r="N730">
        <v>19590000000</v>
      </c>
      <c r="O730">
        <v>-1361500000</v>
      </c>
      <c r="P730">
        <v>2784300000</v>
      </c>
      <c r="Q730">
        <v>9944190000</v>
      </c>
      <c r="R730">
        <v>4.3086313535495551E-10</v>
      </c>
      <c r="S730">
        <v>0.12193829628085492</v>
      </c>
      <c r="U730">
        <v>2.3294509151414289E-2</v>
      </c>
      <c r="V730">
        <v>30.15</v>
      </c>
      <c r="W730">
        <v>30.1</v>
      </c>
      <c r="X730">
        <f t="shared" si="12"/>
        <v>1.659751037344304E-3</v>
      </c>
      <c r="Y730">
        <v>1883093</v>
      </c>
      <c r="Z730">
        <v>880300000</v>
      </c>
      <c r="AA730">
        <v>56643437.439999998</v>
      </c>
      <c r="AB730">
        <v>456360000</v>
      </c>
      <c r="AC730">
        <v>4.1263322815321239E-3</v>
      </c>
      <c r="AD730">
        <v>77877.42</v>
      </c>
      <c r="AE730">
        <v>0.189</v>
      </c>
      <c r="AF730">
        <v>81551000000</v>
      </c>
      <c r="AG730">
        <v>19590000000</v>
      </c>
      <c r="AH730">
        <v>-1361500000</v>
      </c>
      <c r="AI730">
        <v>2784300000</v>
      </c>
      <c r="AJ730">
        <v>9944190000</v>
      </c>
      <c r="AK730">
        <v>2.202440054513843E-10</v>
      </c>
      <c r="AL730">
        <v>0.12193829628085492</v>
      </c>
    </row>
    <row r="731" spans="2:38">
      <c r="B731">
        <v>4.3170320404721671E-2</v>
      </c>
      <c r="C731">
        <v>29.04</v>
      </c>
      <c r="D731">
        <v>29.03</v>
      </c>
      <c r="E731">
        <v>3.4441191665224763E-4</v>
      </c>
      <c r="F731">
        <v>1629003</v>
      </c>
      <c r="G731">
        <v>880300000</v>
      </c>
      <c r="H731">
        <v>47452857.390000001</v>
      </c>
      <c r="I731">
        <v>456360000</v>
      </c>
      <c r="J731">
        <v>3.569556928740468E-3</v>
      </c>
      <c r="K731">
        <v>78105.98</v>
      </c>
      <c r="L731">
        <v>0.189</v>
      </c>
      <c r="M731">
        <v>81551000000</v>
      </c>
      <c r="N731">
        <v>19590000000</v>
      </c>
      <c r="O731">
        <v>-1361500000</v>
      </c>
      <c r="P731">
        <v>2784300000</v>
      </c>
      <c r="Q731">
        <v>9944190000</v>
      </c>
      <c r="R731">
        <v>6.6555416355530495E-10</v>
      </c>
      <c r="S731">
        <v>0.12193829628085492</v>
      </c>
      <c r="U731">
        <v>2.4366150806717106E-2</v>
      </c>
      <c r="V731">
        <v>30.6</v>
      </c>
      <c r="W731">
        <v>30.4</v>
      </c>
      <c r="X731">
        <f t="shared" si="12"/>
        <v>6.5573770491804207E-3</v>
      </c>
      <c r="Y731">
        <v>1379922</v>
      </c>
      <c r="Z731">
        <v>880300000</v>
      </c>
      <c r="AA731">
        <v>42032424.120000005</v>
      </c>
      <c r="AB731">
        <v>456360000</v>
      </c>
      <c r="AC731">
        <v>3.0237575598211939E-3</v>
      </c>
      <c r="AD731">
        <v>77980.289999999994</v>
      </c>
      <c r="AE731">
        <v>0.189</v>
      </c>
      <c r="AF731">
        <v>81551000000</v>
      </c>
      <c r="AG731">
        <v>19590000000</v>
      </c>
      <c r="AH731">
        <v>-1361500000</v>
      </c>
      <c r="AI731">
        <v>2784300000</v>
      </c>
      <c r="AJ731">
        <v>9944190000</v>
      </c>
      <c r="AK731">
        <v>4.6709384456727954E-10</v>
      </c>
      <c r="AL731">
        <v>0.12193829628085492</v>
      </c>
    </row>
    <row r="732" spans="2:38">
      <c r="B732">
        <v>2.3294509151414289E-2</v>
      </c>
      <c r="C732">
        <v>30.15</v>
      </c>
      <c r="D732">
        <v>30.1</v>
      </c>
      <c r="E732">
        <v>1.659751037344304E-3</v>
      </c>
      <c r="F732">
        <v>1883093</v>
      </c>
      <c r="G732">
        <v>880300000</v>
      </c>
      <c r="H732">
        <v>56643437.439999998</v>
      </c>
      <c r="I732">
        <v>456360000</v>
      </c>
      <c r="J732">
        <v>4.1263322815321239E-3</v>
      </c>
      <c r="K732">
        <v>77877.42</v>
      </c>
      <c r="L732">
        <v>0.189</v>
      </c>
      <c r="M732">
        <v>81551000000</v>
      </c>
      <c r="N732">
        <v>19590000000</v>
      </c>
      <c r="O732">
        <v>-1361500000</v>
      </c>
      <c r="P732">
        <v>2784300000</v>
      </c>
      <c r="Q732">
        <v>9944190000</v>
      </c>
      <c r="R732">
        <v>2.202440054513843E-10</v>
      </c>
      <c r="S732">
        <v>0.12193829628085492</v>
      </c>
      <c r="U732">
        <v>6.8286277084701183E-2</v>
      </c>
      <c r="V732">
        <v>31.1</v>
      </c>
      <c r="W732">
        <v>30.9</v>
      </c>
      <c r="X732">
        <f t="shared" si="12"/>
        <v>6.4516129032258984E-3</v>
      </c>
      <c r="Y732">
        <v>6782463</v>
      </c>
      <c r="Z732">
        <v>880300000</v>
      </c>
      <c r="AA732">
        <v>210731125.41</v>
      </c>
      <c r="AB732">
        <v>456360000</v>
      </c>
      <c r="AC732">
        <v>1.4862089140152511E-2</v>
      </c>
      <c r="AD732">
        <v>78569.59</v>
      </c>
      <c r="AE732">
        <v>0.189</v>
      </c>
      <c r="AF732">
        <v>81551000000</v>
      </c>
      <c r="AG732">
        <v>19590000000</v>
      </c>
      <c r="AH732">
        <v>-1361500000</v>
      </c>
      <c r="AI732">
        <v>2784300000</v>
      </c>
      <c r="AJ732">
        <v>9944190000</v>
      </c>
      <c r="AK732">
        <v>1.8070655334824113E-10</v>
      </c>
      <c r="AL732">
        <v>0.12193829628085492</v>
      </c>
    </row>
    <row r="733" spans="2:38">
      <c r="B733">
        <v>2.4366150806717106E-2</v>
      </c>
      <c r="C733">
        <v>30.6</v>
      </c>
      <c r="D733">
        <v>30.4</v>
      </c>
      <c r="E733">
        <v>6.5573770491804207E-3</v>
      </c>
      <c r="F733">
        <v>1379922</v>
      </c>
      <c r="G733">
        <v>880300000</v>
      </c>
      <c r="H733">
        <v>42032424.120000005</v>
      </c>
      <c r="I733">
        <v>456360000</v>
      </c>
      <c r="J733">
        <v>3.0237575598211939E-3</v>
      </c>
      <c r="K733">
        <v>77980.289999999994</v>
      </c>
      <c r="L733">
        <v>0.189</v>
      </c>
      <c r="M733">
        <v>81551000000</v>
      </c>
      <c r="N733">
        <v>19590000000</v>
      </c>
      <c r="O733">
        <v>-1361500000</v>
      </c>
      <c r="P733">
        <v>2784300000</v>
      </c>
      <c r="Q733">
        <v>9944190000</v>
      </c>
      <c r="R733">
        <v>4.6709384456727954E-10</v>
      </c>
      <c r="S733">
        <v>0.12193829628085492</v>
      </c>
      <c r="U733">
        <v>2.6233603997501451E-2</v>
      </c>
      <c r="V733">
        <v>32.24</v>
      </c>
      <c r="W733">
        <v>32.21</v>
      </c>
      <c r="X733">
        <f t="shared" si="12"/>
        <v>9.3095422808382115E-4</v>
      </c>
      <c r="Y733">
        <v>829630</v>
      </c>
      <c r="Z733">
        <v>880300000</v>
      </c>
      <c r="AA733">
        <v>26797048.999999996</v>
      </c>
      <c r="AB733">
        <v>456360000</v>
      </c>
      <c r="AC733">
        <v>1.8179288281181523E-3</v>
      </c>
      <c r="AD733">
        <v>77874.22</v>
      </c>
      <c r="AE733">
        <v>0.189</v>
      </c>
      <c r="AF733">
        <v>81551000000</v>
      </c>
      <c r="AG733">
        <v>19590000000</v>
      </c>
      <c r="AH733">
        <v>-1361500000</v>
      </c>
      <c r="AI733">
        <v>2784300000</v>
      </c>
      <c r="AJ733">
        <v>9944190000</v>
      </c>
      <c r="AK733">
        <v>4.9027018134407852E-10</v>
      </c>
      <c r="AL733">
        <v>0.12193829628085492</v>
      </c>
    </row>
    <row r="734" spans="2:38">
      <c r="B734">
        <v>6.8286277084701183E-2</v>
      </c>
      <c r="C734">
        <v>31.1</v>
      </c>
      <c r="D734">
        <v>30.9</v>
      </c>
      <c r="E734">
        <v>6.4516129032258984E-3</v>
      </c>
      <c r="F734">
        <v>6782463</v>
      </c>
      <c r="G734">
        <v>880300000</v>
      </c>
      <c r="H734">
        <v>210731125.41</v>
      </c>
      <c r="I734">
        <v>456360000</v>
      </c>
      <c r="J734">
        <v>1.4862089140152511E-2</v>
      </c>
      <c r="K734">
        <v>78569.59</v>
      </c>
      <c r="L734">
        <v>0.189</v>
      </c>
      <c r="M734">
        <v>81551000000</v>
      </c>
      <c r="N734">
        <v>19590000000</v>
      </c>
      <c r="O734">
        <v>-1361500000</v>
      </c>
      <c r="P734">
        <v>2784300000</v>
      </c>
      <c r="Q734">
        <v>9944190000</v>
      </c>
      <c r="R734">
        <v>1.8070655334824113E-10</v>
      </c>
      <c r="S734">
        <v>0.12193829628085492</v>
      </c>
      <c r="U734">
        <v>2.743103713977502E-2</v>
      </c>
      <c r="V734">
        <v>32.6</v>
      </c>
      <c r="W734">
        <v>32.31</v>
      </c>
      <c r="X734">
        <f t="shared" si="12"/>
        <v>8.9354490833461458E-3</v>
      </c>
      <c r="Y734">
        <v>740767</v>
      </c>
      <c r="Z734">
        <v>880300000</v>
      </c>
      <c r="AA734">
        <v>24245303.909999996</v>
      </c>
      <c r="AB734">
        <v>456360000</v>
      </c>
      <c r="AC734">
        <v>1.6232075554386887E-3</v>
      </c>
      <c r="AD734">
        <v>77114.490000000005</v>
      </c>
      <c r="AE734">
        <v>0.189</v>
      </c>
      <c r="AF734">
        <v>81551000000</v>
      </c>
      <c r="AG734">
        <v>19590000000</v>
      </c>
      <c r="AH734">
        <v>-1361500000</v>
      </c>
      <c r="AI734">
        <v>2784300000</v>
      </c>
      <c r="AJ734">
        <v>9944190000</v>
      </c>
      <c r="AK734">
        <v>6.788789858147982E-10</v>
      </c>
      <c r="AL734">
        <v>0.12193829628085492</v>
      </c>
    </row>
    <row r="735" spans="2:38">
      <c r="B735">
        <v>2.6233603997501451E-2</v>
      </c>
      <c r="C735">
        <v>32.24</v>
      </c>
      <c r="D735">
        <v>32.21</v>
      </c>
      <c r="E735">
        <v>9.3095422808382115E-4</v>
      </c>
      <c r="F735">
        <v>829630</v>
      </c>
      <c r="G735">
        <v>880300000</v>
      </c>
      <c r="H735">
        <v>26797048.999999996</v>
      </c>
      <c r="I735">
        <v>456360000</v>
      </c>
      <c r="J735">
        <v>1.8179288281181523E-3</v>
      </c>
      <c r="K735">
        <v>77874.22</v>
      </c>
      <c r="L735">
        <v>0.189</v>
      </c>
      <c r="M735">
        <v>81551000000</v>
      </c>
      <c r="N735">
        <v>19590000000</v>
      </c>
      <c r="O735">
        <v>-1361500000</v>
      </c>
      <c r="P735">
        <v>2784300000</v>
      </c>
      <c r="Q735">
        <v>9944190000</v>
      </c>
      <c r="R735">
        <v>4.9027018134407852E-10</v>
      </c>
      <c r="S735">
        <v>0.12193829628085492</v>
      </c>
      <c r="U735">
        <v>1.9495590283150319E-2</v>
      </c>
      <c r="V735">
        <v>32.229999999999997</v>
      </c>
      <c r="W735">
        <v>32.119999999999997</v>
      </c>
      <c r="X735">
        <f t="shared" si="12"/>
        <v>3.4188034188034015E-3</v>
      </c>
      <c r="Y735">
        <v>696953</v>
      </c>
      <c r="Z735">
        <v>880300000</v>
      </c>
      <c r="AA735">
        <v>22441886.600000001</v>
      </c>
      <c r="AB735">
        <v>456360000</v>
      </c>
      <c r="AC735">
        <v>1.5272000175300202E-3</v>
      </c>
      <c r="AD735">
        <v>77191.34</v>
      </c>
      <c r="AE735">
        <v>0.19489999999999999</v>
      </c>
      <c r="AF735">
        <v>81551000000</v>
      </c>
      <c r="AG735">
        <v>19590000000</v>
      </c>
      <c r="AH735">
        <v>-1361500000</v>
      </c>
      <c r="AI735">
        <v>2784300000</v>
      </c>
      <c r="AJ735">
        <v>9944190000</v>
      </c>
      <c r="AK735">
        <v>2.5049081973764107E-10</v>
      </c>
      <c r="AL735">
        <v>0.12193829628085492</v>
      </c>
    </row>
    <row r="736" spans="2:38">
      <c r="B736">
        <v>2.743103713977502E-2</v>
      </c>
      <c r="C736">
        <v>32.6</v>
      </c>
      <c r="D736">
        <v>32.31</v>
      </c>
      <c r="E736">
        <v>8.9354490833461458E-3</v>
      </c>
      <c r="F736">
        <v>740767</v>
      </c>
      <c r="G736">
        <v>880300000</v>
      </c>
      <c r="H736">
        <v>24245303.909999996</v>
      </c>
      <c r="I736">
        <v>456360000</v>
      </c>
      <c r="J736">
        <v>1.6232075554386887E-3</v>
      </c>
      <c r="K736">
        <v>77114.490000000005</v>
      </c>
      <c r="L736">
        <v>0.189</v>
      </c>
      <c r="M736">
        <v>81551000000</v>
      </c>
      <c r="N736">
        <v>19590000000</v>
      </c>
      <c r="O736">
        <v>-1361500000</v>
      </c>
      <c r="P736">
        <v>2784300000</v>
      </c>
      <c r="Q736">
        <v>9944190000</v>
      </c>
      <c r="R736">
        <v>6.788789858147982E-10</v>
      </c>
      <c r="S736">
        <v>0.12193829628085492</v>
      </c>
      <c r="U736">
        <v>1.1546263067561161E-2</v>
      </c>
      <c r="V736">
        <v>32.11</v>
      </c>
      <c r="W736">
        <v>32.1</v>
      </c>
      <c r="X736">
        <f t="shared" si="12"/>
        <v>3.114779629340604E-4</v>
      </c>
      <c r="Y736">
        <v>1147325</v>
      </c>
      <c r="Z736">
        <v>880300000</v>
      </c>
      <c r="AA736">
        <v>36737346.5</v>
      </c>
      <c r="AB736">
        <v>456360000</v>
      </c>
      <c r="AC736">
        <v>2.5140787974406169E-3</v>
      </c>
      <c r="AD736">
        <v>77084.490000000005</v>
      </c>
      <c r="AE736">
        <v>0.19489999999999999</v>
      </c>
      <c r="AF736">
        <v>81551000000</v>
      </c>
      <c r="AG736">
        <v>19590000000</v>
      </c>
      <c r="AH736">
        <v>-1361500000</v>
      </c>
      <c r="AI736">
        <v>2784300000</v>
      </c>
      <c r="AJ736">
        <v>9944190000</v>
      </c>
      <c r="AK736">
        <v>6.7838645831597481E-11</v>
      </c>
      <c r="AL736">
        <v>0.12193829628085492</v>
      </c>
    </row>
    <row r="737" spans="2:38">
      <c r="B737">
        <v>1.9495590283150319E-2</v>
      </c>
      <c r="C737">
        <v>32.229999999999997</v>
      </c>
      <c r="D737">
        <v>32.119999999999997</v>
      </c>
      <c r="E737">
        <v>3.4188034188034015E-3</v>
      </c>
      <c r="F737">
        <v>696953</v>
      </c>
      <c r="G737">
        <v>880300000</v>
      </c>
      <c r="H737">
        <v>22441886.600000001</v>
      </c>
      <c r="I737">
        <v>456360000</v>
      </c>
      <c r="J737">
        <v>1.5272000175300202E-3</v>
      </c>
      <c r="K737">
        <v>77191.34</v>
      </c>
      <c r="L737">
        <v>0.19489999999999999</v>
      </c>
      <c r="M737">
        <v>81551000000</v>
      </c>
      <c r="N737">
        <v>19590000000</v>
      </c>
      <c r="O737">
        <v>-1361500000</v>
      </c>
      <c r="P737">
        <v>2784300000</v>
      </c>
      <c r="Q737">
        <v>9944190000</v>
      </c>
      <c r="R737">
        <v>2.5049081973764107E-10</v>
      </c>
      <c r="S737">
        <v>0.12193829628085492</v>
      </c>
      <c r="U737">
        <v>2.259887005649714E-2</v>
      </c>
      <c r="V737">
        <v>32.14</v>
      </c>
      <c r="W737">
        <v>32.1</v>
      </c>
      <c r="X737">
        <f t="shared" si="12"/>
        <v>1.2453300124532734E-3</v>
      </c>
      <c r="Y737">
        <v>561737</v>
      </c>
      <c r="Z737">
        <v>880300000</v>
      </c>
      <c r="AA737">
        <v>18031757.699999999</v>
      </c>
      <c r="AB737">
        <v>456360000</v>
      </c>
      <c r="AC737">
        <v>1.2309076167937593E-3</v>
      </c>
      <c r="AD737">
        <v>78225.98</v>
      </c>
      <c r="AE737">
        <v>0.19489999999999999</v>
      </c>
      <c r="AF737">
        <v>81551000000</v>
      </c>
      <c r="AG737">
        <v>19590000000</v>
      </c>
      <c r="AH737">
        <v>-1361500000</v>
      </c>
      <c r="AI737">
        <v>2784300000</v>
      </c>
      <c r="AJ737">
        <v>9944190000</v>
      </c>
      <c r="AK737">
        <v>1.1102115561884737E-9</v>
      </c>
      <c r="AL737">
        <v>0.12193829628085492</v>
      </c>
    </row>
    <row r="738" spans="2:38">
      <c r="B738">
        <v>1.1546263067561161E-2</v>
      </c>
      <c r="C738">
        <v>32.11</v>
      </c>
      <c r="D738">
        <v>32.1</v>
      </c>
      <c r="E738">
        <v>3.114779629340604E-4</v>
      </c>
      <c r="F738">
        <v>1147325</v>
      </c>
      <c r="G738">
        <v>880300000</v>
      </c>
      <c r="H738">
        <v>36737346.5</v>
      </c>
      <c r="I738">
        <v>456360000</v>
      </c>
      <c r="J738">
        <v>2.5140787974406169E-3</v>
      </c>
      <c r="K738">
        <v>77084.490000000005</v>
      </c>
      <c r="L738">
        <v>0.19489999999999999</v>
      </c>
      <c r="M738">
        <v>81551000000</v>
      </c>
      <c r="N738">
        <v>19590000000</v>
      </c>
      <c r="O738">
        <v>-1361500000</v>
      </c>
      <c r="P738">
        <v>2784300000</v>
      </c>
      <c r="Q738">
        <v>9944190000</v>
      </c>
      <c r="R738">
        <v>6.7838645831597481E-11</v>
      </c>
      <c r="S738">
        <v>0.12193829628085492</v>
      </c>
      <c r="U738">
        <v>3.110123770231674E-2</v>
      </c>
      <c r="V738">
        <v>31.4</v>
      </c>
      <c r="W738">
        <v>31.38</v>
      </c>
      <c r="X738">
        <f t="shared" si="12"/>
        <v>6.3714558776679117E-4</v>
      </c>
      <c r="Y738">
        <v>378194</v>
      </c>
      <c r="Z738">
        <v>880300000</v>
      </c>
      <c r="AA738">
        <v>11901765.18</v>
      </c>
      <c r="AB738">
        <v>456360000</v>
      </c>
      <c r="AC738">
        <v>8.287185555263389E-4</v>
      </c>
      <c r="AD738">
        <v>77740.31</v>
      </c>
      <c r="AE738">
        <v>0.19489999999999999</v>
      </c>
      <c r="AF738">
        <v>81551000000</v>
      </c>
      <c r="AG738">
        <v>19590000000</v>
      </c>
      <c r="AH738">
        <v>-1361500000</v>
      </c>
      <c r="AI738">
        <v>2784300000</v>
      </c>
      <c r="AJ738">
        <v>9944190000</v>
      </c>
      <c r="AK738">
        <v>7.2710610762076389E-10</v>
      </c>
      <c r="AL738">
        <v>0.12193829628085492</v>
      </c>
    </row>
    <row r="739" spans="2:38">
      <c r="B739">
        <v>2.259887005649714E-2</v>
      </c>
      <c r="C739">
        <v>32.14</v>
      </c>
      <c r="D739">
        <v>32.1</v>
      </c>
      <c r="E739">
        <v>1.2453300124532734E-3</v>
      </c>
      <c r="F739">
        <v>561737</v>
      </c>
      <c r="G739">
        <v>880300000</v>
      </c>
      <c r="H739">
        <v>18031757.699999999</v>
      </c>
      <c r="I739">
        <v>456360000</v>
      </c>
      <c r="J739">
        <v>1.2309076167937593E-3</v>
      </c>
      <c r="K739">
        <v>78225.98</v>
      </c>
      <c r="L739">
        <v>0.19489999999999999</v>
      </c>
      <c r="M739">
        <v>81551000000</v>
      </c>
      <c r="N739">
        <v>19590000000</v>
      </c>
      <c r="O739">
        <v>-1361500000</v>
      </c>
      <c r="P739">
        <v>2784300000</v>
      </c>
      <c r="Q739">
        <v>9944190000</v>
      </c>
      <c r="R739">
        <v>1.1102115561884737E-9</v>
      </c>
      <c r="S739">
        <v>0.12193829628085492</v>
      </c>
      <c r="U739">
        <v>2.916930881420424E-2</v>
      </c>
      <c r="V739">
        <v>31.35</v>
      </c>
      <c r="W739">
        <v>31.15</v>
      </c>
      <c r="X739">
        <f t="shared" si="12"/>
        <v>6.4000000000000914E-3</v>
      </c>
      <c r="Y739">
        <v>459757</v>
      </c>
      <c r="Z739">
        <v>880300000</v>
      </c>
      <c r="AA739">
        <v>14344418.4</v>
      </c>
      <c r="AB739">
        <v>456360000</v>
      </c>
      <c r="AC739">
        <v>1.0074436848102376E-3</v>
      </c>
      <c r="AD739">
        <v>77886.990000000005</v>
      </c>
      <c r="AE739">
        <v>0.19489999999999999</v>
      </c>
      <c r="AF739">
        <v>81551000000</v>
      </c>
      <c r="AG739">
        <v>19590000000</v>
      </c>
      <c r="AH739">
        <v>-1361500000</v>
      </c>
      <c r="AI739">
        <v>2784300000</v>
      </c>
      <c r="AJ739">
        <v>9944190000</v>
      </c>
      <c r="AK739">
        <v>2.8926774705351347E-10</v>
      </c>
      <c r="AL739">
        <v>0.12193829628085492</v>
      </c>
    </row>
    <row r="740" spans="2:38">
      <c r="B740">
        <v>3.110123770231674E-2</v>
      </c>
      <c r="C740">
        <v>31.4</v>
      </c>
      <c r="D740">
        <v>31.38</v>
      </c>
      <c r="E740">
        <v>6.3714558776679117E-4</v>
      </c>
      <c r="F740">
        <v>378194</v>
      </c>
      <c r="G740">
        <v>880300000</v>
      </c>
      <c r="H740">
        <v>11901765.18</v>
      </c>
      <c r="I740">
        <v>456360000</v>
      </c>
      <c r="J740">
        <v>8.287185555263389E-4</v>
      </c>
      <c r="K740">
        <v>77740.31</v>
      </c>
      <c r="L740">
        <v>0.19489999999999999</v>
      </c>
      <c r="M740">
        <v>81551000000</v>
      </c>
      <c r="N740">
        <v>19590000000</v>
      </c>
      <c r="O740">
        <v>-1361500000</v>
      </c>
      <c r="P740">
        <v>2784300000</v>
      </c>
      <c r="Q740">
        <v>9944190000</v>
      </c>
      <c r="R740">
        <v>7.2710610762076389E-10</v>
      </c>
      <c r="S740">
        <v>0.12193829628085492</v>
      </c>
      <c r="U740">
        <v>1.9077901430842654E-2</v>
      </c>
      <c r="V740">
        <v>31.37</v>
      </c>
      <c r="W740">
        <v>31.28</v>
      </c>
      <c r="X740">
        <f t="shared" si="12"/>
        <v>2.8731045490821977E-3</v>
      </c>
      <c r="Y740">
        <v>233231</v>
      </c>
      <c r="Z740">
        <v>880300000</v>
      </c>
      <c r="AA740">
        <v>7307127.2299999995</v>
      </c>
      <c r="AB740">
        <v>456360000</v>
      </c>
      <c r="AC740">
        <v>5.110680164782189E-4</v>
      </c>
      <c r="AD740">
        <v>78628.81</v>
      </c>
      <c r="AE740">
        <v>0.19489999999999999</v>
      </c>
      <c r="AF740">
        <v>81551000000</v>
      </c>
      <c r="AG740">
        <v>19590000000</v>
      </c>
      <c r="AH740">
        <v>-1361500000</v>
      </c>
      <c r="AI740">
        <v>2784300000</v>
      </c>
      <c r="AJ740">
        <v>9944190000</v>
      </c>
      <c r="AK740">
        <v>1.8528543974947038E-9</v>
      </c>
      <c r="AL740">
        <v>0.12193829628085492</v>
      </c>
    </row>
    <row r="741" spans="2:38">
      <c r="B741">
        <v>2.916930881420424E-2</v>
      </c>
      <c r="C741">
        <v>31.35</v>
      </c>
      <c r="D741">
        <v>31.15</v>
      </c>
      <c r="E741">
        <v>6.4000000000000914E-3</v>
      </c>
      <c r="F741">
        <v>459757</v>
      </c>
      <c r="G741">
        <v>880300000</v>
      </c>
      <c r="H741">
        <v>14344418.4</v>
      </c>
      <c r="I741">
        <v>456360000</v>
      </c>
      <c r="J741">
        <v>1.0074436848102376E-3</v>
      </c>
      <c r="K741">
        <v>77886.990000000005</v>
      </c>
      <c r="L741">
        <v>0.19489999999999999</v>
      </c>
      <c r="M741">
        <v>81551000000</v>
      </c>
      <c r="N741">
        <v>19590000000</v>
      </c>
      <c r="O741">
        <v>-1361500000</v>
      </c>
      <c r="P741">
        <v>2784300000</v>
      </c>
      <c r="Q741">
        <v>9944190000</v>
      </c>
      <c r="R741">
        <v>2.8926774705351347E-10</v>
      </c>
      <c r="S741">
        <v>0.12193829628085492</v>
      </c>
      <c r="U741">
        <v>6.4183196258667904E-2</v>
      </c>
      <c r="V741">
        <v>31.92</v>
      </c>
      <c r="W741">
        <v>31.9</v>
      </c>
      <c r="X741">
        <f t="shared" si="12"/>
        <v>6.2676277029154268E-4</v>
      </c>
      <c r="Y741">
        <v>1273267</v>
      </c>
      <c r="Z741">
        <v>880300000</v>
      </c>
      <c r="AA741">
        <v>40438959.920000002</v>
      </c>
      <c r="AB741">
        <v>456360000</v>
      </c>
      <c r="AC741">
        <v>2.7900495223069505E-3</v>
      </c>
      <c r="AD741">
        <v>78827.740000000005</v>
      </c>
      <c r="AE741">
        <v>0.19489999999999999</v>
      </c>
      <c r="AF741">
        <v>81551000000</v>
      </c>
      <c r="AG741">
        <v>19590000000</v>
      </c>
      <c r="AH741">
        <v>-1361500000</v>
      </c>
      <c r="AI741">
        <v>2784300000</v>
      </c>
      <c r="AJ741">
        <v>9944190000</v>
      </c>
      <c r="AK741">
        <v>1.1062807301118948E-9</v>
      </c>
      <c r="AL741">
        <v>0.12193829628085492</v>
      </c>
    </row>
    <row r="742" spans="2:38">
      <c r="B742">
        <v>1.9077901430842654E-2</v>
      </c>
      <c r="C742">
        <v>31.37</v>
      </c>
      <c r="D742">
        <v>31.28</v>
      </c>
      <c r="E742">
        <v>2.8731045490821977E-3</v>
      </c>
      <c r="F742">
        <v>233231</v>
      </c>
      <c r="G742">
        <v>880300000</v>
      </c>
      <c r="H742">
        <v>7307127.2299999995</v>
      </c>
      <c r="I742">
        <v>456360000</v>
      </c>
      <c r="J742">
        <v>5.110680164782189E-4</v>
      </c>
      <c r="K742">
        <v>78628.81</v>
      </c>
      <c r="L742">
        <v>0.19489999999999999</v>
      </c>
      <c r="M742">
        <v>81551000000</v>
      </c>
      <c r="N742">
        <v>19590000000</v>
      </c>
      <c r="O742">
        <v>-1361500000</v>
      </c>
      <c r="P742">
        <v>2784300000</v>
      </c>
      <c r="Q742">
        <v>9944190000</v>
      </c>
      <c r="R742">
        <v>1.8528543974947038E-9</v>
      </c>
      <c r="S742">
        <v>0.12193829628085492</v>
      </c>
      <c r="U742">
        <v>2.4896265560165973E-2</v>
      </c>
      <c r="V742">
        <v>30.4</v>
      </c>
      <c r="W742">
        <v>30.32</v>
      </c>
      <c r="X742">
        <f t="shared" si="12"/>
        <v>2.6350461133069266E-3</v>
      </c>
      <c r="Y742">
        <v>784139</v>
      </c>
      <c r="Z742">
        <v>880300000</v>
      </c>
      <c r="AA742">
        <v>23837825.599999998</v>
      </c>
      <c r="AB742">
        <v>456360000</v>
      </c>
      <c r="AC742">
        <v>1.7182465597335437E-3</v>
      </c>
      <c r="AD742">
        <v>78029.509999999995</v>
      </c>
      <c r="AE742">
        <v>0.19489999999999999</v>
      </c>
      <c r="AF742">
        <v>81551000000</v>
      </c>
      <c r="AG742">
        <v>19590000000</v>
      </c>
      <c r="AH742">
        <v>-1361500000</v>
      </c>
      <c r="AI742">
        <v>2784300000</v>
      </c>
      <c r="AJ742">
        <v>9944190000</v>
      </c>
      <c r="AK742">
        <v>2.469268896238774E-10</v>
      </c>
      <c r="AL742">
        <v>0.12193829628085492</v>
      </c>
    </row>
    <row r="743" spans="2:38">
      <c r="B743">
        <v>6.4183196258667904E-2</v>
      </c>
      <c r="C743">
        <v>31.92</v>
      </c>
      <c r="D743">
        <v>31.9</v>
      </c>
      <c r="E743">
        <v>6.2676277029154268E-4</v>
      </c>
      <c r="F743">
        <v>1273267</v>
      </c>
      <c r="G743">
        <v>880300000</v>
      </c>
      <c r="H743">
        <v>40438959.920000002</v>
      </c>
      <c r="I743">
        <v>456360000</v>
      </c>
      <c r="J743">
        <v>2.7900495223069505E-3</v>
      </c>
      <c r="K743">
        <v>78827.740000000005</v>
      </c>
      <c r="L743">
        <v>0.19489999999999999</v>
      </c>
      <c r="M743">
        <v>81551000000</v>
      </c>
      <c r="N743">
        <v>19590000000</v>
      </c>
      <c r="O743">
        <v>-1361500000</v>
      </c>
      <c r="P743">
        <v>2784300000</v>
      </c>
      <c r="Q743">
        <v>9944190000</v>
      </c>
      <c r="R743">
        <v>1.1062807301118948E-9</v>
      </c>
      <c r="S743">
        <v>0.12193829628085492</v>
      </c>
      <c r="U743">
        <v>4.2034333386812089E-2</v>
      </c>
      <c r="V743">
        <v>30.52</v>
      </c>
      <c r="W743">
        <v>30.51</v>
      </c>
      <c r="X743">
        <f t="shared" si="12"/>
        <v>3.277076847451421E-4</v>
      </c>
      <c r="Y743">
        <v>725092</v>
      </c>
      <c r="Z743">
        <v>880300000</v>
      </c>
      <c r="AA743">
        <v>22173313.359999999</v>
      </c>
      <c r="AB743">
        <v>456360000</v>
      </c>
      <c r="AC743">
        <v>1.5888596721886231E-3</v>
      </c>
      <c r="AD743">
        <v>78469.33</v>
      </c>
      <c r="AE743">
        <v>0.19489999999999999</v>
      </c>
      <c r="AF743">
        <v>81551000000</v>
      </c>
      <c r="AG743">
        <v>19590000000</v>
      </c>
      <c r="AH743">
        <v>-1361500000</v>
      </c>
      <c r="AI743">
        <v>2784300000</v>
      </c>
      <c r="AJ743">
        <v>9944190000</v>
      </c>
      <c r="AK743">
        <v>1.7302231403730053E-9</v>
      </c>
      <c r="AL743">
        <v>0.12193829628085492</v>
      </c>
    </row>
    <row r="744" spans="2:38">
      <c r="B744">
        <v>2.4896265560165973E-2</v>
      </c>
      <c r="C744">
        <v>30.4</v>
      </c>
      <c r="D744">
        <v>30.32</v>
      </c>
      <c r="E744">
        <v>2.6350461133069266E-3</v>
      </c>
      <c r="F744">
        <v>784139</v>
      </c>
      <c r="G744">
        <v>880300000</v>
      </c>
      <c r="H744">
        <v>23837825.599999998</v>
      </c>
      <c r="I744">
        <v>456360000</v>
      </c>
      <c r="J744">
        <v>1.7182465597335437E-3</v>
      </c>
      <c r="K744">
        <v>78029.509999999995</v>
      </c>
      <c r="L744">
        <v>0.19489999999999999</v>
      </c>
      <c r="M744">
        <v>81551000000</v>
      </c>
      <c r="N744">
        <v>19590000000</v>
      </c>
      <c r="O744">
        <v>-1361500000</v>
      </c>
      <c r="P744">
        <v>2784300000</v>
      </c>
      <c r="Q744">
        <v>9944190000</v>
      </c>
      <c r="R744">
        <v>2.469268896238774E-10</v>
      </c>
      <c r="S744">
        <v>0.12193829628085492</v>
      </c>
      <c r="U744">
        <v>2.7687043086016612E-2</v>
      </c>
      <c r="V744">
        <v>31.94</v>
      </c>
      <c r="W744">
        <v>31.9</v>
      </c>
      <c r="X744">
        <f t="shared" si="12"/>
        <v>1.253132832080285E-3</v>
      </c>
      <c r="Y744">
        <v>669219</v>
      </c>
      <c r="Z744">
        <v>880300000</v>
      </c>
      <c r="AA744">
        <v>21281164.199999999</v>
      </c>
      <c r="AB744">
        <v>456360000</v>
      </c>
      <c r="AC744">
        <v>1.4664278201419931E-3</v>
      </c>
      <c r="AD744">
        <v>79397.009999999995</v>
      </c>
      <c r="AE744">
        <v>0.19489999999999999</v>
      </c>
      <c r="AF744">
        <v>81551000000</v>
      </c>
      <c r="AG744">
        <v>19590000000</v>
      </c>
      <c r="AH744">
        <v>-1361500000</v>
      </c>
      <c r="AI744">
        <v>2784300000</v>
      </c>
      <c r="AJ744">
        <v>9944190000</v>
      </c>
      <c r="AK744">
        <v>9.2705125422642723E-10</v>
      </c>
      <c r="AL744">
        <v>0.12193829628085492</v>
      </c>
    </row>
    <row r="745" spans="2:38">
      <c r="B745">
        <v>4.2034333386812089E-2</v>
      </c>
      <c r="C745">
        <v>30.52</v>
      </c>
      <c r="D745">
        <v>30.51</v>
      </c>
      <c r="E745">
        <v>3.277076847451421E-4</v>
      </c>
      <c r="F745">
        <v>725092</v>
      </c>
      <c r="G745">
        <v>880300000</v>
      </c>
      <c r="H745">
        <v>22173313.359999999</v>
      </c>
      <c r="I745">
        <v>456360000</v>
      </c>
      <c r="J745">
        <v>1.5888596721886231E-3</v>
      </c>
      <c r="K745">
        <v>78469.33</v>
      </c>
      <c r="L745">
        <v>0.19489999999999999</v>
      </c>
      <c r="M745">
        <v>81551000000</v>
      </c>
      <c r="N745">
        <v>19590000000</v>
      </c>
      <c r="O745">
        <v>-1361500000</v>
      </c>
      <c r="P745">
        <v>2784300000</v>
      </c>
      <c r="Q745">
        <v>9944190000</v>
      </c>
      <c r="R745">
        <v>1.7302231403730053E-9</v>
      </c>
      <c r="S745">
        <v>0.12193829628085492</v>
      </c>
      <c r="U745">
        <v>2.2382339414379795E-2</v>
      </c>
      <c r="V745">
        <v>32.49</v>
      </c>
      <c r="W745">
        <v>32.369999999999997</v>
      </c>
      <c r="X745">
        <f t="shared" si="12"/>
        <v>3.7002775208142013E-3</v>
      </c>
      <c r="Y745">
        <v>469200</v>
      </c>
      <c r="Z745">
        <v>880300000</v>
      </c>
      <c r="AA745">
        <v>15220847.999999998</v>
      </c>
      <c r="AB745">
        <v>456360000</v>
      </c>
      <c r="AC745">
        <v>1.0281356823560346E-3</v>
      </c>
      <c r="AD745">
        <v>78987.09</v>
      </c>
      <c r="AE745">
        <v>0.19489999999999999</v>
      </c>
      <c r="AF745">
        <v>81551000000</v>
      </c>
      <c r="AG745">
        <v>19590000000</v>
      </c>
      <c r="AH745">
        <v>-1361500000</v>
      </c>
      <c r="AI745">
        <v>2784300000</v>
      </c>
      <c r="AJ745">
        <v>9944190000</v>
      </c>
      <c r="AK745">
        <v>9.5794938259071015E-10</v>
      </c>
      <c r="AL745">
        <v>0.12193829628085492</v>
      </c>
    </row>
    <row r="746" spans="2:38">
      <c r="B746">
        <v>2.7687043086016612E-2</v>
      </c>
      <c r="C746">
        <v>31.94</v>
      </c>
      <c r="D746">
        <v>31.9</v>
      </c>
      <c r="E746">
        <v>1.253132832080285E-3</v>
      </c>
      <c r="F746">
        <v>669219</v>
      </c>
      <c r="G746">
        <v>880300000</v>
      </c>
      <c r="H746">
        <v>21281164.199999999</v>
      </c>
      <c r="I746">
        <v>456360000</v>
      </c>
      <c r="J746">
        <v>1.4664278201419931E-3</v>
      </c>
      <c r="K746">
        <v>79397.009999999995</v>
      </c>
      <c r="L746">
        <v>0.19489999999999999</v>
      </c>
      <c r="M746">
        <v>81551000000</v>
      </c>
      <c r="N746">
        <v>19590000000</v>
      </c>
      <c r="O746">
        <v>-1361500000</v>
      </c>
      <c r="P746">
        <v>2784300000</v>
      </c>
      <c r="Q746">
        <v>9944190000</v>
      </c>
      <c r="R746">
        <v>9.2705125422642723E-10</v>
      </c>
      <c r="S746">
        <v>0.12193829628085492</v>
      </c>
      <c r="U746">
        <v>2.1180030257185956E-2</v>
      </c>
      <c r="V746">
        <v>32.799999999999997</v>
      </c>
      <c r="W746">
        <v>32.75</v>
      </c>
      <c r="X746">
        <f t="shared" si="12"/>
        <v>1.5255530129671139E-3</v>
      </c>
      <c r="Y746">
        <v>771299</v>
      </c>
      <c r="Z746">
        <v>880300000</v>
      </c>
      <c r="AA746">
        <v>25391163.080000002</v>
      </c>
      <c r="AB746">
        <v>456360000</v>
      </c>
      <c r="AC746">
        <v>1.6901108773775091E-3</v>
      </c>
      <c r="AD746">
        <v>78539.19</v>
      </c>
      <c r="AE746">
        <v>0.19489999999999999</v>
      </c>
      <c r="AF746">
        <v>81551000000</v>
      </c>
      <c r="AG746">
        <v>19590000000</v>
      </c>
      <c r="AH746">
        <v>-1361500000</v>
      </c>
      <c r="AI746">
        <v>2784300000</v>
      </c>
      <c r="AJ746">
        <v>9944190000</v>
      </c>
      <c r="AK746">
        <v>0</v>
      </c>
      <c r="AL746">
        <v>0.12193829628085492</v>
      </c>
    </row>
    <row r="747" spans="2:38">
      <c r="B747">
        <v>2.2382339414379795E-2</v>
      </c>
      <c r="C747">
        <v>32.49</v>
      </c>
      <c r="D747">
        <v>32.369999999999997</v>
      </c>
      <c r="E747">
        <v>3.7002775208142013E-3</v>
      </c>
      <c r="F747">
        <v>469200</v>
      </c>
      <c r="G747">
        <v>880300000</v>
      </c>
      <c r="H747">
        <v>15220847.999999998</v>
      </c>
      <c r="I747">
        <v>456360000</v>
      </c>
      <c r="J747">
        <v>1.0281356823560346E-3</v>
      </c>
      <c r="K747">
        <v>78987.09</v>
      </c>
      <c r="L747">
        <v>0.19489999999999999</v>
      </c>
      <c r="M747">
        <v>81551000000</v>
      </c>
      <c r="N747">
        <v>19590000000</v>
      </c>
      <c r="O747">
        <v>-1361500000</v>
      </c>
      <c r="P747">
        <v>2784300000</v>
      </c>
      <c r="Q747">
        <v>9944190000</v>
      </c>
      <c r="R747">
        <v>9.5794938259071015E-10</v>
      </c>
      <c r="S747">
        <v>0.12193829628085492</v>
      </c>
      <c r="U747">
        <v>1.5475648611743281E-2</v>
      </c>
      <c r="V747">
        <v>22.08</v>
      </c>
      <c r="W747">
        <v>22.02</v>
      </c>
      <c r="X747">
        <f t="shared" si="12"/>
        <v>2.7210884353740918E-3</v>
      </c>
      <c r="Y747">
        <v>477157</v>
      </c>
      <c r="Z747">
        <v>379800000</v>
      </c>
      <c r="AA747">
        <v>10516540.279999999</v>
      </c>
      <c r="AB747">
        <v>151930000</v>
      </c>
      <c r="AC747">
        <v>3.1406371355229383E-3</v>
      </c>
      <c r="AD747">
        <v>82074.45</v>
      </c>
      <c r="AE747">
        <v>0.1741</v>
      </c>
      <c r="AF747">
        <v>26674000000</v>
      </c>
      <c r="AG747">
        <v>8542799999.999999</v>
      </c>
      <c r="AH747">
        <v>2292070000</v>
      </c>
      <c r="AI747">
        <v>1440280000</v>
      </c>
      <c r="AJ747">
        <v>6558870000</v>
      </c>
      <c r="AK747">
        <v>5.6419350878383689E-10</v>
      </c>
      <c r="AL747">
        <v>0.24589000524855664</v>
      </c>
    </row>
    <row r="748" spans="2:38">
      <c r="B748">
        <v>2.1180030257185956E-2</v>
      </c>
      <c r="C748">
        <v>32.799999999999997</v>
      </c>
      <c r="D748">
        <v>32.75</v>
      </c>
      <c r="E748">
        <v>1.5255530129671139E-3</v>
      </c>
      <c r="F748">
        <v>771299</v>
      </c>
      <c r="G748">
        <v>880300000</v>
      </c>
      <c r="H748">
        <v>25391163.080000002</v>
      </c>
      <c r="I748">
        <v>456360000</v>
      </c>
      <c r="J748">
        <v>1.6901108773775091E-3</v>
      </c>
      <c r="K748">
        <v>78539.19</v>
      </c>
      <c r="L748">
        <v>0.19489999999999999</v>
      </c>
      <c r="M748">
        <v>81551000000</v>
      </c>
      <c r="N748">
        <v>19590000000</v>
      </c>
      <c r="O748">
        <v>-1361500000</v>
      </c>
      <c r="P748">
        <v>2784300000</v>
      </c>
      <c r="Q748">
        <v>9944190000</v>
      </c>
      <c r="R748">
        <v>0</v>
      </c>
      <c r="S748">
        <v>0.12193829628085492</v>
      </c>
      <c r="U748">
        <v>3.6759700476514737E-2</v>
      </c>
      <c r="V748">
        <v>22.07</v>
      </c>
      <c r="W748">
        <v>22.06</v>
      </c>
      <c r="X748">
        <f t="shared" si="12"/>
        <v>4.5320643553145546E-4</v>
      </c>
      <c r="Y748">
        <v>230671</v>
      </c>
      <c r="Z748">
        <v>379800000</v>
      </c>
      <c r="AA748">
        <v>5054001.6100000003</v>
      </c>
      <c r="AB748">
        <v>151930000</v>
      </c>
      <c r="AC748">
        <v>1.518271572434674E-3</v>
      </c>
      <c r="AD748">
        <v>81459.289999999994</v>
      </c>
      <c r="AE748">
        <v>0.1741</v>
      </c>
      <c r="AF748">
        <v>26674000000</v>
      </c>
      <c r="AG748">
        <v>8542799999.999999</v>
      </c>
      <c r="AH748">
        <v>2292070000</v>
      </c>
      <c r="AI748">
        <v>1440280000</v>
      </c>
      <c r="AJ748">
        <v>6558870000</v>
      </c>
      <c r="AK748">
        <v>9.0721236001079127E-10</v>
      </c>
      <c r="AL748">
        <v>0.24589000524855664</v>
      </c>
    </row>
    <row r="749" spans="2:38">
      <c r="B749">
        <v>0</v>
      </c>
      <c r="C749">
        <v>0</v>
      </c>
      <c r="D749">
        <v>0</v>
      </c>
      <c r="E749">
        <v>0</v>
      </c>
      <c r="F749">
        <v>0</v>
      </c>
      <c r="G749">
        <v>0</v>
      </c>
      <c r="H749">
        <v>0</v>
      </c>
      <c r="I749">
        <v>0</v>
      </c>
      <c r="J749">
        <v>0</v>
      </c>
      <c r="K749">
        <v>0</v>
      </c>
      <c r="L749">
        <v>0</v>
      </c>
      <c r="M749">
        <v>0</v>
      </c>
      <c r="N749">
        <v>0</v>
      </c>
      <c r="O749">
        <v>0</v>
      </c>
      <c r="P749">
        <v>0</v>
      </c>
      <c r="Q749">
        <v>0</v>
      </c>
      <c r="R749">
        <v>0</v>
      </c>
      <c r="S749">
        <v>0</v>
      </c>
      <c r="U749">
        <v>3.7164487267721896E-2</v>
      </c>
      <c r="V749">
        <v>21.85</v>
      </c>
      <c r="W749">
        <v>21.71</v>
      </c>
      <c r="X749">
        <f t="shared" si="12"/>
        <v>6.4279155188246354E-3</v>
      </c>
      <c r="Y749">
        <v>671343</v>
      </c>
      <c r="Z749">
        <v>379800000</v>
      </c>
      <c r="AA749">
        <v>14641990.829999998</v>
      </c>
      <c r="AB749">
        <v>151930000</v>
      </c>
      <c r="AC749">
        <v>4.4187652208253804E-3</v>
      </c>
      <c r="AD749">
        <v>80461.34</v>
      </c>
      <c r="AE749">
        <v>0.1741</v>
      </c>
      <c r="AF749">
        <v>26674000000</v>
      </c>
      <c r="AG749">
        <v>8542799999.999999</v>
      </c>
      <c r="AH749">
        <v>2292070000</v>
      </c>
      <c r="AI749">
        <v>1440280000</v>
      </c>
      <c r="AJ749">
        <v>6558870000</v>
      </c>
      <c r="AK749">
        <v>8.2399759276557929E-10</v>
      </c>
      <c r="AL749">
        <v>0.24589000524855664</v>
      </c>
    </row>
    <row r="750" spans="2:38">
      <c r="B750" t="str">
        <v>Relative high-low price</v>
      </c>
      <c r="C750" t="str">
        <v>Ask price</v>
      </c>
      <c r="D750" t="str">
        <v xml:space="preserve">Bid price </v>
      </c>
      <c r="E750" t="str">
        <v xml:space="preserve">Relative Bid-Ask Spread </v>
      </c>
      <c r="F750" t="str">
        <v>daily trading volume</v>
      </c>
      <c r="G750" t="str">
        <v xml:space="preserve">Common shares outstanding </v>
      </c>
      <c r="H750" t="str">
        <v xml:space="preserve">Trading value </v>
      </c>
      <c r="I750" t="str">
        <v xml:space="preserve">free float shares </v>
      </c>
      <c r="J750" t="str">
        <v>Turnover</v>
      </c>
      <c r="K750" t="str">
        <v>Daily kse-100 index</v>
      </c>
      <c r="L750" t="str">
        <v xml:space="preserve">Risk free rate </v>
      </c>
      <c r="M750" t="str">
        <v xml:space="preserve">Total assets </v>
      </c>
      <c r="N750" t="str">
        <v xml:space="preserve">total liabilities </v>
      </c>
      <c r="O750" t="str">
        <v>EBITDA</v>
      </c>
      <c r="P750" t="str">
        <v xml:space="preserve">Cash and equivalents </v>
      </c>
      <c r="Q750" t="str">
        <v xml:space="preserve">total debt </v>
      </c>
      <c r="R750" t="str">
        <v>Amihud illiquidity ratio</v>
      </c>
      <c r="S750" t="str">
        <v>Leverage ratio</v>
      </c>
      <c r="U750">
        <v>2.2988505747126436E-2</v>
      </c>
      <c r="V750">
        <v>21.59</v>
      </c>
      <c r="W750">
        <v>21.56</v>
      </c>
      <c r="X750">
        <f t="shared" si="12"/>
        <v>1.3904982618772254E-3</v>
      </c>
      <c r="Y750">
        <v>421298</v>
      </c>
      <c r="Z750">
        <v>379800000</v>
      </c>
      <c r="AA750">
        <v>9078971.9000000004</v>
      </c>
      <c r="AB750">
        <v>151930000</v>
      </c>
      <c r="AC750">
        <v>2.7729743961034687E-3</v>
      </c>
      <c r="AD750">
        <v>79491.14</v>
      </c>
      <c r="AE750">
        <v>0.1741</v>
      </c>
      <c r="AF750">
        <v>26674000000</v>
      </c>
      <c r="AG750">
        <v>8542799999.999999</v>
      </c>
      <c r="AH750">
        <v>2292070000</v>
      </c>
      <c r="AI750">
        <v>1440280000</v>
      </c>
      <c r="AJ750">
        <v>6558870000</v>
      </c>
      <c r="AK750">
        <v>1.0629766674481816E-9</v>
      </c>
      <c r="AL750">
        <v>0.24589000524855664</v>
      </c>
    </row>
    <row r="751" spans="2:38">
      <c r="B751">
        <v>1.5475648611743281E-2</v>
      </c>
      <c r="C751">
        <v>22.08</v>
      </c>
      <c r="D751">
        <v>22.02</v>
      </c>
      <c r="E751">
        <v>2.7210884353740918E-3</v>
      </c>
      <c r="F751">
        <v>477157</v>
      </c>
      <c r="G751">
        <v>379800000</v>
      </c>
      <c r="H751">
        <v>10516540.279999999</v>
      </c>
      <c r="I751">
        <v>151930000</v>
      </c>
      <c r="J751">
        <v>3.1406371355229383E-3</v>
      </c>
      <c r="K751">
        <v>82074.45</v>
      </c>
      <c r="L751">
        <v>0.1741</v>
      </c>
      <c r="M751">
        <v>26674000000</v>
      </c>
      <c r="N751">
        <v>8542799999.999999</v>
      </c>
      <c r="O751">
        <v>2292070000</v>
      </c>
      <c r="P751">
        <v>1440280000</v>
      </c>
      <c r="Q751">
        <v>6558870000</v>
      </c>
      <c r="R751">
        <v>5.6419350878383689E-10</v>
      </c>
      <c r="S751">
        <v>0.24589000524855664</v>
      </c>
      <c r="U751">
        <v>2.9511918274687955E-2</v>
      </c>
      <c r="V751">
        <v>21.8</v>
      </c>
      <c r="W751">
        <v>21.72</v>
      </c>
      <c r="X751">
        <f t="shared" si="12"/>
        <v>3.6764705882353795E-3</v>
      </c>
      <c r="Y751">
        <v>425212</v>
      </c>
      <c r="Z751">
        <v>379800000</v>
      </c>
      <c r="AA751">
        <v>9252613.120000001</v>
      </c>
      <c r="AB751">
        <v>151930000</v>
      </c>
      <c r="AC751">
        <v>2.798736260119792E-3</v>
      </c>
      <c r="AD751">
        <v>79333.06</v>
      </c>
      <c r="AE751">
        <v>0.1741</v>
      </c>
      <c r="AF751">
        <v>26674000000</v>
      </c>
      <c r="AG751">
        <v>8542799999.999999</v>
      </c>
      <c r="AH751">
        <v>2292070000</v>
      </c>
      <c r="AI751">
        <v>1440280000</v>
      </c>
      <c r="AJ751">
        <v>6558870000</v>
      </c>
      <c r="AK751">
        <v>1.2275962772743914E-9</v>
      </c>
      <c r="AL751">
        <v>0.24589000524855664</v>
      </c>
    </row>
    <row r="752" spans="2:38">
      <c r="B752">
        <v>3.6759700476514737E-2</v>
      </c>
      <c r="C752">
        <v>22.07</v>
      </c>
      <c r="D752">
        <v>22.06</v>
      </c>
      <c r="E752">
        <v>4.5320643553145546E-4</v>
      </c>
      <c r="F752">
        <v>230671</v>
      </c>
      <c r="G752">
        <v>379800000</v>
      </c>
      <c r="H752">
        <v>5054001.6100000003</v>
      </c>
      <c r="I752">
        <v>151930000</v>
      </c>
      <c r="J752">
        <v>1.518271572434674E-3</v>
      </c>
      <c r="K752">
        <v>81459.289999999994</v>
      </c>
      <c r="L752">
        <v>0.1741</v>
      </c>
      <c r="M752">
        <v>26674000000</v>
      </c>
      <c r="N752">
        <v>8542799999.999999</v>
      </c>
      <c r="O752">
        <v>2292070000</v>
      </c>
      <c r="P752">
        <v>1440280000</v>
      </c>
      <c r="Q752">
        <v>6558870000</v>
      </c>
      <c r="R752">
        <v>9.0721236001079127E-10</v>
      </c>
      <c r="S752">
        <v>0.24589000524855664</v>
      </c>
      <c r="U752">
        <v>9.9728014505894112E-3</v>
      </c>
      <c r="V752">
        <v>22.08</v>
      </c>
      <c r="W752">
        <v>21.99</v>
      </c>
      <c r="X752">
        <f t="shared" si="12"/>
        <v>4.0844111640571763E-3</v>
      </c>
      <c r="Y752">
        <v>233973</v>
      </c>
      <c r="Z752">
        <v>379800000</v>
      </c>
      <c r="AA752">
        <v>5149745.7300000004</v>
      </c>
      <c r="AB752">
        <v>151930000</v>
      </c>
      <c r="AC752">
        <v>1.5400052655828343E-3</v>
      </c>
      <c r="AD752">
        <v>79017.62</v>
      </c>
      <c r="AE752">
        <v>0.1741</v>
      </c>
      <c r="AF752">
        <v>26674000000</v>
      </c>
      <c r="AG752">
        <v>8542799999.999999</v>
      </c>
      <c r="AH752">
        <v>2292070000</v>
      </c>
      <c r="AI752">
        <v>1440280000</v>
      </c>
      <c r="AJ752">
        <v>6558870000</v>
      </c>
      <c r="AK752">
        <v>4.4012770786349333E-10</v>
      </c>
      <c r="AL752">
        <v>0.24589000524855664</v>
      </c>
    </row>
    <row r="753" spans="2:38">
      <c r="B753">
        <v>3.7164487267721896E-2</v>
      </c>
      <c r="C753">
        <v>21.85</v>
      </c>
      <c r="D753">
        <v>21.71</v>
      </c>
      <c r="E753">
        <v>6.4279155188246354E-3</v>
      </c>
      <c r="F753">
        <v>671343</v>
      </c>
      <c r="G753">
        <v>379800000</v>
      </c>
      <c r="H753">
        <v>14641990.829999998</v>
      </c>
      <c r="I753">
        <v>151930000</v>
      </c>
      <c r="J753">
        <v>4.4187652208253804E-3</v>
      </c>
      <c r="K753">
        <v>80461.34</v>
      </c>
      <c r="L753">
        <v>0.1741</v>
      </c>
      <c r="M753">
        <v>26674000000</v>
      </c>
      <c r="N753">
        <v>8542799999.999999</v>
      </c>
      <c r="O753">
        <v>2292070000</v>
      </c>
      <c r="P753">
        <v>1440280000</v>
      </c>
      <c r="Q753">
        <v>6558870000</v>
      </c>
      <c r="R753">
        <v>8.2399759276557929E-10</v>
      </c>
      <c r="S753">
        <v>0.24589000524855664</v>
      </c>
      <c r="U753">
        <v>1.578354002254798E-2</v>
      </c>
      <c r="V753">
        <v>22.14</v>
      </c>
      <c r="W753">
        <v>22.01</v>
      </c>
      <c r="X753">
        <f t="shared" si="12"/>
        <v>5.8890147225367602E-3</v>
      </c>
      <c r="Y753">
        <v>268980</v>
      </c>
      <c r="Z753">
        <v>379800000</v>
      </c>
      <c r="AA753">
        <v>5933698.7999999998</v>
      </c>
      <c r="AB753">
        <v>151930000</v>
      </c>
      <c r="AC753">
        <v>1.7704205884288818E-3</v>
      </c>
      <c r="AD753">
        <v>78651.8</v>
      </c>
      <c r="AE753">
        <v>0.1741</v>
      </c>
      <c r="AF753">
        <v>26674000000</v>
      </c>
      <c r="AG753">
        <v>8542799999.999999</v>
      </c>
      <c r="AH753">
        <v>2292070000</v>
      </c>
      <c r="AI753">
        <v>1440280000</v>
      </c>
      <c r="AJ753">
        <v>6558870000</v>
      </c>
      <c r="AK753">
        <v>6.0895734495793538E-10</v>
      </c>
      <c r="AL753">
        <v>0.24589000524855664</v>
      </c>
    </row>
    <row r="754" spans="2:38">
      <c r="B754">
        <v>2.2988505747126436E-2</v>
      </c>
      <c r="C754">
        <v>21.59</v>
      </c>
      <c r="D754">
        <v>21.56</v>
      </c>
      <c r="E754">
        <v>1.3904982618772254E-3</v>
      </c>
      <c r="F754">
        <v>421298</v>
      </c>
      <c r="G754">
        <v>379800000</v>
      </c>
      <c r="H754">
        <v>9078971.9000000004</v>
      </c>
      <c r="I754">
        <v>151930000</v>
      </c>
      <c r="J754">
        <v>2.7729743961034687E-3</v>
      </c>
      <c r="K754">
        <v>79491.14</v>
      </c>
      <c r="L754">
        <v>0.1741</v>
      </c>
      <c r="M754">
        <v>26674000000</v>
      </c>
      <c r="N754">
        <v>8542799999.999999</v>
      </c>
      <c r="O754">
        <v>2292070000</v>
      </c>
      <c r="P754">
        <v>1440280000</v>
      </c>
      <c r="Q754">
        <v>6558870000</v>
      </c>
      <c r="R754">
        <v>1.0629766674481816E-9</v>
      </c>
      <c r="S754">
        <v>0.24589000524855664</v>
      </c>
      <c r="U754">
        <v>2.441229656419526E-2</v>
      </c>
      <c r="V754">
        <v>22.3</v>
      </c>
      <c r="W754">
        <v>22.29</v>
      </c>
      <c r="X754">
        <f t="shared" si="12"/>
        <v>4.485310607760288E-4</v>
      </c>
      <c r="Y754">
        <v>445244</v>
      </c>
      <c r="Z754">
        <v>379800000</v>
      </c>
      <c r="AA754">
        <v>9857702.1600000001</v>
      </c>
      <c r="AB754">
        <v>151930000</v>
      </c>
      <c r="AC754">
        <v>2.930586454288159E-3</v>
      </c>
      <c r="AD754">
        <v>79286.740000000005</v>
      </c>
      <c r="AE754">
        <v>0.1741</v>
      </c>
      <c r="AF754">
        <v>26674000000</v>
      </c>
      <c r="AG754">
        <v>8542799999.999999</v>
      </c>
      <c r="AH754">
        <v>2292070000</v>
      </c>
      <c r="AI754">
        <v>1440280000</v>
      </c>
      <c r="AJ754">
        <v>6558870000</v>
      </c>
      <c r="AK754">
        <v>4.5839818964678695E-11</v>
      </c>
      <c r="AL754">
        <v>0.24589000524855664</v>
      </c>
    </row>
    <row r="755" spans="2:38">
      <c r="B755">
        <v>2.9511918274687955E-2</v>
      </c>
      <c r="C755">
        <v>21.8</v>
      </c>
      <c r="D755">
        <v>21.72</v>
      </c>
      <c r="E755">
        <v>3.6764705882353795E-3</v>
      </c>
      <c r="F755">
        <v>425212</v>
      </c>
      <c r="G755">
        <v>379800000</v>
      </c>
      <c r="H755">
        <v>9252613.120000001</v>
      </c>
      <c r="I755">
        <v>151930000</v>
      </c>
      <c r="J755">
        <v>2.798736260119792E-3</v>
      </c>
      <c r="K755">
        <v>79333.06</v>
      </c>
      <c r="L755">
        <v>0.1741</v>
      </c>
      <c r="M755">
        <v>26674000000</v>
      </c>
      <c r="N755">
        <v>8542799999.999999</v>
      </c>
      <c r="O755">
        <v>2292070000</v>
      </c>
      <c r="P755">
        <v>1440280000</v>
      </c>
      <c r="Q755">
        <v>6558870000</v>
      </c>
      <c r="R755">
        <v>1.2275962772743914E-9</v>
      </c>
      <c r="S755">
        <v>0.24589000524855664</v>
      </c>
      <c r="U755">
        <v>4.1852181656277881E-2</v>
      </c>
      <c r="V755">
        <v>22.25</v>
      </c>
      <c r="W755">
        <v>22.17</v>
      </c>
      <c r="X755">
        <f t="shared" si="12"/>
        <v>3.6019810895992028E-3</v>
      </c>
      <c r="Y755">
        <v>1185028</v>
      </c>
      <c r="Z755">
        <v>379800000</v>
      </c>
      <c r="AA755">
        <v>26224669.640000001</v>
      </c>
      <c r="AB755">
        <v>151930000</v>
      </c>
      <c r="AC755">
        <v>7.7998288685578888E-3</v>
      </c>
      <c r="AD755">
        <v>78615</v>
      </c>
      <c r="AE755">
        <v>0.1741</v>
      </c>
      <c r="AF755">
        <v>26674000000</v>
      </c>
      <c r="AG755">
        <v>8542799999.999999</v>
      </c>
      <c r="AH755">
        <v>2292070000</v>
      </c>
      <c r="AI755">
        <v>1440280000</v>
      </c>
      <c r="AJ755">
        <v>6558870000</v>
      </c>
      <c r="AK755">
        <v>8.9187899974233026E-10</v>
      </c>
      <c r="AL755">
        <v>0.24589000524855664</v>
      </c>
    </row>
    <row r="756" spans="2:38">
      <c r="B756">
        <v>9.9728014505894112E-3</v>
      </c>
      <c r="C756">
        <v>22.08</v>
      </c>
      <c r="D756">
        <v>21.99</v>
      </c>
      <c r="E756">
        <v>4.0844111640571763E-3</v>
      </c>
      <c r="F756">
        <v>233973</v>
      </c>
      <c r="G756">
        <v>379800000</v>
      </c>
      <c r="H756">
        <v>5149745.7300000004</v>
      </c>
      <c r="I756">
        <v>151930000</v>
      </c>
      <c r="J756">
        <v>1.5400052655828343E-3</v>
      </c>
      <c r="K756">
        <v>79017.62</v>
      </c>
      <c r="L756">
        <v>0.1741</v>
      </c>
      <c r="M756">
        <v>26674000000</v>
      </c>
      <c r="N756">
        <v>8542799999.999999</v>
      </c>
      <c r="O756">
        <v>2292070000</v>
      </c>
      <c r="P756">
        <v>1440280000</v>
      </c>
      <c r="Q756">
        <v>6558870000</v>
      </c>
      <c r="R756">
        <v>4.4012770786349333E-10</v>
      </c>
      <c r="S756">
        <v>0.24589000524855664</v>
      </c>
      <c r="U756">
        <v>4.0327941502326624E-2</v>
      </c>
      <c r="V756">
        <v>22.75</v>
      </c>
      <c r="W756">
        <v>22.7</v>
      </c>
      <c r="X756">
        <f t="shared" si="12"/>
        <v>2.2002200220022313E-3</v>
      </c>
      <c r="Y756">
        <v>961063</v>
      </c>
      <c r="Z756">
        <v>379800000</v>
      </c>
      <c r="AA756">
        <v>21777687.580000002</v>
      </c>
      <c r="AB756">
        <v>151930000</v>
      </c>
      <c r="AC756">
        <v>6.3256960442308954E-3</v>
      </c>
      <c r="AD756">
        <v>78897.73</v>
      </c>
      <c r="AE756">
        <v>0.1741</v>
      </c>
      <c r="AF756">
        <v>26674000000</v>
      </c>
      <c r="AG756">
        <v>8542799999.999999</v>
      </c>
      <c r="AH756">
        <v>2292070000</v>
      </c>
      <c r="AI756">
        <v>1440280000</v>
      </c>
      <c r="AJ756">
        <v>6558870000</v>
      </c>
      <c r="AK756">
        <v>4.2145690077104366E-9</v>
      </c>
      <c r="AL756">
        <v>0.24589000524855664</v>
      </c>
    </row>
    <row r="757" spans="2:38">
      <c r="B757">
        <v>1.578354002254798E-2</v>
      </c>
      <c r="C757">
        <v>22.14</v>
      </c>
      <c r="D757">
        <v>22.01</v>
      </c>
      <c r="E757">
        <v>5.8890147225367602E-3</v>
      </c>
      <c r="F757">
        <v>268980</v>
      </c>
      <c r="G757">
        <v>379800000</v>
      </c>
      <c r="H757">
        <v>5933698.7999999998</v>
      </c>
      <c r="I757">
        <v>151930000</v>
      </c>
      <c r="J757">
        <v>1.7704205884288818E-3</v>
      </c>
      <c r="K757">
        <v>78651.8</v>
      </c>
      <c r="L757">
        <v>0.1741</v>
      </c>
      <c r="M757">
        <v>26674000000</v>
      </c>
      <c r="N757">
        <v>8542799999.999999</v>
      </c>
      <c r="O757">
        <v>2292070000</v>
      </c>
      <c r="P757">
        <v>1440280000</v>
      </c>
      <c r="Q757">
        <v>6558870000</v>
      </c>
      <c r="R757">
        <v>6.0895734495793538E-10</v>
      </c>
      <c r="S757">
        <v>0.24589000524855664</v>
      </c>
      <c r="U757">
        <v>2.2877784467188453E-2</v>
      </c>
      <c r="V757">
        <v>24.9</v>
      </c>
      <c r="W757">
        <v>24.81</v>
      </c>
      <c r="X757">
        <f t="shared" si="12"/>
        <v>3.6210018105008999E-3</v>
      </c>
      <c r="Y757">
        <v>1467095</v>
      </c>
      <c r="Z757">
        <v>379800000</v>
      </c>
      <c r="AA757">
        <v>36604020.25</v>
      </c>
      <c r="AB757">
        <v>151930000</v>
      </c>
      <c r="AC757">
        <v>9.6563878101757396E-3</v>
      </c>
      <c r="AD757">
        <v>78863.34</v>
      </c>
      <c r="AE757">
        <v>0.1741</v>
      </c>
      <c r="AF757">
        <v>26674000000</v>
      </c>
      <c r="AG757">
        <v>8542799999.999999</v>
      </c>
      <c r="AH757">
        <v>2292070000</v>
      </c>
      <c r="AI757">
        <v>1440280000</v>
      </c>
      <c r="AJ757">
        <v>6558870000</v>
      </c>
      <c r="AK757">
        <v>3.5494149936408358E-10</v>
      </c>
      <c r="AL757">
        <v>0.24589000524855664</v>
      </c>
    </row>
    <row r="758" spans="2:38">
      <c r="B758">
        <v>2.441229656419526E-2</v>
      </c>
      <c r="C758">
        <v>22.3</v>
      </c>
      <c r="D758">
        <v>22.29</v>
      </c>
      <c r="E758">
        <v>4.485310607760288E-4</v>
      </c>
      <c r="F758">
        <v>445244</v>
      </c>
      <c r="G758">
        <v>379800000</v>
      </c>
      <c r="H758">
        <v>9857702.1600000001</v>
      </c>
      <c r="I758">
        <v>151930000</v>
      </c>
      <c r="J758">
        <v>2.930586454288159E-3</v>
      </c>
      <c r="K758">
        <v>79286.740000000005</v>
      </c>
      <c r="L758">
        <v>0.1741</v>
      </c>
      <c r="M758">
        <v>26674000000</v>
      </c>
      <c r="N758">
        <v>8542799999.999999</v>
      </c>
      <c r="O758">
        <v>2292070000</v>
      </c>
      <c r="P758">
        <v>1440280000</v>
      </c>
      <c r="Q758">
        <v>6558870000</v>
      </c>
      <c r="R758">
        <v>4.5839818964678695E-11</v>
      </c>
      <c r="S758">
        <v>0.24589000524855664</v>
      </c>
      <c r="U758">
        <v>1.0131712259371834E-2</v>
      </c>
      <c r="V758">
        <v>24.75</v>
      </c>
      <c r="W758">
        <v>24.6</v>
      </c>
      <c r="X758">
        <f t="shared" si="12"/>
        <v>6.0790273556230422E-3</v>
      </c>
      <c r="Y758">
        <v>878506</v>
      </c>
      <c r="Z758">
        <v>379800000</v>
      </c>
      <c r="AA758">
        <v>21637602.779999997</v>
      </c>
      <c r="AB758">
        <v>151930000</v>
      </c>
      <c r="AC758">
        <v>5.7823076416770878E-3</v>
      </c>
      <c r="AD758">
        <v>78848.009999999995</v>
      </c>
      <c r="AE758">
        <v>0.1741</v>
      </c>
      <c r="AF758">
        <v>26674000000</v>
      </c>
      <c r="AG758">
        <v>8542799999.999999</v>
      </c>
      <c r="AH758">
        <v>2292070000</v>
      </c>
      <c r="AI758">
        <v>1440280000</v>
      </c>
      <c r="AJ758">
        <v>6558870000</v>
      </c>
      <c r="AK758">
        <v>2.240768026745747E-10</v>
      </c>
      <c r="AL758">
        <v>0.24589000524855664</v>
      </c>
    </row>
    <row r="759" spans="2:38">
      <c r="B759">
        <v>4.1852181656277881E-2</v>
      </c>
      <c r="C759">
        <v>22.25</v>
      </c>
      <c r="D759">
        <v>22.17</v>
      </c>
      <c r="E759">
        <v>3.6019810895992028E-3</v>
      </c>
      <c r="F759">
        <v>1185028</v>
      </c>
      <c r="G759">
        <v>379800000</v>
      </c>
      <c r="H759">
        <v>26224669.640000001</v>
      </c>
      <c r="I759">
        <v>151930000</v>
      </c>
      <c r="J759">
        <v>7.7998288685578888E-3</v>
      </c>
      <c r="K759">
        <v>78615</v>
      </c>
      <c r="L759">
        <v>0.1741</v>
      </c>
      <c r="M759">
        <v>26674000000</v>
      </c>
      <c r="N759">
        <v>8542799999.999999</v>
      </c>
      <c r="O759">
        <v>2292070000</v>
      </c>
      <c r="P759">
        <v>1440280000</v>
      </c>
      <c r="Q759">
        <v>6558870000</v>
      </c>
      <c r="R759">
        <v>8.9187899974233026E-10</v>
      </c>
      <c r="S759">
        <v>0.24589000524855664</v>
      </c>
      <c r="U759">
        <v>3.4308779011099813E-2</v>
      </c>
      <c r="V759">
        <v>24.8</v>
      </c>
      <c r="W759">
        <v>24.75</v>
      </c>
      <c r="X759">
        <f t="shared" si="12"/>
        <v>2.0181634712411992E-3</v>
      </c>
      <c r="Y759">
        <v>1622996</v>
      </c>
      <c r="Z759">
        <v>379800000</v>
      </c>
      <c r="AA759">
        <v>40169151</v>
      </c>
      <c r="AB759">
        <v>151930000</v>
      </c>
      <c r="AC759">
        <v>1.0682524846968999E-2</v>
      </c>
      <c r="AD759">
        <v>78356.320000000007</v>
      </c>
      <c r="AE759">
        <v>0.17469999999999999</v>
      </c>
      <c r="AF759">
        <v>26674000000</v>
      </c>
      <c r="AG759">
        <v>8542799999.999999</v>
      </c>
      <c r="AH759">
        <v>2292070000</v>
      </c>
      <c r="AI759">
        <v>1440280000</v>
      </c>
      <c r="AJ759">
        <v>6558870000</v>
      </c>
      <c r="AK759">
        <v>4.0894826785840082E-10</v>
      </c>
      <c r="AL759">
        <v>0.24589000524855664</v>
      </c>
    </row>
    <row r="760" spans="2:38">
      <c r="B760">
        <v>4.0327941502326624E-2</v>
      </c>
      <c r="C760">
        <v>22.75</v>
      </c>
      <c r="D760">
        <v>22.7</v>
      </c>
      <c r="E760">
        <v>2.2002200220022313E-3</v>
      </c>
      <c r="F760">
        <v>961063</v>
      </c>
      <c r="G760">
        <v>379800000</v>
      </c>
      <c r="H760">
        <v>21777687.580000002</v>
      </c>
      <c r="I760">
        <v>151930000</v>
      </c>
      <c r="J760">
        <v>6.3256960442308954E-3</v>
      </c>
      <c r="K760">
        <v>78897.73</v>
      </c>
      <c r="L760">
        <v>0.1741</v>
      </c>
      <c r="M760">
        <v>26674000000</v>
      </c>
      <c r="N760">
        <v>8542799999.999999</v>
      </c>
      <c r="O760">
        <v>2292070000</v>
      </c>
      <c r="P760">
        <v>1440280000</v>
      </c>
      <c r="Q760">
        <v>6558870000</v>
      </c>
      <c r="R760">
        <v>4.2145690077104366E-9</v>
      </c>
      <c r="S760">
        <v>0.24589000524855664</v>
      </c>
      <c r="U760">
        <v>1.6052685737806008E-2</v>
      </c>
      <c r="V760">
        <v>24.38</v>
      </c>
      <c r="W760">
        <v>24.34</v>
      </c>
      <c r="X760">
        <f t="shared" si="12"/>
        <v>1.6420361247947105E-3</v>
      </c>
      <c r="Y760">
        <v>1718730</v>
      </c>
      <c r="Z760">
        <v>379800000</v>
      </c>
      <c r="AA760">
        <v>41851075.5</v>
      </c>
      <c r="AB760">
        <v>151930000</v>
      </c>
      <c r="AC760">
        <v>1.1312643980780622E-2</v>
      </c>
      <c r="AD760">
        <v>78283.3</v>
      </c>
      <c r="AE760">
        <v>0.17469999999999999</v>
      </c>
      <c r="AF760">
        <v>26674000000</v>
      </c>
      <c r="AG760">
        <v>8542799999.999999</v>
      </c>
      <c r="AH760">
        <v>2292070000</v>
      </c>
      <c r="AI760">
        <v>1440280000</v>
      </c>
      <c r="AJ760">
        <v>6558870000</v>
      </c>
      <c r="AK760">
        <v>2.4786564883864189E-10</v>
      </c>
      <c r="AL760">
        <v>0.24589000524855664</v>
      </c>
    </row>
    <row r="761" spans="2:38">
      <c r="B761">
        <v>2.2877784467188453E-2</v>
      </c>
      <c r="C761">
        <v>24.9</v>
      </c>
      <c r="D761">
        <v>24.81</v>
      </c>
      <c r="E761">
        <v>3.6210018105008999E-3</v>
      </c>
      <c r="F761">
        <v>1467095</v>
      </c>
      <c r="G761">
        <v>379800000</v>
      </c>
      <c r="H761">
        <v>36604020.25</v>
      </c>
      <c r="I761">
        <v>151930000</v>
      </c>
      <c r="J761">
        <v>9.6563878101757396E-3</v>
      </c>
      <c r="K761">
        <v>78863.34</v>
      </c>
      <c r="L761">
        <v>0.1741</v>
      </c>
      <c r="M761">
        <v>26674000000</v>
      </c>
      <c r="N761">
        <v>8542799999.999999</v>
      </c>
      <c r="O761">
        <v>2292070000</v>
      </c>
      <c r="P761">
        <v>1440280000</v>
      </c>
      <c r="Q761">
        <v>6558870000</v>
      </c>
      <c r="R761">
        <v>3.5494149936408358E-10</v>
      </c>
      <c r="S761">
        <v>0.24589000524855664</v>
      </c>
      <c r="U761">
        <v>1.8614270941054781E-2</v>
      </c>
      <c r="V761">
        <v>24.15</v>
      </c>
      <c r="W761">
        <v>24.1</v>
      </c>
      <c r="X761">
        <f t="shared" si="12"/>
        <v>2.0725388601035093E-3</v>
      </c>
      <c r="Y761">
        <v>2480020</v>
      </c>
      <c r="Z761">
        <v>379800000</v>
      </c>
      <c r="AA761">
        <v>59768482</v>
      </c>
      <c r="AB761">
        <v>151930000</v>
      </c>
      <c r="AC761">
        <v>1.6323438425590732E-2</v>
      </c>
      <c r="AD761">
        <v>78488.22</v>
      </c>
      <c r="AE761">
        <v>0.17469999999999999</v>
      </c>
      <c r="AF761">
        <v>26674000000</v>
      </c>
      <c r="AG761">
        <v>8542799999.999999</v>
      </c>
      <c r="AH761">
        <v>2292070000</v>
      </c>
      <c r="AI761">
        <v>1440280000</v>
      </c>
      <c r="AJ761">
        <v>6558870000</v>
      </c>
      <c r="AK761">
        <v>1.3873322001913278E-11</v>
      </c>
      <c r="AL761">
        <v>0.24589000524855664</v>
      </c>
    </row>
    <row r="762" spans="2:38">
      <c r="B762">
        <v>1.0131712259371834E-2</v>
      </c>
      <c r="C762">
        <v>24.75</v>
      </c>
      <c r="D762">
        <v>24.6</v>
      </c>
      <c r="E762">
        <v>6.0790273556230422E-3</v>
      </c>
      <c r="F762">
        <v>878506</v>
      </c>
      <c r="G762">
        <v>379800000</v>
      </c>
      <c r="H762">
        <v>21637602.779999997</v>
      </c>
      <c r="I762">
        <v>151930000</v>
      </c>
      <c r="J762">
        <v>5.7823076416770878E-3</v>
      </c>
      <c r="K762">
        <v>78848.009999999995</v>
      </c>
      <c r="L762">
        <v>0.1741</v>
      </c>
      <c r="M762">
        <v>26674000000</v>
      </c>
      <c r="N762">
        <v>8542799999.999999</v>
      </c>
      <c r="O762">
        <v>2292070000</v>
      </c>
      <c r="P762">
        <v>1440280000</v>
      </c>
      <c r="Q762">
        <v>6558870000</v>
      </c>
      <c r="R762">
        <v>2.240768026745747E-10</v>
      </c>
      <c r="S762">
        <v>0.24589000524855664</v>
      </c>
      <c r="U762">
        <v>2.0618556701030927E-2</v>
      </c>
      <c r="V762">
        <v>24.17</v>
      </c>
      <c r="W762">
        <v>24.15</v>
      </c>
      <c r="X762">
        <f t="shared" si="12"/>
        <v>8.2781456953655319E-4</v>
      </c>
      <c r="Y762">
        <v>2645244</v>
      </c>
      <c r="Z762">
        <v>379800000</v>
      </c>
      <c r="AA762">
        <v>63803285.280000001</v>
      </c>
      <c r="AB762">
        <v>151930000</v>
      </c>
      <c r="AC762">
        <v>1.7410939248338052E-2</v>
      </c>
      <c r="AD762">
        <v>78349.66</v>
      </c>
      <c r="AE762">
        <v>0.17469999999999999</v>
      </c>
      <c r="AF762">
        <v>26674000000</v>
      </c>
      <c r="AG762">
        <v>8542799999.999999</v>
      </c>
      <c r="AH762">
        <v>2292070000</v>
      </c>
      <c r="AI762">
        <v>1440280000</v>
      </c>
      <c r="AJ762">
        <v>6558870000</v>
      </c>
      <c r="AK762">
        <v>1.9518274129431277E-11</v>
      </c>
      <c r="AL762">
        <v>0.24589000524855664</v>
      </c>
    </row>
    <row r="763" spans="2:38">
      <c r="B763">
        <v>3.4308779011099813E-2</v>
      </c>
      <c r="C763">
        <v>24.8</v>
      </c>
      <c r="D763">
        <v>24.75</v>
      </c>
      <c r="E763">
        <v>2.0181634712411992E-3</v>
      </c>
      <c r="F763">
        <v>1622996</v>
      </c>
      <c r="G763">
        <v>379800000</v>
      </c>
      <c r="H763">
        <v>40169151</v>
      </c>
      <c r="I763">
        <v>151930000</v>
      </c>
      <c r="J763">
        <v>1.0682524846968999E-2</v>
      </c>
      <c r="K763">
        <v>78356.320000000007</v>
      </c>
      <c r="L763">
        <v>0.17469999999999999</v>
      </c>
      <c r="M763">
        <v>26674000000</v>
      </c>
      <c r="N763">
        <v>8542799999.999999</v>
      </c>
      <c r="O763">
        <v>2292070000</v>
      </c>
      <c r="P763">
        <v>1440280000</v>
      </c>
      <c r="Q763">
        <v>6558870000</v>
      </c>
      <c r="R763">
        <v>4.0894826785840082E-10</v>
      </c>
      <c r="S763">
        <v>0.24589000524855664</v>
      </c>
      <c r="U763">
        <v>7.5653082549634224E-2</v>
      </c>
      <c r="V763">
        <v>23.99</v>
      </c>
      <c r="W763">
        <v>23.95</v>
      </c>
      <c r="X763">
        <f t="shared" si="12"/>
        <v>1.6687526074259135E-3</v>
      </c>
      <c r="Y763">
        <v>6241419</v>
      </c>
      <c r="Z763">
        <v>379800000</v>
      </c>
      <c r="AA763">
        <v>150355783.71000001</v>
      </c>
      <c r="AB763">
        <v>151930000</v>
      </c>
      <c r="AC763">
        <v>4.1080885934311855E-2</v>
      </c>
      <c r="AD763">
        <v>77992.789999999994</v>
      </c>
      <c r="AE763">
        <v>0.17469999999999999</v>
      </c>
      <c r="AF763">
        <v>26674000000</v>
      </c>
      <c r="AG763">
        <v>8542799999.999999</v>
      </c>
      <c r="AH763">
        <v>2292070000</v>
      </c>
      <c r="AI763">
        <v>1440280000</v>
      </c>
      <c r="AJ763">
        <v>6558870000</v>
      </c>
      <c r="AK763">
        <v>2.8203693833356717E-10</v>
      </c>
      <c r="AL763">
        <v>0.24589000524855664</v>
      </c>
    </row>
    <row r="764" spans="2:38">
      <c r="B764">
        <v>1.6052685737806008E-2</v>
      </c>
      <c r="C764">
        <v>24.38</v>
      </c>
      <c r="D764">
        <v>24.34</v>
      </c>
      <c r="E764">
        <v>1.6420361247947105E-3</v>
      </c>
      <c r="F764">
        <v>1718730</v>
      </c>
      <c r="G764">
        <v>379800000</v>
      </c>
      <c r="H764">
        <v>41851075.5</v>
      </c>
      <c r="I764">
        <v>151930000</v>
      </c>
      <c r="J764">
        <v>1.1312643980780622E-2</v>
      </c>
      <c r="K764">
        <v>78283.3</v>
      </c>
      <c r="L764">
        <v>0.17469999999999999</v>
      </c>
      <c r="M764">
        <v>26674000000</v>
      </c>
      <c r="N764">
        <v>8542799999.999999</v>
      </c>
      <c r="O764">
        <v>2292070000</v>
      </c>
      <c r="P764">
        <v>1440280000</v>
      </c>
      <c r="Q764">
        <v>6558870000</v>
      </c>
      <c r="R764">
        <v>2.4786564883864189E-10</v>
      </c>
      <c r="S764">
        <v>0.24589000524855664</v>
      </c>
      <c r="U764">
        <v>2.1598272138228944E-2</v>
      </c>
      <c r="V764">
        <v>23.3</v>
      </c>
      <c r="W764">
        <v>23.12</v>
      </c>
      <c r="X764">
        <f t="shared" si="12"/>
        <v>7.75527789745798E-3</v>
      </c>
      <c r="Y764">
        <v>721725</v>
      </c>
      <c r="Z764">
        <v>379800000</v>
      </c>
      <c r="AA764">
        <v>16679064.75</v>
      </c>
      <c r="AB764">
        <v>151930000</v>
      </c>
      <c r="AC764">
        <v>4.7503784637662081E-3</v>
      </c>
      <c r="AD764">
        <v>78084.240000000005</v>
      </c>
      <c r="AE764">
        <v>0.17469999999999999</v>
      </c>
      <c r="AF764">
        <v>26674000000</v>
      </c>
      <c r="AG764">
        <v>8542799999.999999</v>
      </c>
      <c r="AH764">
        <v>2292070000</v>
      </c>
      <c r="AI764">
        <v>1440280000</v>
      </c>
      <c r="AJ764">
        <v>6558870000</v>
      </c>
      <c r="AK764">
        <v>1.5525783360522011E-10</v>
      </c>
      <c r="AL764">
        <v>0.24589000524855664</v>
      </c>
    </row>
    <row r="765" spans="2:38">
      <c r="B765">
        <v>1.8614270941054781E-2</v>
      </c>
      <c r="C765">
        <v>24.15</v>
      </c>
      <c r="D765">
        <v>24.1</v>
      </c>
      <c r="E765">
        <v>2.0725388601035093E-3</v>
      </c>
      <c r="F765">
        <v>2480020</v>
      </c>
      <c r="G765">
        <v>379800000</v>
      </c>
      <c r="H765">
        <v>59768482</v>
      </c>
      <c r="I765">
        <v>151930000</v>
      </c>
      <c r="J765">
        <v>1.6323438425590732E-2</v>
      </c>
      <c r="K765">
        <v>78488.22</v>
      </c>
      <c r="L765">
        <v>0.17469999999999999</v>
      </c>
      <c r="M765">
        <v>26674000000</v>
      </c>
      <c r="N765">
        <v>8542799999.999999</v>
      </c>
      <c r="O765">
        <v>2292070000</v>
      </c>
      <c r="P765">
        <v>1440280000</v>
      </c>
      <c r="Q765">
        <v>6558870000</v>
      </c>
      <c r="R765">
        <v>1.3873322001913278E-11</v>
      </c>
      <c r="S765">
        <v>0.24589000524855664</v>
      </c>
      <c r="U765">
        <v>4.3903499239295866E-2</v>
      </c>
      <c r="V765">
        <v>23.2</v>
      </c>
      <c r="W765">
        <v>22.95</v>
      </c>
      <c r="X765">
        <f t="shared" si="12"/>
        <v>1.0834236186348862E-2</v>
      </c>
      <c r="Y765">
        <v>654530</v>
      </c>
      <c r="Z765">
        <v>379800000</v>
      </c>
      <c r="AA765">
        <v>15165460.100000001</v>
      </c>
      <c r="AB765">
        <v>151930000</v>
      </c>
      <c r="AC765">
        <v>4.3081024155861248E-3</v>
      </c>
      <c r="AD765">
        <v>78571.06</v>
      </c>
      <c r="AE765">
        <v>0.17469999999999999</v>
      </c>
      <c r="AF765">
        <v>26674000000</v>
      </c>
      <c r="AG765">
        <v>8542799999.999999</v>
      </c>
      <c r="AH765">
        <v>2292070000</v>
      </c>
      <c r="AI765">
        <v>1440280000</v>
      </c>
      <c r="AJ765">
        <v>6558870000</v>
      </c>
      <c r="AK765">
        <v>1.1878347003764369E-9</v>
      </c>
      <c r="AL765">
        <v>0.24589000524855664</v>
      </c>
    </row>
    <row r="766" spans="2:38">
      <c r="B766">
        <v>2.0618556701030927E-2</v>
      </c>
      <c r="C766">
        <v>24.17</v>
      </c>
      <c r="D766">
        <v>24.15</v>
      </c>
      <c r="E766">
        <v>8.2781456953655319E-4</v>
      </c>
      <c r="F766">
        <v>2645244</v>
      </c>
      <c r="G766">
        <v>379800000</v>
      </c>
      <c r="H766">
        <v>63803285.280000001</v>
      </c>
      <c r="I766">
        <v>151930000</v>
      </c>
      <c r="J766">
        <v>1.7410939248338052E-2</v>
      </c>
      <c r="K766">
        <v>78349.66</v>
      </c>
      <c r="L766">
        <v>0.17469999999999999</v>
      </c>
      <c r="M766">
        <v>26674000000</v>
      </c>
      <c r="N766">
        <v>8542799999.999999</v>
      </c>
      <c r="O766">
        <v>2292070000</v>
      </c>
      <c r="P766">
        <v>1440280000</v>
      </c>
      <c r="Q766">
        <v>6558870000</v>
      </c>
      <c r="R766">
        <v>1.9518274129431277E-11</v>
      </c>
      <c r="S766">
        <v>0.24589000524855664</v>
      </c>
      <c r="U766">
        <v>5.3937432578209273E-2</v>
      </c>
      <c r="V766">
        <v>22.9</v>
      </c>
      <c r="W766">
        <v>22.81</v>
      </c>
      <c r="X766">
        <f t="shared" si="12"/>
        <v>3.9378691752351728E-3</v>
      </c>
      <c r="Y766">
        <v>923444</v>
      </c>
      <c r="Z766">
        <v>379800000</v>
      </c>
      <c r="AA766">
        <v>21017585.440000001</v>
      </c>
      <c r="AB766">
        <v>151930000</v>
      </c>
      <c r="AC766">
        <v>6.078088593431185E-3</v>
      </c>
      <c r="AD766">
        <v>78801.429999999993</v>
      </c>
      <c r="AE766">
        <v>0.17469999999999999</v>
      </c>
      <c r="AF766">
        <v>26674000000</v>
      </c>
      <c r="AG766">
        <v>8542799999.999999</v>
      </c>
      <c r="AH766">
        <v>2292070000</v>
      </c>
      <c r="AI766">
        <v>1440280000</v>
      </c>
      <c r="AJ766">
        <v>6558870000</v>
      </c>
      <c r="AK766">
        <v>4.7599900311233096E-10</v>
      </c>
      <c r="AL766">
        <v>0.24589000524855664</v>
      </c>
    </row>
    <row r="767" spans="2:38">
      <c r="B767">
        <v>7.5653082549634224E-2</v>
      </c>
      <c r="C767">
        <v>23.99</v>
      </c>
      <c r="D767">
        <v>23.95</v>
      </c>
      <c r="E767">
        <v>1.6687526074259135E-3</v>
      </c>
      <c r="F767">
        <v>6241419</v>
      </c>
      <c r="G767">
        <v>379800000</v>
      </c>
      <c r="H767">
        <v>150355783.71000001</v>
      </c>
      <c r="I767">
        <v>151930000</v>
      </c>
      <c r="J767">
        <v>4.1080885934311855E-2</v>
      </c>
      <c r="K767">
        <v>77992.789999999994</v>
      </c>
      <c r="L767">
        <v>0.17469999999999999</v>
      </c>
      <c r="M767">
        <v>26674000000</v>
      </c>
      <c r="N767">
        <v>8542799999.999999</v>
      </c>
      <c r="O767">
        <v>2292070000</v>
      </c>
      <c r="P767">
        <v>1440280000</v>
      </c>
      <c r="Q767">
        <v>6558870000</v>
      </c>
      <c r="R767">
        <v>2.8203693833356717E-10</v>
      </c>
      <c r="S767">
        <v>0.24589000524855664</v>
      </c>
      <c r="U767">
        <v>4.4501497646555373E-2</v>
      </c>
      <c r="V767">
        <v>23</v>
      </c>
      <c r="W767">
        <v>22.99</v>
      </c>
      <c r="X767">
        <f t="shared" si="12"/>
        <v>4.3487714720598234E-4</v>
      </c>
      <c r="Y767">
        <v>706684</v>
      </c>
      <c r="Z767">
        <v>379800000</v>
      </c>
      <c r="AA767">
        <v>16246665.159999998</v>
      </c>
      <c r="AB767">
        <v>151930000</v>
      </c>
      <c r="AC767">
        <v>4.6513789245047057E-3</v>
      </c>
      <c r="AD767">
        <v>78793.41</v>
      </c>
      <c r="AE767">
        <v>0.17469999999999999</v>
      </c>
      <c r="AF767">
        <v>26674000000</v>
      </c>
      <c r="AG767">
        <v>8542799999.999999</v>
      </c>
      <c r="AH767">
        <v>2292070000</v>
      </c>
      <c r="AI767">
        <v>1440280000</v>
      </c>
      <c r="AJ767">
        <v>6558870000</v>
      </c>
      <c r="AK767">
        <v>3.4609178652158088E-10</v>
      </c>
      <c r="AL767">
        <v>0.24589000524855664</v>
      </c>
    </row>
    <row r="768" spans="2:38">
      <c r="B768">
        <v>2.1598272138228944E-2</v>
      </c>
      <c r="C768">
        <v>23.3</v>
      </c>
      <c r="D768">
        <v>23.12</v>
      </c>
      <c r="E768">
        <v>7.75527789745798E-3</v>
      </c>
      <c r="F768">
        <v>721725</v>
      </c>
      <c r="G768">
        <v>379800000</v>
      </c>
      <c r="H768">
        <v>16679064.75</v>
      </c>
      <c r="I768">
        <v>151930000</v>
      </c>
      <c r="J768">
        <v>4.7503784637662081E-3</v>
      </c>
      <c r="K768">
        <v>78084.240000000005</v>
      </c>
      <c r="L768">
        <v>0.17469999999999999</v>
      </c>
      <c r="M768">
        <v>26674000000</v>
      </c>
      <c r="N768">
        <v>8542799999.999999</v>
      </c>
      <c r="O768">
        <v>2292070000</v>
      </c>
      <c r="P768">
        <v>1440280000</v>
      </c>
      <c r="Q768">
        <v>6558870000</v>
      </c>
      <c r="R768">
        <v>1.5525783360522011E-10</v>
      </c>
      <c r="S768">
        <v>0.24589000524855664</v>
      </c>
      <c r="U768">
        <v>9.6964204802899884E-2</v>
      </c>
      <c r="V768">
        <v>23.13</v>
      </c>
      <c r="W768">
        <v>23.1</v>
      </c>
      <c r="X768">
        <f t="shared" si="12"/>
        <v>1.2978585334197526E-3</v>
      </c>
      <c r="Y768">
        <v>2849781</v>
      </c>
      <c r="Z768">
        <v>379800000</v>
      </c>
      <c r="AA768">
        <v>65886936.720000006</v>
      </c>
      <c r="AB768">
        <v>151930000</v>
      </c>
      <c r="AC768">
        <v>1.8757197393536498E-2</v>
      </c>
      <c r="AD768">
        <v>78260.86</v>
      </c>
      <c r="AE768">
        <v>0.17469999999999999</v>
      </c>
      <c r="AF768">
        <v>26674000000</v>
      </c>
      <c r="AG768">
        <v>8542799999.999999</v>
      </c>
      <c r="AH768">
        <v>2292070000</v>
      </c>
      <c r="AI768">
        <v>1440280000</v>
      </c>
      <c r="AJ768">
        <v>6558870000</v>
      </c>
      <c r="AK768">
        <v>1.5004387897023738E-9</v>
      </c>
      <c r="AL768">
        <v>0.24589000524855664</v>
      </c>
    </row>
    <row r="769" spans="2:38">
      <c r="B769">
        <v>4.3903499239295866E-2</v>
      </c>
      <c r="C769">
        <v>23.2</v>
      </c>
      <c r="D769">
        <v>22.95</v>
      </c>
      <c r="E769">
        <v>1.0834236186348862E-2</v>
      </c>
      <c r="F769">
        <v>654530</v>
      </c>
      <c r="G769">
        <v>379800000</v>
      </c>
      <c r="H769">
        <v>15165460.100000001</v>
      </c>
      <c r="I769">
        <v>151930000</v>
      </c>
      <c r="J769">
        <v>4.3081024155861248E-3</v>
      </c>
      <c r="K769">
        <v>78571.06</v>
      </c>
      <c r="L769">
        <v>0.17469999999999999</v>
      </c>
      <c r="M769">
        <v>26674000000</v>
      </c>
      <c r="N769">
        <v>8542799999.999999</v>
      </c>
      <c r="O769">
        <v>2292070000</v>
      </c>
      <c r="P769">
        <v>1440280000</v>
      </c>
      <c r="Q769">
        <v>6558870000</v>
      </c>
      <c r="R769">
        <v>1.1878347003764369E-9</v>
      </c>
      <c r="S769">
        <v>0.24589000524855664</v>
      </c>
      <c r="U769">
        <v>2.140309155766941E-2</v>
      </c>
      <c r="V769">
        <v>21.12</v>
      </c>
      <c r="W769">
        <v>21.03</v>
      </c>
      <c r="X769">
        <f t="shared" si="12"/>
        <v>4.2704626334519498E-3</v>
      </c>
      <c r="Y769">
        <v>368993</v>
      </c>
      <c r="Z769">
        <v>379800000</v>
      </c>
      <c r="AA769">
        <v>7763612.7199999997</v>
      </c>
      <c r="AB769">
        <v>151930000</v>
      </c>
      <c r="AC769">
        <v>2.4287040084249325E-3</v>
      </c>
      <c r="AD769">
        <v>77745.52</v>
      </c>
      <c r="AE769">
        <v>0.189</v>
      </c>
      <c r="AF769">
        <v>26674000000</v>
      </c>
      <c r="AG769">
        <v>8542799999.999999</v>
      </c>
      <c r="AH769">
        <v>2292070000</v>
      </c>
      <c r="AI769">
        <v>1440280000</v>
      </c>
      <c r="AJ769">
        <v>6558870000</v>
      </c>
      <c r="AK769">
        <v>4.2996761571440368E-10</v>
      </c>
      <c r="AL769">
        <v>0.24589000524855664</v>
      </c>
    </row>
    <row r="770" spans="2:38">
      <c r="B770">
        <v>5.3937432578209273E-2</v>
      </c>
      <c r="C770">
        <v>22.9</v>
      </c>
      <c r="D770">
        <v>22.81</v>
      </c>
      <c r="E770">
        <v>3.9378691752351728E-3</v>
      </c>
      <c r="F770">
        <v>923444</v>
      </c>
      <c r="G770">
        <v>379800000</v>
      </c>
      <c r="H770">
        <v>21017585.440000001</v>
      </c>
      <c r="I770">
        <v>151930000</v>
      </c>
      <c r="J770">
        <v>6.078088593431185E-3</v>
      </c>
      <c r="K770">
        <v>78801.429999999993</v>
      </c>
      <c r="L770">
        <v>0.17469999999999999</v>
      </c>
      <c r="M770">
        <v>26674000000</v>
      </c>
      <c r="N770">
        <v>8542799999.999999</v>
      </c>
      <c r="O770">
        <v>2292070000</v>
      </c>
      <c r="P770">
        <v>1440280000</v>
      </c>
      <c r="Q770">
        <v>6558870000</v>
      </c>
      <c r="R770">
        <v>4.7599900311233096E-10</v>
      </c>
      <c r="S770">
        <v>0.24589000524855664</v>
      </c>
      <c r="U770">
        <v>1.9463565155471169E-2</v>
      </c>
      <c r="V770">
        <v>20.9</v>
      </c>
      <c r="W770">
        <v>20.88</v>
      </c>
      <c r="X770">
        <f t="shared" si="12"/>
        <v>9.5739588319768186E-4</v>
      </c>
      <c r="Y770">
        <v>587924</v>
      </c>
      <c r="Z770">
        <v>379800000</v>
      </c>
      <c r="AA770">
        <v>12328766.279999999</v>
      </c>
      <c r="AB770">
        <v>151930000</v>
      </c>
      <c r="AC770">
        <v>3.869703152767722E-3</v>
      </c>
      <c r="AD770">
        <v>77830.34</v>
      </c>
      <c r="AE770">
        <v>0.189</v>
      </c>
      <c r="AF770">
        <v>26674000000</v>
      </c>
      <c r="AG770">
        <v>8542799999.999999</v>
      </c>
      <c r="AH770">
        <v>2292070000</v>
      </c>
      <c r="AI770">
        <v>1440280000</v>
      </c>
      <c r="AJ770">
        <v>6558870000</v>
      </c>
      <c r="AK770">
        <v>4.2771921536444003E-10</v>
      </c>
      <c r="AL770">
        <v>0.24589000524855664</v>
      </c>
    </row>
    <row r="771" spans="2:38">
      <c r="B771">
        <v>4.4501497646555373E-2</v>
      </c>
      <c r="C771">
        <v>23</v>
      </c>
      <c r="D771">
        <v>22.99</v>
      </c>
      <c r="E771">
        <v>4.3487714720598234E-4</v>
      </c>
      <c r="F771">
        <v>706684</v>
      </c>
      <c r="G771">
        <v>379800000</v>
      </c>
      <c r="H771">
        <v>16246665.159999998</v>
      </c>
      <c r="I771">
        <v>151930000</v>
      </c>
      <c r="J771">
        <v>4.6513789245047057E-3</v>
      </c>
      <c r="K771">
        <v>78793.41</v>
      </c>
      <c r="L771">
        <v>0.17469999999999999</v>
      </c>
      <c r="M771">
        <v>26674000000</v>
      </c>
      <c r="N771">
        <v>8542799999.999999</v>
      </c>
      <c r="O771">
        <v>2292070000</v>
      </c>
      <c r="P771">
        <v>1440280000</v>
      </c>
      <c r="Q771">
        <v>6558870000</v>
      </c>
      <c r="R771">
        <v>3.4609178652158088E-10</v>
      </c>
      <c r="S771">
        <v>0.24589000524855664</v>
      </c>
      <c r="U771">
        <v>4.4359647030765545E-2</v>
      </c>
      <c r="V771">
        <v>20.99</v>
      </c>
      <c r="W771">
        <v>20.76</v>
      </c>
      <c r="X771">
        <f t="shared" si="12"/>
        <v>1.1017964071856137E-2</v>
      </c>
      <c r="Y771">
        <v>891947</v>
      </c>
      <c r="Z771">
        <v>379800000</v>
      </c>
      <c r="AA771">
        <v>18606014.419999998</v>
      </c>
      <c r="AB771">
        <v>151930000</v>
      </c>
      <c r="AC771">
        <v>5.8707760152701899E-3</v>
      </c>
      <c r="AD771">
        <v>78045.31</v>
      </c>
      <c r="AE771">
        <v>0.189</v>
      </c>
      <c r="AF771">
        <v>26674000000</v>
      </c>
      <c r="AG771">
        <v>8542799999.999999</v>
      </c>
      <c r="AH771">
        <v>2292070000</v>
      </c>
      <c r="AI771">
        <v>1440280000</v>
      </c>
      <c r="AJ771">
        <v>6558870000</v>
      </c>
      <c r="AK771">
        <v>9.8639830982516333E-10</v>
      </c>
      <c r="AL771">
        <v>0.24589000524855664</v>
      </c>
    </row>
    <row r="772" spans="2:38">
      <c r="B772">
        <v>9.6964204802899884E-2</v>
      </c>
      <c r="C772">
        <v>23.13</v>
      </c>
      <c r="D772">
        <v>23.1</v>
      </c>
      <c r="E772">
        <v>1.2978585334197526E-3</v>
      </c>
      <c r="F772">
        <v>2849781</v>
      </c>
      <c r="G772">
        <v>379800000</v>
      </c>
      <c r="H772">
        <v>65886936.720000006</v>
      </c>
      <c r="I772">
        <v>151930000</v>
      </c>
      <c r="J772">
        <v>1.8757197393536498E-2</v>
      </c>
      <c r="K772">
        <v>78260.86</v>
      </c>
      <c r="L772">
        <v>0.17469999999999999</v>
      </c>
      <c r="M772">
        <v>26674000000</v>
      </c>
      <c r="N772">
        <v>8542799999.999999</v>
      </c>
      <c r="O772">
        <v>2292070000</v>
      </c>
      <c r="P772">
        <v>1440280000</v>
      </c>
      <c r="Q772">
        <v>6558870000</v>
      </c>
      <c r="R772">
        <v>1.5004387897023738E-9</v>
      </c>
      <c r="S772">
        <v>0.24589000524855664</v>
      </c>
      <c r="U772">
        <v>8.2386363636363577E-2</v>
      </c>
      <c r="V772">
        <v>21.25</v>
      </c>
      <c r="W772">
        <v>21.2</v>
      </c>
      <c r="X772">
        <f t="shared" si="12"/>
        <v>2.3557126030624596E-3</v>
      </c>
      <c r="Y772">
        <v>525687</v>
      </c>
      <c r="Z772">
        <v>379800000</v>
      </c>
      <c r="AA772">
        <v>11170848.75</v>
      </c>
      <c r="AB772">
        <v>151930000</v>
      </c>
      <c r="AC772">
        <v>3.4600605542025932E-3</v>
      </c>
      <c r="AD772">
        <v>78105.98</v>
      </c>
      <c r="AE772">
        <v>0.189</v>
      </c>
      <c r="AF772">
        <v>26674000000</v>
      </c>
      <c r="AG772">
        <v>8542799999.999999</v>
      </c>
      <c r="AH772">
        <v>2292070000</v>
      </c>
      <c r="AI772">
        <v>1440280000</v>
      </c>
      <c r="AJ772">
        <v>6558870000</v>
      </c>
      <c r="AK772">
        <v>5.5101480362474548E-10</v>
      </c>
      <c r="AL772">
        <v>0.24589000524855664</v>
      </c>
    </row>
    <row r="773" spans="2:38">
      <c r="B773">
        <v>2.140309155766941E-2</v>
      </c>
      <c r="C773">
        <v>21.12</v>
      </c>
      <c r="D773">
        <v>21.03</v>
      </c>
      <c r="E773">
        <v>4.2704626334519498E-3</v>
      </c>
      <c r="F773">
        <v>368993</v>
      </c>
      <c r="G773">
        <v>379800000</v>
      </c>
      <c r="H773">
        <v>7763612.7199999997</v>
      </c>
      <c r="I773">
        <v>151930000</v>
      </c>
      <c r="J773">
        <v>2.4287040084249325E-3</v>
      </c>
      <c r="K773">
        <v>77745.52</v>
      </c>
      <c r="L773">
        <v>0.189</v>
      </c>
      <c r="M773">
        <v>26674000000</v>
      </c>
      <c r="N773">
        <v>8542799999.999999</v>
      </c>
      <c r="O773">
        <v>2292070000</v>
      </c>
      <c r="P773">
        <v>1440280000</v>
      </c>
      <c r="Q773">
        <v>6558870000</v>
      </c>
      <c r="R773">
        <v>4.2996761571440368E-10</v>
      </c>
      <c r="S773">
        <v>0.24589000524855664</v>
      </c>
      <c r="U773">
        <v>2.4459078080903085E-2</v>
      </c>
      <c r="V773">
        <v>21.2</v>
      </c>
      <c r="W773">
        <v>21.16</v>
      </c>
      <c r="X773">
        <f t="shared" si="12"/>
        <v>1.8885741265344262E-3</v>
      </c>
      <c r="Y773">
        <v>713961</v>
      </c>
      <c r="Z773">
        <v>379800000</v>
      </c>
      <c r="AA773">
        <v>15078856.32</v>
      </c>
      <c r="AB773">
        <v>151930000</v>
      </c>
      <c r="AC773">
        <v>4.6992759823602974E-3</v>
      </c>
      <c r="AD773">
        <v>77877.42</v>
      </c>
      <c r="AE773">
        <v>0.189</v>
      </c>
      <c r="AF773">
        <v>26674000000</v>
      </c>
      <c r="AG773">
        <v>8542799999.999999</v>
      </c>
      <c r="AH773">
        <v>2292070000</v>
      </c>
      <c r="AI773">
        <v>1440280000</v>
      </c>
      <c r="AJ773">
        <v>6558870000</v>
      </c>
      <c r="AK773">
        <v>1.5037405465913285E-9</v>
      </c>
      <c r="AL773">
        <v>0.24589000524855664</v>
      </c>
    </row>
    <row r="774" spans="2:38">
      <c r="B774">
        <v>1.9463565155471169E-2</v>
      </c>
      <c r="C774">
        <v>20.9</v>
      </c>
      <c r="D774">
        <v>20.88</v>
      </c>
      <c r="E774">
        <v>9.5739588319768186E-4</v>
      </c>
      <c r="F774">
        <v>587924</v>
      </c>
      <c r="G774">
        <v>379800000</v>
      </c>
      <c r="H774">
        <v>12328766.279999999</v>
      </c>
      <c r="I774">
        <v>151930000</v>
      </c>
      <c r="J774">
        <v>3.869703152767722E-3</v>
      </c>
      <c r="K774">
        <v>77830.34</v>
      </c>
      <c r="L774">
        <v>0.189</v>
      </c>
      <c r="M774">
        <v>26674000000</v>
      </c>
      <c r="N774">
        <v>8542799999.999999</v>
      </c>
      <c r="O774">
        <v>2292070000</v>
      </c>
      <c r="P774">
        <v>1440280000</v>
      </c>
      <c r="Q774">
        <v>6558870000</v>
      </c>
      <c r="R774">
        <v>4.2771921536444003E-10</v>
      </c>
      <c r="S774">
        <v>0.24589000524855664</v>
      </c>
      <c r="U774">
        <v>4.5454545454545456E-2</v>
      </c>
      <c r="V774">
        <v>21.75</v>
      </c>
      <c r="W774">
        <v>21.56</v>
      </c>
      <c r="X774">
        <f t="shared" si="12"/>
        <v>8.7739552066497927E-3</v>
      </c>
      <c r="Y774">
        <v>623735</v>
      </c>
      <c r="Z774">
        <v>379800000</v>
      </c>
      <c r="AA774">
        <v>13478913.35</v>
      </c>
      <c r="AB774">
        <v>151930000</v>
      </c>
      <c r="AC774">
        <v>4.1054103863621405E-3</v>
      </c>
      <c r="AD774">
        <v>77980.289999999994</v>
      </c>
      <c r="AE774">
        <v>0.189</v>
      </c>
      <c r="AF774">
        <v>26674000000</v>
      </c>
      <c r="AG774">
        <v>8542799999.999999</v>
      </c>
      <c r="AH774">
        <v>2292070000</v>
      </c>
      <c r="AI774">
        <v>1440280000</v>
      </c>
      <c r="AJ774">
        <v>6558870000</v>
      </c>
      <c r="AK774">
        <v>2.6484589687907616E-9</v>
      </c>
      <c r="AL774">
        <v>0.24589000524855664</v>
      </c>
    </row>
    <row r="775" spans="2:38">
      <c r="B775">
        <v>4.4359647030765545E-2</v>
      </c>
      <c r="C775">
        <v>20.99</v>
      </c>
      <c r="D775">
        <v>20.76</v>
      </c>
      <c r="E775">
        <v>1.1017964071856137E-2</v>
      </c>
      <c r="F775">
        <v>891947</v>
      </c>
      <c r="G775">
        <v>379800000</v>
      </c>
      <c r="H775">
        <v>18606014.419999998</v>
      </c>
      <c r="I775">
        <v>151930000</v>
      </c>
      <c r="J775">
        <v>5.8707760152701899E-3</v>
      </c>
      <c r="K775">
        <v>78045.31</v>
      </c>
      <c r="L775">
        <v>0.189</v>
      </c>
      <c r="M775">
        <v>26674000000</v>
      </c>
      <c r="N775">
        <v>8542799999.999999</v>
      </c>
      <c r="O775">
        <v>2292070000</v>
      </c>
      <c r="P775">
        <v>1440280000</v>
      </c>
      <c r="Q775">
        <v>6558870000</v>
      </c>
      <c r="R775">
        <v>9.8639830982516333E-10</v>
      </c>
      <c r="S775">
        <v>0.24589000524855664</v>
      </c>
      <c r="U775">
        <v>6.608226567768033E-2</v>
      </c>
      <c r="V775">
        <v>22.35</v>
      </c>
      <c r="W775">
        <v>22.31</v>
      </c>
      <c r="X775">
        <f t="shared" si="12"/>
        <v>1.7913121361398433E-3</v>
      </c>
      <c r="Y775">
        <v>907375</v>
      </c>
      <c r="Z775">
        <v>379800000</v>
      </c>
      <c r="AA775">
        <v>20334273.75</v>
      </c>
      <c r="AB775">
        <v>151930000</v>
      </c>
      <c r="AC775">
        <v>5.9723227802277361E-3</v>
      </c>
      <c r="AD775">
        <v>78569.59</v>
      </c>
      <c r="AE775">
        <v>0.189</v>
      </c>
      <c r="AF775">
        <v>26674000000</v>
      </c>
      <c r="AG775">
        <v>8542799999.999999</v>
      </c>
      <c r="AH775">
        <v>2292070000</v>
      </c>
      <c r="AI775">
        <v>1440280000</v>
      </c>
      <c r="AJ775">
        <v>6558870000</v>
      </c>
      <c r="AK775">
        <v>1.2615239781083144E-9</v>
      </c>
      <c r="AL775">
        <v>0.24589000524855664</v>
      </c>
    </row>
    <row r="776" spans="2:38">
      <c r="B776">
        <v>8.2386363636363577E-2</v>
      </c>
      <c r="C776">
        <v>21.25</v>
      </c>
      <c r="D776">
        <v>21.2</v>
      </c>
      <c r="E776">
        <v>2.3557126030624596E-3</v>
      </c>
      <c r="F776">
        <v>525687</v>
      </c>
      <c r="G776">
        <v>379800000</v>
      </c>
      <c r="H776">
        <v>11170848.75</v>
      </c>
      <c r="I776">
        <v>151930000</v>
      </c>
      <c r="J776">
        <v>3.4600605542025932E-3</v>
      </c>
      <c r="K776">
        <v>78105.98</v>
      </c>
      <c r="L776">
        <v>0.189</v>
      </c>
      <c r="M776">
        <v>26674000000</v>
      </c>
      <c r="N776">
        <v>8542799999.999999</v>
      </c>
      <c r="O776">
        <v>2292070000</v>
      </c>
      <c r="P776">
        <v>1440280000</v>
      </c>
      <c r="Q776">
        <v>6558870000</v>
      </c>
      <c r="R776">
        <v>5.5101480362474548E-10</v>
      </c>
      <c r="S776">
        <v>0.24589000524855664</v>
      </c>
      <c r="U776">
        <v>1.2556830482788446E-2</v>
      </c>
      <c r="V776">
        <v>23.07</v>
      </c>
      <c r="W776">
        <v>23</v>
      </c>
      <c r="X776">
        <f t="shared" si="12"/>
        <v>3.0388539179509563E-3</v>
      </c>
      <c r="Y776">
        <v>242342</v>
      </c>
      <c r="Z776">
        <v>379800000</v>
      </c>
      <c r="AA776">
        <v>5573866</v>
      </c>
      <c r="AB776">
        <v>151930000</v>
      </c>
      <c r="AC776">
        <v>1.5950898440071086E-3</v>
      </c>
      <c r="AD776">
        <v>77874.22</v>
      </c>
      <c r="AE776">
        <v>0.189</v>
      </c>
      <c r="AF776">
        <v>26674000000</v>
      </c>
      <c r="AG776">
        <v>8542799999.999999</v>
      </c>
      <c r="AH776">
        <v>2292070000</v>
      </c>
      <c r="AI776">
        <v>1440280000</v>
      </c>
      <c r="AJ776">
        <v>6558870000</v>
      </c>
      <c r="AK776">
        <v>3.8917286439307195E-10</v>
      </c>
      <c r="AL776">
        <v>0.24589000524855664</v>
      </c>
    </row>
    <row r="777" spans="2:38">
      <c r="B777">
        <v>2.4459078080903085E-2</v>
      </c>
      <c r="C777">
        <v>21.2</v>
      </c>
      <c r="D777">
        <v>21.16</v>
      </c>
      <c r="E777">
        <v>1.8885741265344262E-3</v>
      </c>
      <c r="F777">
        <v>713961</v>
      </c>
      <c r="G777">
        <v>379800000</v>
      </c>
      <c r="H777">
        <v>15078856.32</v>
      </c>
      <c r="I777">
        <v>151930000</v>
      </c>
      <c r="J777">
        <v>4.6992759823602974E-3</v>
      </c>
      <c r="K777">
        <v>77877.42</v>
      </c>
      <c r="L777">
        <v>0.189</v>
      </c>
      <c r="M777">
        <v>26674000000</v>
      </c>
      <c r="N777">
        <v>8542799999.999999</v>
      </c>
      <c r="O777">
        <v>2292070000</v>
      </c>
      <c r="P777">
        <v>1440280000</v>
      </c>
      <c r="Q777">
        <v>6558870000</v>
      </c>
      <c r="R777">
        <v>1.5037405465913285E-9</v>
      </c>
      <c r="S777">
        <v>0.24589000524855664</v>
      </c>
      <c r="U777">
        <v>2.4659312134977303E-2</v>
      </c>
      <c r="V777">
        <v>23</v>
      </c>
      <c r="W777">
        <v>22.99</v>
      </c>
      <c r="X777">
        <f t="shared" si="12"/>
        <v>4.3487714720598234E-4</v>
      </c>
      <c r="Y777">
        <v>359137</v>
      </c>
      <c r="Z777">
        <v>379800000</v>
      </c>
      <c r="AA777">
        <v>8278107.8500000006</v>
      </c>
      <c r="AB777">
        <v>151930000</v>
      </c>
      <c r="AC777">
        <v>2.3638320279075892E-3</v>
      </c>
      <c r="AD777">
        <v>77114.490000000005</v>
      </c>
      <c r="AE777">
        <v>0.189</v>
      </c>
      <c r="AF777">
        <v>26674000000</v>
      </c>
      <c r="AG777">
        <v>8542799999.999999</v>
      </c>
      <c r="AH777">
        <v>2292070000</v>
      </c>
      <c r="AI777">
        <v>1440280000</v>
      </c>
      <c r="AJ777">
        <v>6558870000</v>
      </c>
      <c r="AK777">
        <v>9.8761208823566622E-10</v>
      </c>
      <c r="AL777">
        <v>0.24589000524855664</v>
      </c>
    </row>
    <row r="778" spans="2:38">
      <c r="B778">
        <v>4.5454545454545456E-2</v>
      </c>
      <c r="C778">
        <v>21.75</v>
      </c>
      <c r="D778">
        <v>21.56</v>
      </c>
      <c r="E778">
        <v>8.7739552066497927E-3</v>
      </c>
      <c r="F778">
        <v>623735</v>
      </c>
      <c r="G778">
        <v>379800000</v>
      </c>
      <c r="H778">
        <v>13478913.35</v>
      </c>
      <c r="I778">
        <v>151930000</v>
      </c>
      <c r="J778">
        <v>4.1054103863621405E-3</v>
      </c>
      <c r="K778">
        <v>77980.289999999994</v>
      </c>
      <c r="L778">
        <v>0.189</v>
      </c>
      <c r="M778">
        <v>26674000000</v>
      </c>
      <c r="N778">
        <v>8542799999.999999</v>
      </c>
      <c r="O778">
        <v>2292070000</v>
      </c>
      <c r="P778">
        <v>1440280000</v>
      </c>
      <c r="Q778">
        <v>6558870000</v>
      </c>
      <c r="R778">
        <v>2.6484589687907616E-9</v>
      </c>
      <c r="S778">
        <v>0.24589000524855664</v>
      </c>
      <c r="U778">
        <v>3.1096911608093733E-2</v>
      </c>
      <c r="V778">
        <v>23.25</v>
      </c>
      <c r="W778">
        <v>23.24</v>
      </c>
      <c r="X778">
        <f t="shared" si="12"/>
        <v>4.302000430200716E-4</v>
      </c>
      <c r="Y778">
        <v>510133</v>
      </c>
      <c r="Z778">
        <v>379800000</v>
      </c>
      <c r="AA778">
        <v>11855490.92</v>
      </c>
      <c r="AB778">
        <v>151930000</v>
      </c>
      <c r="AC778">
        <v>3.3576844599486604E-3</v>
      </c>
      <c r="AD778">
        <v>77191.34</v>
      </c>
      <c r="AE778">
        <v>0.19489999999999999</v>
      </c>
      <c r="AF778">
        <v>26674000000</v>
      </c>
      <c r="AG778">
        <v>8542799999.999999</v>
      </c>
      <c r="AH778">
        <v>2292070000</v>
      </c>
      <c r="AI778">
        <v>1440280000</v>
      </c>
      <c r="AJ778">
        <v>6558870000</v>
      </c>
      <c r="AK778">
        <v>1.0395766793521399E-9</v>
      </c>
      <c r="AL778">
        <v>0.24589000524855664</v>
      </c>
    </row>
    <row r="779" spans="2:38">
      <c r="B779">
        <v>6.608226567768033E-2</v>
      </c>
      <c r="C779">
        <v>22.35</v>
      </c>
      <c r="D779">
        <v>22.31</v>
      </c>
      <c r="E779">
        <v>1.7913121361398433E-3</v>
      </c>
      <c r="F779">
        <v>907375</v>
      </c>
      <c r="G779">
        <v>379800000</v>
      </c>
      <c r="H779">
        <v>20334273.75</v>
      </c>
      <c r="I779">
        <v>151930000</v>
      </c>
      <c r="J779">
        <v>5.9723227802277361E-3</v>
      </c>
      <c r="K779">
        <v>78569.59</v>
      </c>
      <c r="L779">
        <v>0.189</v>
      </c>
      <c r="M779">
        <v>26674000000</v>
      </c>
      <c r="N779">
        <v>8542799999.999999</v>
      </c>
      <c r="O779">
        <v>2292070000</v>
      </c>
      <c r="P779">
        <v>1440280000</v>
      </c>
      <c r="Q779">
        <v>6558870000</v>
      </c>
      <c r="R779">
        <v>1.2615239781083144E-9</v>
      </c>
      <c r="S779">
        <v>0.24589000524855664</v>
      </c>
      <c r="U779">
        <v>5.0638208830299264E-2</v>
      </c>
      <c r="V779">
        <v>23.5</v>
      </c>
      <c r="W779">
        <v>23.48</v>
      </c>
      <c r="X779">
        <f t="shared" si="12"/>
        <v>8.5142613878244242E-4</v>
      </c>
      <c r="Y779">
        <v>694895</v>
      </c>
      <c r="Z779">
        <v>379800000</v>
      </c>
      <c r="AA779">
        <v>16350879.350000001</v>
      </c>
      <c r="AB779">
        <v>151930000</v>
      </c>
      <c r="AC779">
        <v>4.5737839794642273E-3</v>
      </c>
      <c r="AD779">
        <v>77084.490000000005</v>
      </c>
      <c r="AE779">
        <v>0.19489999999999999</v>
      </c>
      <c r="AF779">
        <v>26674000000</v>
      </c>
      <c r="AG779">
        <v>8542799999.999999</v>
      </c>
      <c r="AH779">
        <v>2292070000</v>
      </c>
      <c r="AI779">
        <v>1440280000</v>
      </c>
      <c r="AJ779">
        <v>6558870000</v>
      </c>
      <c r="AK779">
        <v>1.0474145358485614E-9</v>
      </c>
      <c r="AL779">
        <v>0.24589000524855664</v>
      </c>
    </row>
    <row r="780" spans="2:38">
      <c r="B780">
        <v>1.2556830482788446E-2</v>
      </c>
      <c r="C780">
        <v>23.07</v>
      </c>
      <c r="D780">
        <v>23</v>
      </c>
      <c r="E780">
        <v>3.0388539179509563E-3</v>
      </c>
      <c r="F780">
        <v>242342</v>
      </c>
      <c r="G780">
        <v>379800000</v>
      </c>
      <c r="H780">
        <v>5573866</v>
      </c>
      <c r="I780">
        <v>151930000</v>
      </c>
      <c r="J780">
        <v>1.5950898440071086E-3</v>
      </c>
      <c r="K780">
        <v>77874.22</v>
      </c>
      <c r="L780">
        <v>0.189</v>
      </c>
      <c r="M780">
        <v>26674000000</v>
      </c>
      <c r="N780">
        <v>8542799999.999999</v>
      </c>
      <c r="O780">
        <v>2292070000</v>
      </c>
      <c r="P780">
        <v>1440280000</v>
      </c>
      <c r="Q780">
        <v>6558870000</v>
      </c>
      <c r="R780">
        <v>3.8917286439307195E-10</v>
      </c>
      <c r="S780">
        <v>0.24589000524855664</v>
      </c>
      <c r="U780">
        <v>2.4681029073415597E-2</v>
      </c>
      <c r="V780">
        <v>23.95</v>
      </c>
      <c r="W780">
        <v>23.92</v>
      </c>
      <c r="X780">
        <f t="shared" si="12"/>
        <v>1.2533946104030741E-3</v>
      </c>
      <c r="Y780">
        <v>1038384</v>
      </c>
      <c r="Z780">
        <v>379800000</v>
      </c>
      <c r="AA780">
        <v>24858912.960000001</v>
      </c>
      <c r="AB780">
        <v>151930000</v>
      </c>
      <c r="AC780">
        <v>6.8346212071348647E-3</v>
      </c>
      <c r="AD780">
        <v>78225.98</v>
      </c>
      <c r="AE780">
        <v>0.19489999999999999</v>
      </c>
      <c r="AF780">
        <v>26674000000</v>
      </c>
      <c r="AG780">
        <v>8542799999.999999</v>
      </c>
      <c r="AH780">
        <v>2292070000</v>
      </c>
      <c r="AI780">
        <v>1440280000</v>
      </c>
      <c r="AJ780">
        <v>6558870000</v>
      </c>
      <c r="AK780">
        <v>7.7063257566534743E-10</v>
      </c>
      <c r="AL780">
        <v>0.24589000524855664</v>
      </c>
    </row>
    <row r="781" spans="2:38">
      <c r="B781">
        <v>2.4659312134977303E-2</v>
      </c>
      <c r="C781">
        <v>23</v>
      </c>
      <c r="D781">
        <v>22.99</v>
      </c>
      <c r="E781">
        <v>4.3487714720598234E-4</v>
      </c>
      <c r="F781">
        <v>359137</v>
      </c>
      <c r="G781">
        <v>379800000</v>
      </c>
      <c r="H781">
        <v>8278107.8500000006</v>
      </c>
      <c r="I781">
        <v>151930000</v>
      </c>
      <c r="J781">
        <v>2.3638320279075892E-3</v>
      </c>
      <c r="K781">
        <v>77114.490000000005</v>
      </c>
      <c r="L781">
        <v>0.189</v>
      </c>
      <c r="M781">
        <v>26674000000</v>
      </c>
      <c r="N781">
        <v>8542799999.999999</v>
      </c>
      <c r="O781">
        <v>2292070000</v>
      </c>
      <c r="P781">
        <v>1440280000</v>
      </c>
      <c r="Q781">
        <v>6558870000</v>
      </c>
      <c r="R781">
        <v>9.8761208823566622E-10</v>
      </c>
      <c r="S781">
        <v>0.24589000524855664</v>
      </c>
      <c r="U781">
        <v>0.13424036281179141</v>
      </c>
      <c r="V781">
        <v>23.45</v>
      </c>
      <c r="W781">
        <v>23.41</v>
      </c>
      <c r="X781">
        <f t="shared" si="12"/>
        <v>1.7072129748185723E-3</v>
      </c>
      <c r="Y781">
        <v>884581</v>
      </c>
      <c r="Z781">
        <v>379800000</v>
      </c>
      <c r="AA781">
        <v>20778807.689999998</v>
      </c>
      <c r="AB781">
        <v>151930000</v>
      </c>
      <c r="AC781">
        <v>5.8222931613242943E-3</v>
      </c>
      <c r="AD781">
        <v>77740.31</v>
      </c>
      <c r="AE781">
        <v>0.19489999999999999</v>
      </c>
      <c r="AF781">
        <v>26674000000</v>
      </c>
      <c r="AG781">
        <v>8542799999.999999</v>
      </c>
      <c r="AH781">
        <v>2292070000</v>
      </c>
      <c r="AI781">
        <v>1440280000</v>
      </c>
      <c r="AJ781">
        <v>6558870000</v>
      </c>
      <c r="AK781">
        <v>1.3263058944124718E-9</v>
      </c>
      <c r="AL781">
        <v>0.24589000524855664</v>
      </c>
    </row>
    <row r="782" spans="2:38">
      <c r="B782">
        <v>3.1096911608093733E-2</v>
      </c>
      <c r="C782">
        <v>23.25</v>
      </c>
      <c r="D782">
        <v>23.24</v>
      </c>
      <c r="E782">
        <v>4.302000430200716E-4</v>
      </c>
      <c r="F782">
        <v>510133</v>
      </c>
      <c r="G782">
        <v>379800000</v>
      </c>
      <c r="H782">
        <v>11855490.92</v>
      </c>
      <c r="I782">
        <v>151930000</v>
      </c>
      <c r="J782">
        <v>3.3576844599486604E-3</v>
      </c>
      <c r="K782">
        <v>77191.34</v>
      </c>
      <c r="L782">
        <v>0.19489999999999999</v>
      </c>
      <c r="M782">
        <v>26674000000</v>
      </c>
      <c r="N782">
        <v>8542799999.999999</v>
      </c>
      <c r="O782">
        <v>2292070000</v>
      </c>
      <c r="P782">
        <v>1440280000</v>
      </c>
      <c r="Q782">
        <v>6558870000</v>
      </c>
      <c r="R782">
        <v>1.0395766793521399E-9</v>
      </c>
      <c r="S782">
        <v>0.24589000524855664</v>
      </c>
      <c r="U782">
        <v>5.5711509393219567E-2</v>
      </c>
      <c r="V782">
        <v>22.79</v>
      </c>
      <c r="W782">
        <v>22.52</v>
      </c>
      <c r="X782">
        <f t="shared" si="12"/>
        <v>1.1917898918561005E-2</v>
      </c>
      <c r="Y782">
        <v>490240</v>
      </c>
      <c r="Z782">
        <v>379800000</v>
      </c>
      <c r="AA782">
        <v>11206886.4</v>
      </c>
      <c r="AB782">
        <v>151930000</v>
      </c>
      <c r="AC782">
        <v>3.2267491607977359E-3</v>
      </c>
      <c r="AD782">
        <v>77886.990000000005</v>
      </c>
      <c r="AE782">
        <v>0.19489999999999999</v>
      </c>
      <c r="AF782">
        <v>26674000000</v>
      </c>
      <c r="AG782">
        <v>8542799999.999999</v>
      </c>
      <c r="AH782">
        <v>2292070000</v>
      </c>
      <c r="AI782">
        <v>1440280000</v>
      </c>
      <c r="AJ782">
        <v>6558870000</v>
      </c>
      <c r="AK782">
        <v>5.4314430471421168E-10</v>
      </c>
      <c r="AL782">
        <v>0.24589000524855664</v>
      </c>
    </row>
    <row r="783" spans="2:38">
      <c r="B783">
        <v>5.0638208830299264E-2</v>
      </c>
      <c r="C783">
        <v>23.5</v>
      </c>
      <c r="D783">
        <v>23.48</v>
      </c>
      <c r="E783">
        <v>8.5142613878244242E-4</v>
      </c>
      <c r="F783">
        <v>694895</v>
      </c>
      <c r="G783">
        <v>379800000</v>
      </c>
      <c r="H783">
        <v>16350879.350000001</v>
      </c>
      <c r="I783">
        <v>151930000</v>
      </c>
      <c r="J783">
        <v>4.5737839794642273E-3</v>
      </c>
      <c r="K783">
        <v>77084.490000000005</v>
      </c>
      <c r="L783">
        <v>0.19489999999999999</v>
      </c>
      <c r="M783">
        <v>26674000000</v>
      </c>
      <c r="N783">
        <v>8542799999.999999</v>
      </c>
      <c r="O783">
        <v>2292070000</v>
      </c>
      <c r="P783">
        <v>1440280000</v>
      </c>
      <c r="Q783">
        <v>6558870000</v>
      </c>
      <c r="R783">
        <v>1.0474145358485614E-9</v>
      </c>
      <c r="S783">
        <v>0.24589000524855664</v>
      </c>
      <c r="U783">
        <v>8.6956521739131667E-3</v>
      </c>
      <c r="V783">
        <v>23</v>
      </c>
      <c r="W783">
        <v>22.98</v>
      </c>
      <c r="X783">
        <f t="shared" si="12"/>
        <v>8.6994345367549244E-4</v>
      </c>
      <c r="Y783">
        <v>365003</v>
      </c>
      <c r="Z783">
        <v>379800000</v>
      </c>
      <c r="AA783">
        <v>8395069</v>
      </c>
      <c r="AB783">
        <v>151930000</v>
      </c>
      <c r="AC783">
        <v>2.4024419140393602E-3</v>
      </c>
      <c r="AD783">
        <v>78628.81</v>
      </c>
      <c r="AE783">
        <v>0.19489999999999999</v>
      </c>
      <c r="AF783">
        <v>26674000000</v>
      </c>
      <c r="AG783">
        <v>8542799999.999999</v>
      </c>
      <c r="AH783">
        <v>2292070000</v>
      </c>
      <c r="AI783">
        <v>1440280000</v>
      </c>
      <c r="AJ783">
        <v>6558870000</v>
      </c>
      <c r="AK783">
        <v>1.5557363153941791E-10</v>
      </c>
      <c r="AL783">
        <v>0.24589000524855664</v>
      </c>
    </row>
    <row r="784" spans="2:38">
      <c r="B784">
        <v>2.4681029073415597E-2</v>
      </c>
      <c r="C784">
        <v>23.95</v>
      </c>
      <c r="D784">
        <v>23.92</v>
      </c>
      <c r="E784">
        <v>1.2533946104030741E-3</v>
      </c>
      <c r="F784">
        <v>1038384</v>
      </c>
      <c r="G784">
        <v>379800000</v>
      </c>
      <c r="H784">
        <v>24858912.960000001</v>
      </c>
      <c r="I784">
        <v>151930000</v>
      </c>
      <c r="J784">
        <v>6.8346212071348647E-3</v>
      </c>
      <c r="K784">
        <v>78225.98</v>
      </c>
      <c r="L784">
        <v>0.19489999999999999</v>
      </c>
      <c r="M784">
        <v>26674000000</v>
      </c>
      <c r="N784">
        <v>8542799999.999999</v>
      </c>
      <c r="O784">
        <v>2292070000</v>
      </c>
      <c r="P784">
        <v>1440280000</v>
      </c>
      <c r="Q784">
        <v>6558870000</v>
      </c>
      <c r="R784">
        <v>7.7063257566534743E-10</v>
      </c>
      <c r="S784">
        <v>0.24589000524855664</v>
      </c>
      <c r="U784">
        <v>1.4801915542011313E-2</v>
      </c>
      <c r="V784">
        <v>22.95</v>
      </c>
      <c r="W784">
        <v>22.94</v>
      </c>
      <c r="X784">
        <f t="shared" si="12"/>
        <v>4.3582479843094399E-4</v>
      </c>
      <c r="Y784">
        <v>834422</v>
      </c>
      <c r="Z784">
        <v>379800000</v>
      </c>
      <c r="AA784">
        <v>19166673.34</v>
      </c>
      <c r="AB784">
        <v>151930000</v>
      </c>
      <c r="AC784">
        <v>5.4921476995984991E-3</v>
      </c>
      <c r="AD784">
        <v>78827.740000000005</v>
      </c>
      <c r="AE784">
        <v>0.19489999999999999</v>
      </c>
      <c r="AF784">
        <v>26674000000</v>
      </c>
      <c r="AG784">
        <v>8542799999.999999</v>
      </c>
      <c r="AH784">
        <v>2292070000</v>
      </c>
      <c r="AI784">
        <v>1440280000</v>
      </c>
      <c r="AJ784">
        <v>6558870000</v>
      </c>
      <c r="AK784">
        <v>5.3949740502772479E-10</v>
      </c>
      <c r="AL784">
        <v>0.24589000524855664</v>
      </c>
    </row>
    <row r="785" spans="2:38">
      <c r="B785">
        <v>0.13424036281179141</v>
      </c>
      <c r="C785">
        <v>23.45</v>
      </c>
      <c r="D785">
        <v>23.41</v>
      </c>
      <c r="E785">
        <v>1.7072129748185723E-3</v>
      </c>
      <c r="F785">
        <v>884581</v>
      </c>
      <c r="G785">
        <v>379800000</v>
      </c>
      <c r="H785">
        <v>20778807.689999998</v>
      </c>
      <c r="I785">
        <v>151930000</v>
      </c>
      <c r="J785">
        <v>5.8222931613242943E-3</v>
      </c>
      <c r="K785">
        <v>77740.31</v>
      </c>
      <c r="L785">
        <v>0.19489999999999999</v>
      </c>
      <c r="M785">
        <v>26674000000</v>
      </c>
      <c r="N785">
        <v>8542799999.999999</v>
      </c>
      <c r="O785">
        <v>2292070000</v>
      </c>
      <c r="P785">
        <v>1440280000</v>
      </c>
      <c r="Q785">
        <v>6558870000</v>
      </c>
      <c r="R785">
        <v>1.3263058944124718E-9</v>
      </c>
      <c r="S785">
        <v>0.24589000524855664</v>
      </c>
      <c r="U785">
        <v>1.8949181739879469E-2</v>
      </c>
      <c r="V785">
        <v>23.36</v>
      </c>
      <c r="W785">
        <v>23.2</v>
      </c>
      <c r="X785">
        <f t="shared" si="12"/>
        <v>6.8728522336769819E-3</v>
      </c>
      <c r="Y785">
        <v>371266</v>
      </c>
      <c r="Z785">
        <v>379800000</v>
      </c>
      <c r="AA785">
        <v>8617083.8599999994</v>
      </c>
      <c r="AB785">
        <v>151930000</v>
      </c>
      <c r="AC785">
        <v>2.443664845652603E-3</v>
      </c>
      <c r="AD785">
        <v>78029.509999999995</v>
      </c>
      <c r="AE785">
        <v>0.19489999999999999</v>
      </c>
      <c r="AF785">
        <v>26674000000</v>
      </c>
      <c r="AG785">
        <v>8542799999.999999</v>
      </c>
      <c r="AH785">
        <v>2292070000</v>
      </c>
      <c r="AI785">
        <v>1440280000</v>
      </c>
      <c r="AJ785">
        <v>6558870000</v>
      </c>
      <c r="AK785">
        <v>1.6268486899447414E-9</v>
      </c>
      <c r="AL785">
        <v>0.24589000524855664</v>
      </c>
    </row>
    <row r="786" spans="2:38">
      <c r="B786">
        <v>5.5711509393219567E-2</v>
      </c>
      <c r="C786">
        <v>22.79</v>
      </c>
      <c r="D786">
        <v>22.52</v>
      </c>
      <c r="E786">
        <v>1.1917898918561005E-2</v>
      </c>
      <c r="F786">
        <v>490240</v>
      </c>
      <c r="G786">
        <v>379800000</v>
      </c>
      <c r="H786">
        <v>11206886.4</v>
      </c>
      <c r="I786">
        <v>151930000</v>
      </c>
      <c r="J786">
        <v>3.2267491607977359E-3</v>
      </c>
      <c r="K786">
        <v>77886.990000000005</v>
      </c>
      <c r="L786">
        <v>0.19489999999999999</v>
      </c>
      <c r="M786">
        <v>26674000000</v>
      </c>
      <c r="N786">
        <v>8542799999.999999</v>
      </c>
      <c r="O786">
        <v>2292070000</v>
      </c>
      <c r="P786">
        <v>1440280000</v>
      </c>
      <c r="Q786">
        <v>6558870000</v>
      </c>
      <c r="R786">
        <v>5.4314430471421168E-10</v>
      </c>
      <c r="S786">
        <v>0.24589000524855664</v>
      </c>
      <c r="U786">
        <v>1.6877637130801627E-2</v>
      </c>
      <c r="V786">
        <v>23.57</v>
      </c>
      <c r="W786">
        <v>23.55</v>
      </c>
      <c r="X786">
        <f t="shared" si="12"/>
        <v>8.4889643463495631E-4</v>
      </c>
      <c r="Y786">
        <v>282602</v>
      </c>
      <c r="Z786">
        <v>379800000</v>
      </c>
      <c r="AA786">
        <v>6652451.0800000001</v>
      </c>
      <c r="AB786">
        <v>151930000</v>
      </c>
      <c r="AC786">
        <v>1.8600803001382216E-3</v>
      </c>
      <c r="AD786">
        <v>78469.33</v>
      </c>
      <c r="AE786">
        <v>0.19489999999999999</v>
      </c>
      <c r="AF786">
        <v>26674000000</v>
      </c>
      <c r="AG786">
        <v>8542799999.999999</v>
      </c>
      <c r="AH786">
        <v>2292070000</v>
      </c>
      <c r="AI786">
        <v>1440280000</v>
      </c>
      <c r="AJ786">
        <v>6558870000</v>
      </c>
      <c r="AK786">
        <v>1.7046007656678465E-9</v>
      </c>
      <c r="AL786">
        <v>0.24589000524855664</v>
      </c>
    </row>
    <row r="787" spans="2:38">
      <c r="B787">
        <v>8.6956521739131667E-3</v>
      </c>
      <c r="C787">
        <v>23</v>
      </c>
      <c r="D787">
        <v>22.98</v>
      </c>
      <c r="E787">
        <v>8.6994345367549244E-4</v>
      </c>
      <c r="F787">
        <v>365003</v>
      </c>
      <c r="G787">
        <v>379800000</v>
      </c>
      <c r="H787">
        <v>8395069</v>
      </c>
      <c r="I787">
        <v>151930000</v>
      </c>
      <c r="J787">
        <v>2.4024419140393602E-3</v>
      </c>
      <c r="K787">
        <v>78628.81</v>
      </c>
      <c r="L787">
        <v>0.19489999999999999</v>
      </c>
      <c r="M787">
        <v>26674000000</v>
      </c>
      <c r="N787">
        <v>8542799999.999999</v>
      </c>
      <c r="O787">
        <v>2292070000</v>
      </c>
      <c r="P787">
        <v>1440280000</v>
      </c>
      <c r="Q787">
        <v>6558870000</v>
      </c>
      <c r="R787">
        <v>1.5557363153941791E-10</v>
      </c>
      <c r="S787">
        <v>0.24589000524855664</v>
      </c>
      <c r="U787">
        <v>2.2575250836120511E-2</v>
      </c>
      <c r="V787">
        <v>23.85</v>
      </c>
      <c r="W787">
        <v>23.81</v>
      </c>
      <c r="X787">
        <f t="shared" si="12"/>
        <v>1.6785564414604575E-3</v>
      </c>
      <c r="Y787">
        <v>364424</v>
      </c>
      <c r="Z787">
        <v>379800000</v>
      </c>
      <c r="AA787">
        <v>8676935.4399999995</v>
      </c>
      <c r="AB787">
        <v>151930000</v>
      </c>
      <c r="AC787">
        <v>2.3986309484631081E-3</v>
      </c>
      <c r="AD787">
        <v>79397.009999999995</v>
      </c>
      <c r="AE787">
        <v>0.19489999999999999</v>
      </c>
      <c r="AF787">
        <v>26674000000</v>
      </c>
      <c r="AG787">
        <v>8542799999.999999</v>
      </c>
      <c r="AH787">
        <v>2292070000</v>
      </c>
      <c r="AI787">
        <v>1440280000</v>
      </c>
      <c r="AJ787">
        <v>6558870000</v>
      </c>
      <c r="AK787">
        <v>1.5283622079376625E-9</v>
      </c>
      <c r="AL787">
        <v>0.24589000524855664</v>
      </c>
    </row>
    <row r="788" spans="2:38">
      <c r="B788">
        <v>1.4801915542011313E-2</v>
      </c>
      <c r="C788">
        <v>22.95</v>
      </c>
      <c r="D788">
        <v>22.94</v>
      </c>
      <c r="E788">
        <v>4.3582479843094399E-4</v>
      </c>
      <c r="F788">
        <v>834422</v>
      </c>
      <c r="G788">
        <v>379800000</v>
      </c>
      <c r="H788">
        <v>19166673.34</v>
      </c>
      <c r="I788">
        <v>151930000</v>
      </c>
      <c r="J788">
        <v>5.4921476995984991E-3</v>
      </c>
      <c r="K788">
        <v>78827.740000000005</v>
      </c>
      <c r="L788">
        <v>0.19489999999999999</v>
      </c>
      <c r="M788">
        <v>26674000000</v>
      </c>
      <c r="N788">
        <v>8542799999.999999</v>
      </c>
      <c r="O788">
        <v>2292070000</v>
      </c>
      <c r="P788">
        <v>1440280000</v>
      </c>
      <c r="Q788">
        <v>6558870000</v>
      </c>
      <c r="R788">
        <v>5.3949740502772479E-10</v>
      </c>
      <c r="S788">
        <v>0.24589000524855664</v>
      </c>
      <c r="U788">
        <v>3.305785123966945E-2</v>
      </c>
      <c r="V788">
        <v>24</v>
      </c>
      <c r="W788">
        <v>23.97</v>
      </c>
      <c r="X788">
        <f t="shared" si="12"/>
        <v>1.2507817385866641E-3</v>
      </c>
      <c r="Y788">
        <v>604282</v>
      </c>
      <c r="Z788">
        <v>379800000</v>
      </c>
      <c r="AA788">
        <v>14581324.66</v>
      </c>
      <c r="AB788">
        <v>151930000</v>
      </c>
      <c r="AC788">
        <v>3.9773711577700257E-3</v>
      </c>
      <c r="AD788">
        <v>78987.09</v>
      </c>
      <c r="AE788">
        <v>0.19489999999999999</v>
      </c>
      <c r="AF788">
        <v>26674000000</v>
      </c>
      <c r="AG788">
        <v>8542799999.999999</v>
      </c>
      <c r="AH788">
        <v>2292070000</v>
      </c>
      <c r="AI788">
        <v>1440280000</v>
      </c>
      <c r="AJ788">
        <v>6558870000</v>
      </c>
      <c r="AK788">
        <v>4.2898795706747303E-10</v>
      </c>
      <c r="AL788">
        <v>0.24589000524855664</v>
      </c>
    </row>
    <row r="789" spans="2:38">
      <c r="B789">
        <v>1.8949181739879469E-2</v>
      </c>
      <c r="C789">
        <v>23.36</v>
      </c>
      <c r="D789">
        <v>23.2</v>
      </c>
      <c r="E789">
        <v>6.8728522336769819E-3</v>
      </c>
      <c r="F789">
        <v>371266</v>
      </c>
      <c r="G789">
        <v>379800000</v>
      </c>
      <c r="H789">
        <v>8617083.8599999994</v>
      </c>
      <c r="I789">
        <v>151930000</v>
      </c>
      <c r="J789">
        <v>2.443664845652603E-3</v>
      </c>
      <c r="K789">
        <v>78029.509999999995</v>
      </c>
      <c r="L789">
        <v>0.19489999999999999</v>
      </c>
      <c r="M789">
        <v>26674000000</v>
      </c>
      <c r="N789">
        <v>8542799999.999999</v>
      </c>
      <c r="O789">
        <v>2292070000</v>
      </c>
      <c r="P789">
        <v>1440280000</v>
      </c>
      <c r="Q789">
        <v>6558870000</v>
      </c>
      <c r="R789">
        <v>1.6268486899447414E-9</v>
      </c>
      <c r="S789">
        <v>0.24589000524855664</v>
      </c>
      <c r="U789">
        <v>5.9830823189601791E-2</v>
      </c>
      <c r="V789">
        <v>24</v>
      </c>
      <c r="W789">
        <v>23.95</v>
      </c>
      <c r="X789">
        <f t="shared" si="12"/>
        <v>2.0855057351408012E-3</v>
      </c>
      <c r="Y789">
        <v>829810</v>
      </c>
      <c r="Z789">
        <v>379800000</v>
      </c>
      <c r="AA789">
        <v>19898843.800000001</v>
      </c>
      <c r="AB789">
        <v>151930000</v>
      </c>
      <c r="AC789">
        <v>5.4617916145593363E-3</v>
      </c>
      <c r="AD789">
        <v>78539.19</v>
      </c>
      <c r="AE789">
        <v>0.19489999999999999</v>
      </c>
      <c r="AF789">
        <v>26674000000</v>
      </c>
      <c r="AG789">
        <v>8542799999.999999</v>
      </c>
      <c r="AH789">
        <v>2292070000</v>
      </c>
      <c r="AI789">
        <v>1440280000</v>
      </c>
      <c r="AJ789">
        <v>6558870000</v>
      </c>
      <c r="AK789">
        <v>0</v>
      </c>
      <c r="AL789">
        <v>0.24589000524855664</v>
      </c>
    </row>
    <row r="790" spans="2:38">
      <c r="B790">
        <v>1.6877637130801627E-2</v>
      </c>
      <c r="C790">
        <v>23.57</v>
      </c>
      <c r="D790">
        <v>23.55</v>
      </c>
      <c r="E790">
        <v>8.4889643463495631E-4</v>
      </c>
      <c r="F790">
        <v>282602</v>
      </c>
      <c r="G790">
        <v>379800000</v>
      </c>
      <c r="H790">
        <v>6652451.0800000001</v>
      </c>
      <c r="I790">
        <v>151930000</v>
      </c>
      <c r="J790">
        <v>1.8600803001382216E-3</v>
      </c>
      <c r="K790">
        <v>78469.33</v>
      </c>
      <c r="L790">
        <v>0.19489999999999999</v>
      </c>
      <c r="M790">
        <v>26674000000</v>
      </c>
      <c r="N790">
        <v>8542799999.999999</v>
      </c>
      <c r="O790">
        <v>2292070000</v>
      </c>
      <c r="P790">
        <v>1440280000</v>
      </c>
      <c r="Q790">
        <v>6558870000</v>
      </c>
      <c r="R790">
        <v>1.7046007656678465E-9</v>
      </c>
      <c r="S790">
        <v>0.24589000524855664</v>
      </c>
      <c r="U790">
        <v>2.9971901342491329E-2</v>
      </c>
      <c r="V790">
        <v>32.24</v>
      </c>
      <c r="W790">
        <v>32.020000000000003</v>
      </c>
      <c r="X790">
        <f t="shared" ref="X790:X853" si="13">(V790-W790)/AVERAGE(V790:W790)</f>
        <v>6.8471833177715172E-3</v>
      </c>
      <c r="Y790">
        <v>1870617</v>
      </c>
      <c r="Z790">
        <v>367350000</v>
      </c>
      <c r="AA790">
        <v>60065511.869999997</v>
      </c>
      <c r="AB790">
        <v>113870000</v>
      </c>
      <c r="AC790">
        <v>1.6427654342671467E-2</v>
      </c>
      <c r="AD790">
        <v>82074.45</v>
      </c>
      <c r="AE790">
        <v>0.1741</v>
      </c>
      <c r="AF790">
        <v>31986690000</v>
      </c>
      <c r="AG790">
        <v>2812320000</v>
      </c>
      <c r="AH790">
        <v>1265980000</v>
      </c>
      <c r="AI790">
        <v>1716300000</v>
      </c>
      <c r="AJ790">
        <v>123280000</v>
      </c>
      <c r="AK790">
        <v>1.2011143092043028E-10</v>
      </c>
      <c r="AL790">
        <v>3.8541030659940117E-3</v>
      </c>
    </row>
    <row r="791" spans="2:38">
      <c r="B791">
        <v>2.2575250836120511E-2</v>
      </c>
      <c r="C791">
        <v>23.85</v>
      </c>
      <c r="D791">
        <v>23.81</v>
      </c>
      <c r="E791">
        <v>1.6785564414604575E-3</v>
      </c>
      <c r="F791">
        <v>364424</v>
      </c>
      <c r="G791">
        <v>379800000</v>
      </c>
      <c r="H791">
        <v>8676935.4399999995</v>
      </c>
      <c r="I791">
        <v>151930000</v>
      </c>
      <c r="J791">
        <v>2.3986309484631081E-3</v>
      </c>
      <c r="K791">
        <v>79397.009999999995</v>
      </c>
      <c r="L791">
        <v>0.19489999999999999</v>
      </c>
      <c r="M791">
        <v>26674000000</v>
      </c>
      <c r="N791">
        <v>8542799999.999999</v>
      </c>
      <c r="O791">
        <v>2292070000</v>
      </c>
      <c r="P791">
        <v>1440280000</v>
      </c>
      <c r="Q791">
        <v>6558870000</v>
      </c>
      <c r="R791">
        <v>1.5283622079376625E-9</v>
      </c>
      <c r="S791">
        <v>0.24589000524855664</v>
      </c>
      <c r="U791">
        <v>5.8551617873651721E-2</v>
      </c>
      <c r="V791">
        <v>32.04</v>
      </c>
      <c r="W791">
        <v>32</v>
      </c>
      <c r="X791">
        <f t="shared" si="13"/>
        <v>1.2492192379762383E-3</v>
      </c>
      <c r="Y791">
        <v>6481477</v>
      </c>
      <c r="Z791">
        <v>367350000</v>
      </c>
      <c r="AA791">
        <v>206629486.75999999</v>
      </c>
      <c r="AB791">
        <v>113870000</v>
      </c>
      <c r="AC791">
        <v>5.6919970141389303E-2</v>
      </c>
      <c r="AD791">
        <v>81459.289999999994</v>
      </c>
      <c r="AE791">
        <v>0.1741</v>
      </c>
      <c r="AF791">
        <v>31986690000</v>
      </c>
      <c r="AG791">
        <v>2812320000</v>
      </c>
      <c r="AH791">
        <v>1265980000</v>
      </c>
      <c r="AI791">
        <v>1716300000</v>
      </c>
      <c r="AJ791">
        <v>123280000</v>
      </c>
      <c r="AK791">
        <v>7.6022311205575969E-12</v>
      </c>
      <c r="AL791">
        <v>3.8541030659940117E-3</v>
      </c>
    </row>
    <row r="792" spans="2:38">
      <c r="B792">
        <v>3.305785123966945E-2</v>
      </c>
      <c r="C792">
        <v>24</v>
      </c>
      <c r="D792">
        <v>23.97</v>
      </c>
      <c r="E792">
        <v>1.2507817385866641E-3</v>
      </c>
      <c r="F792">
        <v>604282</v>
      </c>
      <c r="G792">
        <v>379800000</v>
      </c>
      <c r="H792">
        <v>14581324.66</v>
      </c>
      <c r="I792">
        <v>151930000</v>
      </c>
      <c r="J792">
        <v>3.9773711577700257E-3</v>
      </c>
      <c r="K792">
        <v>78987.09</v>
      </c>
      <c r="L792">
        <v>0.19489999999999999</v>
      </c>
      <c r="M792">
        <v>26674000000</v>
      </c>
      <c r="N792">
        <v>8542799999.999999</v>
      </c>
      <c r="O792">
        <v>2292070000</v>
      </c>
      <c r="P792">
        <v>1440280000</v>
      </c>
      <c r="Q792">
        <v>6558870000</v>
      </c>
      <c r="R792">
        <v>4.2898795706747303E-10</v>
      </c>
      <c r="S792">
        <v>0.24589000524855664</v>
      </c>
      <c r="U792">
        <v>7.0147595619742931E-2</v>
      </c>
      <c r="V792">
        <v>31.7</v>
      </c>
      <c r="W792">
        <v>31.65</v>
      </c>
      <c r="X792">
        <f t="shared" si="13"/>
        <v>1.5785319652723193E-3</v>
      </c>
      <c r="Y792">
        <v>9166709</v>
      </c>
      <c r="Z792">
        <v>367350000</v>
      </c>
      <c r="AA792">
        <v>291776347.46999997</v>
      </c>
      <c r="AB792">
        <v>113870000</v>
      </c>
      <c r="AC792">
        <v>8.0501528058312108E-2</v>
      </c>
      <c r="AD792">
        <v>80461.34</v>
      </c>
      <c r="AE792">
        <v>0.1741</v>
      </c>
      <c r="AF792">
        <v>31986690000</v>
      </c>
      <c r="AG792">
        <v>2812320000</v>
      </c>
      <c r="AH792">
        <v>1265980000</v>
      </c>
      <c r="AI792">
        <v>1716300000</v>
      </c>
      <c r="AJ792">
        <v>123280000</v>
      </c>
      <c r="AK792">
        <v>1.4827968002424487E-10</v>
      </c>
      <c r="AL792">
        <v>3.8541030659940117E-3</v>
      </c>
    </row>
    <row r="793" spans="2:38">
      <c r="B793">
        <v>5.9830823189601791E-2</v>
      </c>
      <c r="C793">
        <v>24</v>
      </c>
      <c r="D793">
        <v>23.95</v>
      </c>
      <c r="E793">
        <v>2.0855057351408012E-3</v>
      </c>
      <c r="F793">
        <v>829810</v>
      </c>
      <c r="G793">
        <v>379800000</v>
      </c>
      <c r="H793">
        <v>19898843.800000001</v>
      </c>
      <c r="I793">
        <v>151930000</v>
      </c>
      <c r="J793">
        <v>5.4617916145593363E-3</v>
      </c>
      <c r="K793">
        <v>78539.19</v>
      </c>
      <c r="L793">
        <v>0.19489999999999999</v>
      </c>
      <c r="M793">
        <v>26674000000</v>
      </c>
      <c r="N793">
        <v>8542799999.999999</v>
      </c>
      <c r="O793">
        <v>2292070000</v>
      </c>
      <c r="P793">
        <v>1440280000</v>
      </c>
      <c r="Q793">
        <v>6558870000</v>
      </c>
      <c r="R793">
        <v>0</v>
      </c>
      <c r="S793">
        <v>0.24589000524855664</v>
      </c>
      <c r="U793">
        <v>5.8284762697751874E-2</v>
      </c>
      <c r="V793">
        <v>30.7</v>
      </c>
      <c r="W793">
        <v>30.6</v>
      </c>
      <c r="X793">
        <f t="shared" si="13"/>
        <v>3.2626427406198329E-3</v>
      </c>
      <c r="Y793">
        <v>2230113</v>
      </c>
      <c r="Z793">
        <v>367350000</v>
      </c>
      <c r="AA793">
        <v>68040747.63000001</v>
      </c>
      <c r="AB793">
        <v>113870000</v>
      </c>
      <c r="AC793">
        <v>1.9584728198823221E-2</v>
      </c>
      <c r="AD793">
        <v>79491.14</v>
      </c>
      <c r="AE793">
        <v>0.1741</v>
      </c>
      <c r="AF793">
        <v>31986690000</v>
      </c>
      <c r="AG793">
        <v>2812320000</v>
      </c>
      <c r="AH793">
        <v>1265980000</v>
      </c>
      <c r="AI793">
        <v>1716300000</v>
      </c>
      <c r="AJ793">
        <v>123280000</v>
      </c>
      <c r="AK793">
        <v>4.8260538807707607E-10</v>
      </c>
      <c r="AL793">
        <v>3.8541030659940117E-3</v>
      </c>
    </row>
    <row r="794" spans="2:38">
      <c r="B794">
        <v>0</v>
      </c>
      <c r="C794">
        <v>0</v>
      </c>
      <c r="D794">
        <v>0</v>
      </c>
      <c r="E794">
        <v>0</v>
      </c>
      <c r="F794">
        <v>0</v>
      </c>
      <c r="G794">
        <v>0</v>
      </c>
      <c r="H794">
        <v>0</v>
      </c>
      <c r="I794">
        <v>0</v>
      </c>
      <c r="J794">
        <v>0</v>
      </c>
      <c r="K794">
        <v>0</v>
      </c>
      <c r="L794">
        <v>0</v>
      </c>
      <c r="M794">
        <v>0</v>
      </c>
      <c r="N794">
        <v>0</v>
      </c>
      <c r="O794">
        <v>0</v>
      </c>
      <c r="P794">
        <v>0</v>
      </c>
      <c r="Q794">
        <v>0</v>
      </c>
      <c r="R794">
        <v>0</v>
      </c>
      <c r="S794">
        <v>0</v>
      </c>
      <c r="U794">
        <v>7.7310924369747805E-2</v>
      </c>
      <c r="V794">
        <v>29.65</v>
      </c>
      <c r="W794">
        <v>29.53</v>
      </c>
      <c r="X794">
        <f t="shared" si="13"/>
        <v>4.0554241297734855E-3</v>
      </c>
      <c r="Y794">
        <v>2407025</v>
      </c>
      <c r="Z794">
        <v>367350000</v>
      </c>
      <c r="AA794">
        <v>71103518.5</v>
      </c>
      <c r="AB794">
        <v>113870000</v>
      </c>
      <c r="AC794">
        <v>2.1138359532800563E-2</v>
      </c>
      <c r="AD794">
        <v>79333.06</v>
      </c>
      <c r="AE794">
        <v>0.1741</v>
      </c>
      <c r="AF794">
        <v>31986690000</v>
      </c>
      <c r="AG794">
        <v>2812320000</v>
      </c>
      <c r="AH794">
        <v>1265980000</v>
      </c>
      <c r="AI794">
        <v>1716300000</v>
      </c>
      <c r="AJ794">
        <v>123280000</v>
      </c>
      <c r="AK794">
        <v>4.8258829118556346E-10</v>
      </c>
      <c r="AL794">
        <v>3.8541030659940117E-3</v>
      </c>
    </row>
    <row r="795" spans="2:38">
      <c r="B795" t="str">
        <v>Relative high-low price</v>
      </c>
      <c r="C795" t="str">
        <v>Ask price</v>
      </c>
      <c r="D795" t="str">
        <v xml:space="preserve">Bid price </v>
      </c>
      <c r="E795" t="str">
        <v xml:space="preserve">Relative Bid-Ask Spread </v>
      </c>
      <c r="F795" t="str">
        <v>daily trading volume</v>
      </c>
      <c r="G795" t="str">
        <v>common shares outstanding</v>
      </c>
      <c r="H795" t="str">
        <v>Common shares outstanding (Trading value )</v>
      </c>
      <c r="I795" t="str">
        <v>Free Float Shares</v>
      </c>
      <c r="J795" t="str">
        <v>Turnover</v>
      </c>
      <c r="K795" t="str">
        <v>Daily kse-100 index</v>
      </c>
      <c r="L795" t="str">
        <v xml:space="preserve">Risk free rate </v>
      </c>
      <c r="M795" t="str">
        <v xml:space="preserve">Total assets </v>
      </c>
      <c r="N795" t="str">
        <v xml:space="preserve">Total Liabilities </v>
      </c>
      <c r="O795" t="str">
        <v>EBITDA</v>
      </c>
      <c r="P795" t="str">
        <v xml:space="preserve">Cash and equivalents </v>
      </c>
      <c r="Q795" t="str">
        <v xml:space="preserve">Total Debt </v>
      </c>
      <c r="R795" t="str">
        <v>Amihud illiquidity ratio</v>
      </c>
      <c r="S795" t="str">
        <v>Leverage ratio</v>
      </c>
      <c r="U795">
        <v>3.5087719298245612E-2</v>
      </c>
      <c r="V795">
        <v>28.7</v>
      </c>
      <c r="W795">
        <v>28.63</v>
      </c>
      <c r="X795">
        <f t="shared" si="13"/>
        <v>2.442002442002452E-3</v>
      </c>
      <c r="Y795">
        <v>1288705</v>
      </c>
      <c r="Z795">
        <v>367350000</v>
      </c>
      <c r="AA795">
        <v>36805414.799999997</v>
      </c>
      <c r="AB795">
        <v>113870000</v>
      </c>
      <c r="AC795">
        <v>1.1317335558092561E-2</v>
      </c>
      <c r="AD795">
        <v>79017.62</v>
      </c>
      <c r="AE795">
        <v>0.1741</v>
      </c>
      <c r="AF795">
        <v>31986690000</v>
      </c>
      <c r="AG795">
        <v>2812320000</v>
      </c>
      <c r="AH795">
        <v>1265980000</v>
      </c>
      <c r="AI795">
        <v>1716300000</v>
      </c>
      <c r="AJ795">
        <v>123280000</v>
      </c>
      <c r="AK795">
        <v>2.3993213728993984E-10</v>
      </c>
      <c r="AL795">
        <v>3.8541030659940117E-3</v>
      </c>
    </row>
    <row r="796" spans="2:38">
      <c r="B796">
        <v>2.9971901342491329E-2</v>
      </c>
      <c r="C796">
        <v>32.24</v>
      </c>
      <c r="D796">
        <v>32.020000000000003</v>
      </c>
      <c r="E796">
        <v>6.8471833177715172E-3</v>
      </c>
      <c r="F796">
        <v>1870617</v>
      </c>
      <c r="G796">
        <v>367350000</v>
      </c>
      <c r="H796">
        <v>60065511.869999997</v>
      </c>
      <c r="I796">
        <v>113870000</v>
      </c>
      <c r="J796">
        <v>1.6427654342671467E-2</v>
      </c>
      <c r="K796">
        <v>82074.45</v>
      </c>
      <c r="L796">
        <v>0.1741</v>
      </c>
      <c r="M796">
        <v>31986690000</v>
      </c>
      <c r="N796">
        <v>2812320000</v>
      </c>
      <c r="O796">
        <v>1265980000</v>
      </c>
      <c r="P796">
        <v>1716300000</v>
      </c>
      <c r="Q796">
        <v>123280000</v>
      </c>
      <c r="R796">
        <v>1.2011143092043028E-10</v>
      </c>
      <c r="S796">
        <v>3.8541030659940117E-3</v>
      </c>
      <c r="U796">
        <v>1.0619469026548572E-2</v>
      </c>
      <c r="V796">
        <v>28.11</v>
      </c>
      <c r="W796">
        <v>28.1</v>
      </c>
      <c r="X796">
        <f t="shared" si="13"/>
        <v>3.5580857498658638E-4</v>
      </c>
      <c r="Y796">
        <v>664506</v>
      </c>
      <c r="Z796">
        <v>367350000</v>
      </c>
      <c r="AA796">
        <v>18812164.859999999</v>
      </c>
      <c r="AB796">
        <v>113870000</v>
      </c>
      <c r="AC796">
        <v>5.8356546939492401E-3</v>
      </c>
      <c r="AD796">
        <v>78651.8</v>
      </c>
      <c r="AE796">
        <v>0.1741</v>
      </c>
      <c r="AF796">
        <v>31986690000</v>
      </c>
      <c r="AG796">
        <v>2812320000</v>
      </c>
      <c r="AH796">
        <v>1265980000</v>
      </c>
      <c r="AI796">
        <v>1716300000</v>
      </c>
      <c r="AJ796">
        <v>123280000</v>
      </c>
      <c r="AK796">
        <v>5.6270740818391176E-11</v>
      </c>
      <c r="AL796">
        <v>3.8541030659940117E-3</v>
      </c>
    </row>
    <row r="797" spans="2:38">
      <c r="B797">
        <v>5.8551617873651721E-2</v>
      </c>
      <c r="C797">
        <v>32.04</v>
      </c>
      <c r="D797">
        <v>32</v>
      </c>
      <c r="E797">
        <v>1.2492192379762383E-3</v>
      </c>
      <c r="F797">
        <v>6481477</v>
      </c>
      <c r="G797">
        <v>367350000</v>
      </c>
      <c r="H797">
        <v>206629486.75999999</v>
      </c>
      <c r="I797">
        <v>113870000</v>
      </c>
      <c r="J797">
        <v>5.6919970141389303E-2</v>
      </c>
      <c r="K797">
        <v>81459.289999999994</v>
      </c>
      <c r="L797">
        <v>0.1741</v>
      </c>
      <c r="M797">
        <v>31986690000</v>
      </c>
      <c r="N797">
        <v>2812320000</v>
      </c>
      <c r="O797">
        <v>1265980000</v>
      </c>
      <c r="P797">
        <v>1716300000</v>
      </c>
      <c r="Q797">
        <v>123280000</v>
      </c>
      <c r="R797">
        <v>7.6022311205575969E-12</v>
      </c>
      <c r="S797">
        <v>3.8541030659940117E-3</v>
      </c>
      <c r="U797">
        <v>1.66696222734527E-2</v>
      </c>
      <c r="V797">
        <v>28.35</v>
      </c>
      <c r="W797">
        <v>28.26</v>
      </c>
      <c r="X797">
        <f t="shared" si="13"/>
        <v>3.1796502384737629E-3</v>
      </c>
      <c r="Y797">
        <v>835674</v>
      </c>
      <c r="Z797">
        <v>367350000</v>
      </c>
      <c r="AA797">
        <v>23683001.16</v>
      </c>
      <c r="AB797">
        <v>113870000</v>
      </c>
      <c r="AC797">
        <v>7.3388425397382983E-3</v>
      </c>
      <c r="AD797">
        <v>79286.740000000005</v>
      </c>
      <c r="AE797">
        <v>0.1741</v>
      </c>
      <c r="AF797">
        <v>31986690000</v>
      </c>
      <c r="AG797">
        <v>2812320000</v>
      </c>
      <c r="AH797">
        <v>1265980000</v>
      </c>
      <c r="AI797">
        <v>1716300000</v>
      </c>
      <c r="AJ797">
        <v>123280000</v>
      </c>
      <c r="AK797">
        <v>1.3452014322177219E-10</v>
      </c>
      <c r="AL797">
        <v>3.8541030659940117E-3</v>
      </c>
    </row>
    <row r="798" spans="2:38">
      <c r="B798">
        <v>7.0147595619742931E-2</v>
      </c>
      <c r="C798">
        <v>31.7</v>
      </c>
      <c r="D798">
        <v>31.65</v>
      </c>
      <c r="E798">
        <v>1.5785319652723193E-3</v>
      </c>
      <c r="F798">
        <v>9166709</v>
      </c>
      <c r="G798">
        <v>367350000</v>
      </c>
      <c r="H798">
        <v>291776347.46999997</v>
      </c>
      <c r="I798">
        <v>113870000</v>
      </c>
      <c r="J798">
        <v>8.0501528058312108E-2</v>
      </c>
      <c r="K798">
        <v>80461.34</v>
      </c>
      <c r="L798">
        <v>0.1741</v>
      </c>
      <c r="M798">
        <v>31986690000</v>
      </c>
      <c r="N798">
        <v>2812320000</v>
      </c>
      <c r="O798">
        <v>1265980000</v>
      </c>
      <c r="P798">
        <v>1716300000</v>
      </c>
      <c r="Q798">
        <v>123280000</v>
      </c>
      <c r="R798">
        <v>1.4827968002424487E-10</v>
      </c>
      <c r="S798">
        <v>3.8541030659940117E-3</v>
      </c>
      <c r="U798">
        <v>4.8780487804878002E-2</v>
      </c>
      <c r="V798">
        <v>28.3</v>
      </c>
      <c r="W798">
        <v>28.2</v>
      </c>
      <c r="X798">
        <f t="shared" si="13"/>
        <v>3.5398230088496078E-3</v>
      </c>
      <c r="Y798">
        <v>1200201</v>
      </c>
      <c r="Z798">
        <v>367350000</v>
      </c>
      <c r="AA798">
        <v>33905678.25</v>
      </c>
      <c r="AB798">
        <v>113870000</v>
      </c>
      <c r="AC798">
        <v>1.0540098357776412E-2</v>
      </c>
      <c r="AD798">
        <v>78615</v>
      </c>
      <c r="AE798">
        <v>0.1741</v>
      </c>
      <c r="AF798">
        <v>31986690000</v>
      </c>
      <c r="AG798">
        <v>2812320000</v>
      </c>
      <c r="AH798">
        <v>1265980000</v>
      </c>
      <c r="AI798">
        <v>1716300000</v>
      </c>
      <c r="AJ798">
        <v>123280000</v>
      </c>
      <c r="AK798">
        <v>5.6324554493235214E-10</v>
      </c>
      <c r="AL798">
        <v>3.8541030659940117E-3</v>
      </c>
    </row>
    <row r="799" spans="2:38">
      <c r="B799">
        <v>5.8284762697751874E-2</v>
      </c>
      <c r="C799">
        <v>30.7</v>
      </c>
      <c r="D799">
        <v>30.6</v>
      </c>
      <c r="E799">
        <v>3.2626427406198329E-3</v>
      </c>
      <c r="F799">
        <v>2230113</v>
      </c>
      <c r="G799">
        <v>367350000</v>
      </c>
      <c r="H799">
        <v>68040747.63000001</v>
      </c>
      <c r="I799">
        <v>113870000</v>
      </c>
      <c r="J799">
        <v>1.9584728198823221E-2</v>
      </c>
      <c r="K799">
        <v>79491.14</v>
      </c>
      <c r="L799">
        <v>0.1741</v>
      </c>
      <c r="M799">
        <v>31986690000</v>
      </c>
      <c r="N799">
        <v>2812320000</v>
      </c>
      <c r="O799">
        <v>1265980000</v>
      </c>
      <c r="P799">
        <v>1716300000</v>
      </c>
      <c r="Q799">
        <v>123280000</v>
      </c>
      <c r="R799">
        <v>4.8260538807707607E-10</v>
      </c>
      <c r="S799">
        <v>3.8541030659940117E-3</v>
      </c>
      <c r="U799">
        <v>2.5098848203541357E-2</v>
      </c>
      <c r="V799">
        <v>28.99</v>
      </c>
      <c r="W799">
        <v>28.8</v>
      </c>
      <c r="X799">
        <f t="shared" si="13"/>
        <v>6.5755320989789832E-3</v>
      </c>
      <c r="Y799">
        <v>933221</v>
      </c>
      <c r="Z799">
        <v>367350000</v>
      </c>
      <c r="AA799">
        <v>26876764.800000001</v>
      </c>
      <c r="AB799">
        <v>113870000</v>
      </c>
      <c r="AC799">
        <v>8.1954948625625711E-3</v>
      </c>
      <c r="AD799">
        <v>78897.73</v>
      </c>
      <c r="AE799">
        <v>0.1741</v>
      </c>
      <c r="AF799">
        <v>31986690000</v>
      </c>
      <c r="AG799">
        <v>2812320000</v>
      </c>
      <c r="AH799">
        <v>1265980000</v>
      </c>
      <c r="AI799">
        <v>1716300000</v>
      </c>
      <c r="AJ799">
        <v>123280000</v>
      </c>
      <c r="AK799">
        <v>5.0968300087167679E-10</v>
      </c>
      <c r="AL799">
        <v>3.8541030659940117E-3</v>
      </c>
    </row>
    <row r="800" spans="2:38">
      <c r="B800">
        <v>7.7310924369747805E-2</v>
      </c>
      <c r="C800">
        <v>29.65</v>
      </c>
      <c r="D800">
        <v>29.53</v>
      </c>
      <c r="E800">
        <v>4.0554241297734855E-3</v>
      </c>
      <c r="F800">
        <v>2407025</v>
      </c>
      <c r="G800">
        <v>367350000</v>
      </c>
      <c r="H800">
        <v>71103518.5</v>
      </c>
      <c r="I800">
        <v>113870000</v>
      </c>
      <c r="J800">
        <v>2.1138359532800563E-2</v>
      </c>
      <c r="K800">
        <v>79333.06</v>
      </c>
      <c r="L800">
        <v>0.1741</v>
      </c>
      <c r="M800">
        <v>31986690000</v>
      </c>
      <c r="N800">
        <v>2812320000</v>
      </c>
      <c r="O800">
        <v>1265980000</v>
      </c>
      <c r="P800">
        <v>1716300000</v>
      </c>
      <c r="Q800">
        <v>123280000</v>
      </c>
      <c r="R800">
        <v>4.8258829118556346E-10</v>
      </c>
      <c r="S800">
        <v>3.8541030659940117E-3</v>
      </c>
      <c r="U800">
        <v>2.3850085178875612E-2</v>
      </c>
      <c r="V800">
        <v>29.3</v>
      </c>
      <c r="W800">
        <v>29.28</v>
      </c>
      <c r="X800">
        <f t="shared" si="13"/>
        <v>6.8282690337997866E-4</v>
      </c>
      <c r="Y800">
        <v>1406780</v>
      </c>
      <c r="Z800">
        <v>367350000</v>
      </c>
      <c r="AA800">
        <v>41077976</v>
      </c>
      <c r="AB800">
        <v>113870000</v>
      </c>
      <c r="AC800">
        <v>1.2354263633968561E-2</v>
      </c>
      <c r="AD800">
        <v>78863.34</v>
      </c>
      <c r="AE800">
        <v>0.1741</v>
      </c>
      <c r="AF800">
        <v>31986690000</v>
      </c>
      <c r="AG800">
        <v>2812320000</v>
      </c>
      <c r="AH800">
        <v>1265980000</v>
      </c>
      <c r="AI800">
        <v>1716300000</v>
      </c>
      <c r="AJ800">
        <v>123280000</v>
      </c>
      <c r="AK800">
        <v>7.5264688261555194E-11</v>
      </c>
      <c r="AL800">
        <v>3.8541030659940117E-3</v>
      </c>
    </row>
    <row r="801" spans="2:38">
      <c r="B801">
        <v>3.5087719298245612E-2</v>
      </c>
      <c r="C801">
        <v>28.7</v>
      </c>
      <c r="D801">
        <v>28.63</v>
      </c>
      <c r="E801">
        <v>2.442002442002452E-3</v>
      </c>
      <c r="F801">
        <v>1288705</v>
      </c>
      <c r="G801">
        <v>367350000</v>
      </c>
      <c r="H801">
        <v>36805414.799999997</v>
      </c>
      <c r="I801">
        <v>113870000</v>
      </c>
      <c r="J801">
        <v>1.1317335558092561E-2</v>
      </c>
      <c r="K801">
        <v>79017.62</v>
      </c>
      <c r="L801">
        <v>0.1741</v>
      </c>
      <c r="M801">
        <v>31986690000</v>
      </c>
      <c r="N801">
        <v>2812320000</v>
      </c>
      <c r="O801">
        <v>1265980000</v>
      </c>
      <c r="P801">
        <v>1716300000</v>
      </c>
      <c r="Q801">
        <v>123280000</v>
      </c>
      <c r="R801">
        <v>2.3993213728993984E-10</v>
      </c>
      <c r="S801">
        <v>3.8541030659940117E-3</v>
      </c>
      <c r="U801">
        <v>4.844290657439454E-2</v>
      </c>
      <c r="V801">
        <v>29.2</v>
      </c>
      <c r="W801">
        <v>29.06</v>
      </c>
      <c r="X801">
        <f t="shared" si="13"/>
        <v>4.8060418812221279E-3</v>
      </c>
      <c r="Y801">
        <v>3739151</v>
      </c>
      <c r="Z801">
        <v>367350000</v>
      </c>
      <c r="AA801">
        <v>108846685.61</v>
      </c>
      <c r="AB801">
        <v>113870000</v>
      </c>
      <c r="AC801">
        <v>3.2837015895319226E-2</v>
      </c>
      <c r="AD801">
        <v>78848.009999999995</v>
      </c>
      <c r="AE801">
        <v>0.1741</v>
      </c>
      <c r="AF801">
        <v>31986690000</v>
      </c>
      <c r="AG801">
        <v>2812320000</v>
      </c>
      <c r="AH801">
        <v>1265980000</v>
      </c>
      <c r="AI801">
        <v>1716300000</v>
      </c>
      <c r="AJ801">
        <v>123280000</v>
      </c>
      <c r="AK801">
        <v>1.9334761700563904E-10</v>
      </c>
      <c r="AL801">
        <v>3.8541030659940117E-3</v>
      </c>
    </row>
    <row r="802" spans="2:38">
      <c r="B802">
        <v>1.0619469026548572E-2</v>
      </c>
      <c r="C802">
        <v>28.11</v>
      </c>
      <c r="D802">
        <v>28.1</v>
      </c>
      <c r="E802">
        <v>3.5580857498658638E-4</v>
      </c>
      <c r="F802">
        <v>664506</v>
      </c>
      <c r="G802">
        <v>367350000</v>
      </c>
      <c r="H802">
        <v>18812164.859999999</v>
      </c>
      <c r="I802">
        <v>113870000</v>
      </c>
      <c r="J802">
        <v>5.8356546939492401E-3</v>
      </c>
      <c r="K802">
        <v>78651.8</v>
      </c>
      <c r="L802">
        <v>0.1741</v>
      </c>
      <c r="M802">
        <v>31986690000</v>
      </c>
      <c r="N802">
        <v>2812320000</v>
      </c>
      <c r="O802">
        <v>1265980000</v>
      </c>
      <c r="P802">
        <v>1716300000</v>
      </c>
      <c r="Q802">
        <v>123280000</v>
      </c>
      <c r="R802">
        <v>5.6270740818391176E-11</v>
      </c>
      <c r="S802">
        <v>3.8541030659940117E-3</v>
      </c>
      <c r="U802">
        <v>0.15957797560171447</v>
      </c>
      <c r="V802">
        <v>28.39</v>
      </c>
      <c r="W802">
        <v>28.32</v>
      </c>
      <c r="X802">
        <f t="shared" si="13"/>
        <v>2.4687004055722194E-3</v>
      </c>
      <c r="Y802">
        <v>12126472</v>
      </c>
      <c r="Z802">
        <v>367350000</v>
      </c>
      <c r="AA802">
        <v>345725716.72000003</v>
      </c>
      <c r="AB802">
        <v>113870000</v>
      </c>
      <c r="AC802">
        <v>0.10649400193202775</v>
      </c>
      <c r="AD802">
        <v>78356.320000000007</v>
      </c>
      <c r="AE802">
        <v>0.17469999999999999</v>
      </c>
      <c r="AF802">
        <v>31986690000</v>
      </c>
      <c r="AG802">
        <v>2812320000</v>
      </c>
      <c r="AH802">
        <v>1265980000</v>
      </c>
      <c r="AI802">
        <v>1716300000</v>
      </c>
      <c r="AJ802">
        <v>123280000</v>
      </c>
      <c r="AK802">
        <v>2.2631000819284891E-10</v>
      </c>
      <c r="AL802">
        <v>3.8541030659940117E-3</v>
      </c>
    </row>
    <row r="803" spans="2:38">
      <c r="B803">
        <v>1.66696222734527E-2</v>
      </c>
      <c r="C803">
        <v>28.35</v>
      </c>
      <c r="D803">
        <v>28.26</v>
      </c>
      <c r="E803">
        <v>3.1796502384737629E-3</v>
      </c>
      <c r="F803">
        <v>835674</v>
      </c>
      <c r="G803">
        <v>367350000</v>
      </c>
      <c r="H803">
        <v>23683001.16</v>
      </c>
      <c r="I803">
        <v>113870000</v>
      </c>
      <c r="J803">
        <v>7.3388425397382983E-3</v>
      </c>
      <c r="K803">
        <v>79286.740000000005</v>
      </c>
      <c r="L803">
        <v>0.1741</v>
      </c>
      <c r="M803">
        <v>31986690000</v>
      </c>
      <c r="N803">
        <v>2812320000</v>
      </c>
      <c r="O803">
        <v>1265980000</v>
      </c>
      <c r="P803">
        <v>1716300000</v>
      </c>
      <c r="Q803">
        <v>123280000</v>
      </c>
      <c r="R803">
        <v>1.3452014322177219E-10</v>
      </c>
      <c r="S803">
        <v>3.8541030659940117E-3</v>
      </c>
      <c r="U803">
        <v>4.2923995481684629E-2</v>
      </c>
      <c r="V803">
        <v>31.1</v>
      </c>
      <c r="W803">
        <v>31.05</v>
      </c>
      <c r="X803">
        <f t="shared" si="13"/>
        <v>1.6090104585680034E-3</v>
      </c>
      <c r="Y803">
        <v>1158609</v>
      </c>
      <c r="Z803">
        <v>367350000</v>
      </c>
      <c r="AA803">
        <v>35835776.369999997</v>
      </c>
      <c r="AB803">
        <v>113870000</v>
      </c>
      <c r="AC803">
        <v>1.0174839729516116E-2</v>
      </c>
      <c r="AD803">
        <v>78283.3</v>
      </c>
      <c r="AE803">
        <v>0.17469999999999999</v>
      </c>
      <c r="AF803">
        <v>31986690000</v>
      </c>
      <c r="AG803">
        <v>2812320000</v>
      </c>
      <c r="AH803">
        <v>1265980000</v>
      </c>
      <c r="AI803">
        <v>1716300000</v>
      </c>
      <c r="AJ803">
        <v>123280000</v>
      </c>
      <c r="AK803">
        <v>4.1198436375773805E-10</v>
      </c>
      <c r="AL803">
        <v>3.8541030659940117E-3</v>
      </c>
    </row>
    <row r="804" spans="2:38">
      <c r="B804">
        <v>4.8780487804878002E-2</v>
      </c>
      <c r="C804">
        <v>28.3</v>
      </c>
      <c r="D804">
        <v>28.2</v>
      </c>
      <c r="E804">
        <v>3.5398230088496078E-3</v>
      </c>
      <c r="F804">
        <v>1200201</v>
      </c>
      <c r="G804">
        <v>367350000</v>
      </c>
      <c r="H804">
        <v>33905678.25</v>
      </c>
      <c r="I804">
        <v>113870000</v>
      </c>
      <c r="J804">
        <v>1.0540098357776412E-2</v>
      </c>
      <c r="K804">
        <v>78615</v>
      </c>
      <c r="L804">
        <v>0.1741</v>
      </c>
      <c r="M804">
        <v>31986690000</v>
      </c>
      <c r="N804">
        <v>2812320000</v>
      </c>
      <c r="O804">
        <v>1265980000</v>
      </c>
      <c r="P804">
        <v>1716300000</v>
      </c>
      <c r="Q804">
        <v>123280000</v>
      </c>
      <c r="R804">
        <v>5.6324554493235214E-10</v>
      </c>
      <c r="S804">
        <v>3.8541030659940117E-3</v>
      </c>
      <c r="U804">
        <v>4.7182175622542524E-2</v>
      </c>
      <c r="V804">
        <v>30.58</v>
      </c>
      <c r="W804">
        <v>30.3</v>
      </c>
      <c r="X804">
        <f t="shared" si="13"/>
        <v>9.198423127463785E-3</v>
      </c>
      <c r="Y804">
        <v>1413921</v>
      </c>
      <c r="Z804">
        <v>367350000</v>
      </c>
      <c r="AA804">
        <v>43096312.079999998</v>
      </c>
      <c r="AB804">
        <v>113870000</v>
      </c>
      <c r="AC804">
        <v>1.2416975498375339E-2</v>
      </c>
      <c r="AD804">
        <v>78488.22</v>
      </c>
      <c r="AE804">
        <v>0.17469999999999999</v>
      </c>
      <c r="AF804">
        <v>31986690000</v>
      </c>
      <c r="AG804">
        <v>2812320000</v>
      </c>
      <c r="AH804">
        <v>1265980000</v>
      </c>
      <c r="AI804">
        <v>1716300000</v>
      </c>
      <c r="AJ804">
        <v>123280000</v>
      </c>
      <c r="AK804">
        <v>3.948601677430834E-10</v>
      </c>
      <c r="AL804">
        <v>3.8541030659940117E-3</v>
      </c>
    </row>
    <row r="805" spans="2:38">
      <c r="B805">
        <v>2.5098848203541357E-2</v>
      </c>
      <c r="C805">
        <v>28.99</v>
      </c>
      <c r="D805">
        <v>28.8</v>
      </c>
      <c r="E805">
        <v>6.5755320989789832E-3</v>
      </c>
      <c r="F805">
        <v>933221</v>
      </c>
      <c r="G805">
        <v>367350000</v>
      </c>
      <c r="H805">
        <v>26876764.800000001</v>
      </c>
      <c r="I805">
        <v>113870000</v>
      </c>
      <c r="J805">
        <v>8.1954948625625711E-3</v>
      </c>
      <c r="K805">
        <v>78897.73</v>
      </c>
      <c r="L805">
        <v>0.1741</v>
      </c>
      <c r="M805">
        <v>31986690000</v>
      </c>
      <c r="N805">
        <v>2812320000</v>
      </c>
      <c r="O805">
        <v>1265980000</v>
      </c>
      <c r="P805">
        <v>1716300000</v>
      </c>
      <c r="Q805">
        <v>123280000</v>
      </c>
      <c r="R805">
        <v>5.0968300087167679E-10</v>
      </c>
      <c r="S805">
        <v>3.8541030659940117E-3</v>
      </c>
      <c r="U805">
        <v>1.658374792703151E-2</v>
      </c>
      <c r="V805">
        <v>30.03</v>
      </c>
      <c r="W805">
        <v>29.91</v>
      </c>
      <c r="X805">
        <f t="shared" si="13"/>
        <v>4.0040040040040369E-3</v>
      </c>
      <c r="Y805">
        <v>833350</v>
      </c>
      <c r="Z805">
        <v>367350000</v>
      </c>
      <c r="AA805">
        <v>24975499.5</v>
      </c>
      <c r="AB805">
        <v>113870000</v>
      </c>
      <c r="AC805">
        <v>7.3184333011328704E-3</v>
      </c>
      <c r="AD805">
        <v>78349.66</v>
      </c>
      <c r="AE805">
        <v>0.17469999999999999</v>
      </c>
      <c r="AF805">
        <v>31986690000</v>
      </c>
      <c r="AG805">
        <v>2812320000</v>
      </c>
      <c r="AH805">
        <v>1265980000</v>
      </c>
      <c r="AI805">
        <v>1716300000</v>
      </c>
      <c r="AJ805">
        <v>123280000</v>
      </c>
      <c r="AK805">
        <v>3.4436659630718975E-10</v>
      </c>
      <c r="AL805">
        <v>3.8541030659940117E-3</v>
      </c>
    </row>
    <row r="806" spans="2:38">
      <c r="B806">
        <v>2.3850085178875612E-2</v>
      </c>
      <c r="C806">
        <v>29.3</v>
      </c>
      <c r="D806">
        <v>29.28</v>
      </c>
      <c r="E806">
        <v>6.8282690337997866E-4</v>
      </c>
      <c r="F806">
        <v>1406780</v>
      </c>
      <c r="G806">
        <v>367350000</v>
      </c>
      <c r="H806">
        <v>41077976</v>
      </c>
      <c r="I806">
        <v>113870000</v>
      </c>
      <c r="J806">
        <v>1.2354263633968561E-2</v>
      </c>
      <c r="K806">
        <v>78863.34</v>
      </c>
      <c r="L806">
        <v>0.1741</v>
      </c>
      <c r="M806">
        <v>31986690000</v>
      </c>
      <c r="N806">
        <v>2812320000</v>
      </c>
      <c r="O806">
        <v>1265980000</v>
      </c>
      <c r="P806">
        <v>1716300000</v>
      </c>
      <c r="Q806">
        <v>123280000</v>
      </c>
      <c r="R806">
        <v>7.5264688261555194E-11</v>
      </c>
      <c r="S806">
        <v>3.8541030659940117E-3</v>
      </c>
      <c r="U806">
        <v>1.8166804293971949E-2</v>
      </c>
      <c r="V806">
        <v>30.25</v>
      </c>
      <c r="W806">
        <v>30.11</v>
      </c>
      <c r="X806">
        <f t="shared" si="13"/>
        <v>4.6388336646786136E-3</v>
      </c>
      <c r="Y806">
        <v>737541</v>
      </c>
      <c r="Z806">
        <v>367350000</v>
      </c>
      <c r="AA806">
        <v>22295864.43</v>
      </c>
      <c r="AB806">
        <v>113870000</v>
      </c>
      <c r="AC806">
        <v>6.4770439975410559E-3</v>
      </c>
      <c r="AD806">
        <v>77992.789999999994</v>
      </c>
      <c r="AE806">
        <v>0.17469999999999999</v>
      </c>
      <c r="AF806">
        <v>31986690000</v>
      </c>
      <c r="AG806">
        <v>2812320000</v>
      </c>
      <c r="AH806">
        <v>1265980000</v>
      </c>
      <c r="AI806">
        <v>1716300000</v>
      </c>
      <c r="AJ806">
        <v>123280000</v>
      </c>
      <c r="AK806">
        <v>0</v>
      </c>
      <c r="AL806">
        <v>3.8541030659940117E-3</v>
      </c>
    </row>
    <row r="807" spans="2:38">
      <c r="B807">
        <v>4.844290657439454E-2</v>
      </c>
      <c r="C807">
        <v>29.2</v>
      </c>
      <c r="D807">
        <v>29.06</v>
      </c>
      <c r="E807">
        <v>4.8060418812221279E-3</v>
      </c>
      <c r="F807">
        <v>3739151</v>
      </c>
      <c r="G807">
        <v>367350000</v>
      </c>
      <c r="H807">
        <v>108846685.61</v>
      </c>
      <c r="I807">
        <v>113870000</v>
      </c>
      <c r="J807">
        <v>3.2837015895319226E-2</v>
      </c>
      <c r="K807">
        <v>78848.009999999995</v>
      </c>
      <c r="L807">
        <v>0.1741</v>
      </c>
      <c r="M807">
        <v>31986690000</v>
      </c>
      <c r="N807">
        <v>2812320000</v>
      </c>
      <c r="O807">
        <v>1265980000</v>
      </c>
      <c r="P807">
        <v>1716300000</v>
      </c>
      <c r="Q807">
        <v>123280000</v>
      </c>
      <c r="R807">
        <v>1.9334761700563904E-10</v>
      </c>
      <c r="S807">
        <v>3.8541030659940117E-3</v>
      </c>
      <c r="U807">
        <v>4.620462046204616E-2</v>
      </c>
      <c r="V807">
        <v>30.5</v>
      </c>
      <c r="W807">
        <v>30.27</v>
      </c>
      <c r="X807">
        <f t="shared" si="13"/>
        <v>7.5695244363995539E-3</v>
      </c>
      <c r="Y807">
        <v>1469686</v>
      </c>
      <c r="Z807">
        <v>367350000</v>
      </c>
      <c r="AA807">
        <v>44428607.780000001</v>
      </c>
      <c r="AB807">
        <v>113870000</v>
      </c>
      <c r="AC807">
        <v>1.2906700623518046E-2</v>
      </c>
      <c r="AD807">
        <v>78084.240000000005</v>
      </c>
      <c r="AE807">
        <v>0.17469999999999999</v>
      </c>
      <c r="AF807">
        <v>31986690000</v>
      </c>
      <c r="AG807">
        <v>2812320000</v>
      </c>
      <c r="AH807">
        <v>1265980000</v>
      </c>
      <c r="AI807">
        <v>1716300000</v>
      </c>
      <c r="AJ807">
        <v>123280000</v>
      </c>
      <c r="AK807">
        <v>3.4778936102835915E-10</v>
      </c>
      <c r="AL807">
        <v>3.8541030659940117E-3</v>
      </c>
    </row>
    <row r="808" spans="2:38">
      <c r="B808">
        <v>0.15957797560171447</v>
      </c>
      <c r="C808">
        <v>28.39</v>
      </c>
      <c r="D808">
        <v>28.32</v>
      </c>
      <c r="E808">
        <v>2.4687004055722194E-3</v>
      </c>
      <c r="F808">
        <v>12126472</v>
      </c>
      <c r="G808">
        <v>367350000</v>
      </c>
      <c r="H808">
        <v>345725716.72000003</v>
      </c>
      <c r="I808">
        <v>113870000</v>
      </c>
      <c r="J808">
        <v>0.10649400193202775</v>
      </c>
      <c r="K808">
        <v>78356.320000000007</v>
      </c>
      <c r="L808">
        <v>0.17469999999999999</v>
      </c>
      <c r="M808">
        <v>31986690000</v>
      </c>
      <c r="N808">
        <v>2812320000</v>
      </c>
      <c r="O808">
        <v>1265980000</v>
      </c>
      <c r="P808">
        <v>1716300000</v>
      </c>
      <c r="Q808">
        <v>123280000</v>
      </c>
      <c r="R808">
        <v>2.2631000819284891E-10</v>
      </c>
      <c r="S808">
        <v>3.8541030659940117E-3</v>
      </c>
      <c r="U808">
        <v>4.7888260724974985E-2</v>
      </c>
      <c r="V808">
        <v>29.78</v>
      </c>
      <c r="W808">
        <v>29.65</v>
      </c>
      <c r="X808">
        <f t="shared" si="13"/>
        <v>4.374894834258878E-3</v>
      </c>
      <c r="Y808">
        <v>959365</v>
      </c>
      <c r="Z808">
        <v>367350000</v>
      </c>
      <c r="AA808">
        <v>28560296.050000001</v>
      </c>
      <c r="AB808">
        <v>113870000</v>
      </c>
      <c r="AC808">
        <v>8.4250900149293057E-3</v>
      </c>
      <c r="AD808">
        <v>78571.06</v>
      </c>
      <c r="AE808">
        <v>0.17469999999999999</v>
      </c>
      <c r="AF808">
        <v>31986690000</v>
      </c>
      <c r="AG808">
        <v>2812320000</v>
      </c>
      <c r="AH808">
        <v>1265980000</v>
      </c>
      <c r="AI808">
        <v>1716300000</v>
      </c>
      <c r="AJ808">
        <v>123280000</v>
      </c>
      <c r="AK808">
        <v>1.8919901468125653E-10</v>
      </c>
      <c r="AL808">
        <v>3.8541030659940117E-3</v>
      </c>
    </row>
    <row r="809" spans="2:38">
      <c r="B809">
        <v>4.2923995481684629E-2</v>
      </c>
      <c r="C809">
        <v>31.1</v>
      </c>
      <c r="D809">
        <v>31.05</v>
      </c>
      <c r="E809">
        <v>1.6090104585680034E-3</v>
      </c>
      <c r="F809">
        <v>1158609</v>
      </c>
      <c r="G809">
        <v>367350000</v>
      </c>
      <c r="H809">
        <v>35835776.369999997</v>
      </c>
      <c r="I809">
        <v>113870000</v>
      </c>
      <c r="J809">
        <v>1.0174839729516116E-2</v>
      </c>
      <c r="K809">
        <v>78283.3</v>
      </c>
      <c r="L809">
        <v>0.17469999999999999</v>
      </c>
      <c r="M809">
        <v>31986690000</v>
      </c>
      <c r="N809">
        <v>2812320000</v>
      </c>
      <c r="O809">
        <v>1265980000</v>
      </c>
      <c r="P809">
        <v>1716300000</v>
      </c>
      <c r="Q809">
        <v>123280000</v>
      </c>
      <c r="R809">
        <v>4.1198436375773805E-10</v>
      </c>
      <c r="S809">
        <v>3.8541030659940117E-3</v>
      </c>
      <c r="U809">
        <v>1.6977928692699491E-2</v>
      </c>
      <c r="V809">
        <v>29.7</v>
      </c>
      <c r="W809">
        <v>29.5</v>
      </c>
      <c r="X809">
        <f t="shared" si="13"/>
        <v>6.7567567567567328E-3</v>
      </c>
      <c r="Y809">
        <v>394601</v>
      </c>
      <c r="Z809">
        <v>367350000</v>
      </c>
      <c r="AA809">
        <v>11684135.609999999</v>
      </c>
      <c r="AB809">
        <v>113870000</v>
      </c>
      <c r="AC809">
        <v>3.4653640115921663E-3</v>
      </c>
      <c r="AD809">
        <v>78801.429999999993</v>
      </c>
      <c r="AE809">
        <v>0.17469999999999999</v>
      </c>
      <c r="AF809">
        <v>31986690000</v>
      </c>
      <c r="AG809">
        <v>2812320000</v>
      </c>
      <c r="AH809">
        <v>1265980000</v>
      </c>
      <c r="AI809">
        <v>1716300000</v>
      </c>
      <c r="AJ809">
        <v>123280000</v>
      </c>
      <c r="AK809">
        <v>5.5273166299052847E-10</v>
      </c>
      <c r="AL809">
        <v>3.8541030659940117E-3</v>
      </c>
    </row>
    <row r="810" spans="2:38">
      <c r="B810">
        <v>4.7182175622542524E-2</v>
      </c>
      <c r="C810">
        <v>30.58</v>
      </c>
      <c r="D810">
        <v>30.3</v>
      </c>
      <c r="E810">
        <v>9.198423127463785E-3</v>
      </c>
      <c r="F810">
        <v>1413921</v>
      </c>
      <c r="G810">
        <v>367350000</v>
      </c>
      <c r="H810">
        <v>43096312.079999998</v>
      </c>
      <c r="I810">
        <v>113870000</v>
      </c>
      <c r="J810">
        <v>1.2416975498375339E-2</v>
      </c>
      <c r="K810">
        <v>78488.22</v>
      </c>
      <c r="L810">
        <v>0.17469999999999999</v>
      </c>
      <c r="M810">
        <v>31986690000</v>
      </c>
      <c r="N810">
        <v>2812320000</v>
      </c>
      <c r="O810">
        <v>1265980000</v>
      </c>
      <c r="P810">
        <v>1716300000</v>
      </c>
      <c r="Q810">
        <v>123280000</v>
      </c>
      <c r="R810">
        <v>3.948601677430834E-10</v>
      </c>
      <c r="S810">
        <v>3.8541030659940117E-3</v>
      </c>
      <c r="U810">
        <v>2.3513375362071948E-2</v>
      </c>
      <c r="V810">
        <v>29.4</v>
      </c>
      <c r="W810">
        <v>29.38</v>
      </c>
      <c r="X810">
        <f t="shared" si="13"/>
        <v>6.8050357264374183E-4</v>
      </c>
      <c r="Y810">
        <v>336015</v>
      </c>
      <c r="Z810">
        <v>367350000</v>
      </c>
      <c r="AA810">
        <v>9885561.3000000007</v>
      </c>
      <c r="AB810">
        <v>113870000</v>
      </c>
      <c r="AC810">
        <v>2.9508650215157636E-3</v>
      </c>
      <c r="AD810">
        <v>78793.41</v>
      </c>
      <c r="AE810">
        <v>0.17469999999999999</v>
      </c>
      <c r="AF810">
        <v>31986690000</v>
      </c>
      <c r="AG810">
        <v>2812320000</v>
      </c>
      <c r="AH810">
        <v>1265980000</v>
      </c>
      <c r="AI810">
        <v>1716300000</v>
      </c>
      <c r="AJ810">
        <v>123280000</v>
      </c>
      <c r="AK810">
        <v>3.7681475890503261E-10</v>
      </c>
      <c r="AL810">
        <v>3.8541030659940117E-3</v>
      </c>
    </row>
    <row r="811" spans="2:38">
      <c r="B811">
        <v>1.658374792703151E-2</v>
      </c>
      <c r="C811">
        <v>30.03</v>
      </c>
      <c r="D811">
        <v>29.91</v>
      </c>
      <c r="E811">
        <v>4.0040040040040369E-3</v>
      </c>
      <c r="F811">
        <v>833350</v>
      </c>
      <c r="G811">
        <v>367350000</v>
      </c>
      <c r="H811">
        <v>24975499.5</v>
      </c>
      <c r="I811">
        <v>113870000</v>
      </c>
      <c r="J811">
        <v>7.3184333011328704E-3</v>
      </c>
      <c r="K811">
        <v>78349.66</v>
      </c>
      <c r="L811">
        <v>0.17469999999999999</v>
      </c>
      <c r="M811">
        <v>31986690000</v>
      </c>
      <c r="N811">
        <v>2812320000</v>
      </c>
      <c r="O811">
        <v>1265980000</v>
      </c>
      <c r="P811">
        <v>1716300000</v>
      </c>
      <c r="Q811">
        <v>123280000</v>
      </c>
      <c r="R811">
        <v>3.4436659630718975E-10</v>
      </c>
      <c r="S811">
        <v>3.8541030659940117E-3</v>
      </c>
      <c r="U811">
        <v>2.9546612328069193E-2</v>
      </c>
      <c r="V811">
        <v>29.5</v>
      </c>
      <c r="W811">
        <v>29.44</v>
      </c>
      <c r="X811">
        <f t="shared" si="13"/>
        <v>2.0359687818119689E-3</v>
      </c>
      <c r="Y811">
        <v>975375</v>
      </c>
      <c r="Z811">
        <v>367350000</v>
      </c>
      <c r="AA811">
        <v>28802823.75</v>
      </c>
      <c r="AB811">
        <v>113870000</v>
      </c>
      <c r="AC811">
        <v>8.5656889435320981E-3</v>
      </c>
      <c r="AD811">
        <v>78260.86</v>
      </c>
      <c r="AE811">
        <v>0.17469999999999999</v>
      </c>
      <c r="AF811">
        <v>31986690000</v>
      </c>
      <c r="AG811">
        <v>2812320000</v>
      </c>
      <c r="AH811">
        <v>1265980000</v>
      </c>
      <c r="AI811">
        <v>1716300000</v>
      </c>
      <c r="AJ811">
        <v>123280000</v>
      </c>
      <c r="AK811">
        <v>1.6538395852616062E-10</v>
      </c>
      <c r="AL811">
        <v>3.8541030659940117E-3</v>
      </c>
    </row>
    <row r="812" spans="2:38">
      <c r="B812">
        <v>1.8166804293971949E-2</v>
      </c>
      <c r="C812">
        <v>30.25</v>
      </c>
      <c r="D812">
        <v>30.11</v>
      </c>
      <c r="E812">
        <v>4.6388336646786136E-3</v>
      </c>
      <c r="F812">
        <v>737541</v>
      </c>
      <c r="G812">
        <v>367350000</v>
      </c>
      <c r="H812">
        <v>22295864.43</v>
      </c>
      <c r="I812">
        <v>113870000</v>
      </c>
      <c r="J812">
        <v>6.4770439975410559E-3</v>
      </c>
      <c r="K812">
        <v>77992.789999999994</v>
      </c>
      <c r="L812">
        <v>0.17469999999999999</v>
      </c>
      <c r="M812">
        <v>31986690000</v>
      </c>
      <c r="N812">
        <v>2812320000</v>
      </c>
      <c r="O812">
        <v>1265980000</v>
      </c>
      <c r="P812">
        <v>1716300000</v>
      </c>
      <c r="Q812">
        <v>123280000</v>
      </c>
      <c r="R812">
        <v>0</v>
      </c>
      <c r="S812">
        <v>3.8541030659940117E-3</v>
      </c>
      <c r="U812">
        <v>2.8857579358343165E-2</v>
      </c>
      <c r="V812">
        <v>29.36</v>
      </c>
      <c r="W812">
        <v>29.31</v>
      </c>
      <c r="X812">
        <f t="shared" si="13"/>
        <v>1.7044486108744063E-3</v>
      </c>
      <c r="Y812">
        <v>943892</v>
      </c>
      <c r="Z812">
        <v>367350000</v>
      </c>
      <c r="AA812">
        <v>27740985.879999999</v>
      </c>
      <c r="AB812">
        <v>113870000</v>
      </c>
      <c r="AC812">
        <v>8.2892069904276812E-3</v>
      </c>
      <c r="AD812">
        <v>77745.52</v>
      </c>
      <c r="AE812">
        <v>0.189</v>
      </c>
      <c r="AF812">
        <v>31986690000</v>
      </c>
      <c r="AG812">
        <v>2812320000</v>
      </c>
      <c r="AH812">
        <v>1265980000</v>
      </c>
      <c r="AI812">
        <v>1716300000</v>
      </c>
      <c r="AJ812">
        <v>123280000</v>
      </c>
      <c r="AK812">
        <v>4.8994557307349953E-11</v>
      </c>
      <c r="AL812">
        <v>3.8541030659940117E-3</v>
      </c>
    </row>
    <row r="813" spans="2:38">
      <c r="B813">
        <v>4.620462046204616E-2</v>
      </c>
      <c r="C813">
        <v>30.5</v>
      </c>
      <c r="D813">
        <v>30.27</v>
      </c>
      <c r="E813">
        <v>7.5695244363995539E-3</v>
      </c>
      <c r="F813">
        <v>1469686</v>
      </c>
      <c r="G813">
        <v>367350000</v>
      </c>
      <c r="H813">
        <v>44428607.780000001</v>
      </c>
      <c r="I813">
        <v>113870000</v>
      </c>
      <c r="J813">
        <v>1.2906700623518046E-2</v>
      </c>
      <c r="K813">
        <v>78084.240000000005</v>
      </c>
      <c r="L813">
        <v>0.17469999999999999</v>
      </c>
      <c r="M813">
        <v>31986690000</v>
      </c>
      <c r="N813">
        <v>2812320000</v>
      </c>
      <c r="O813">
        <v>1265980000</v>
      </c>
      <c r="P813">
        <v>1716300000</v>
      </c>
      <c r="Q813">
        <v>123280000</v>
      </c>
      <c r="R813">
        <v>3.4778936102835915E-10</v>
      </c>
      <c r="S813">
        <v>3.8541030659940117E-3</v>
      </c>
      <c r="U813">
        <v>4.1450777202072513E-2</v>
      </c>
      <c r="V813">
        <v>29.39</v>
      </c>
      <c r="W813">
        <v>29.33</v>
      </c>
      <c r="X813">
        <f t="shared" si="13"/>
        <v>2.0435967302453091E-3</v>
      </c>
      <c r="Y813">
        <v>1144239</v>
      </c>
      <c r="Z813">
        <v>367350000</v>
      </c>
      <c r="AA813">
        <v>33674953.770000003</v>
      </c>
      <c r="AB813">
        <v>113870000</v>
      </c>
      <c r="AC813">
        <v>1.0048643189602177E-2</v>
      </c>
      <c r="AD813">
        <v>77830.34</v>
      </c>
      <c r="AE813">
        <v>0.189</v>
      </c>
      <c r="AF813">
        <v>31986690000</v>
      </c>
      <c r="AG813">
        <v>2812320000</v>
      </c>
      <c r="AH813">
        <v>1265980000</v>
      </c>
      <c r="AI813">
        <v>1716300000</v>
      </c>
      <c r="AJ813">
        <v>123280000</v>
      </c>
      <c r="AK813">
        <v>1.1639189031093735E-9</v>
      </c>
      <c r="AL813">
        <v>3.8541030659940117E-3</v>
      </c>
    </row>
    <row r="814" spans="2:38">
      <c r="B814">
        <v>4.7888260724974985E-2</v>
      </c>
      <c r="C814">
        <v>29.78</v>
      </c>
      <c r="D814">
        <v>29.65</v>
      </c>
      <c r="E814">
        <v>4.374894834258878E-3</v>
      </c>
      <c r="F814">
        <v>959365</v>
      </c>
      <c r="G814">
        <v>367350000</v>
      </c>
      <c r="H814">
        <v>28560296.050000001</v>
      </c>
      <c r="I814">
        <v>113870000</v>
      </c>
      <c r="J814">
        <v>8.4250900149293057E-3</v>
      </c>
      <c r="K814">
        <v>78571.06</v>
      </c>
      <c r="L814">
        <v>0.17469999999999999</v>
      </c>
      <c r="M814">
        <v>31986690000</v>
      </c>
      <c r="N814">
        <v>2812320000</v>
      </c>
      <c r="O814">
        <v>1265980000</v>
      </c>
      <c r="P814">
        <v>1716300000</v>
      </c>
      <c r="Q814">
        <v>123280000</v>
      </c>
      <c r="R814">
        <v>1.8919901468125653E-10</v>
      </c>
      <c r="S814">
        <v>3.8541030659940117E-3</v>
      </c>
      <c r="U814">
        <v>2.1352313167259711E-2</v>
      </c>
      <c r="V814">
        <v>28.3</v>
      </c>
      <c r="W814">
        <v>28.25</v>
      </c>
      <c r="X814">
        <f t="shared" si="13"/>
        <v>1.7683465959328281E-3</v>
      </c>
      <c r="Y814">
        <v>484590</v>
      </c>
      <c r="Z814">
        <v>367350000</v>
      </c>
      <c r="AA814">
        <v>13723588.800000001</v>
      </c>
      <c r="AB814">
        <v>113870000</v>
      </c>
      <c r="AC814">
        <v>4.2556423992271891E-3</v>
      </c>
      <c r="AD814">
        <v>78045.31</v>
      </c>
      <c r="AE814">
        <v>0.189</v>
      </c>
      <c r="AF814">
        <v>31986690000</v>
      </c>
      <c r="AG814">
        <v>2812320000</v>
      </c>
      <c r="AH814">
        <v>1265980000</v>
      </c>
      <c r="AI814">
        <v>1716300000</v>
      </c>
      <c r="AJ814">
        <v>123280000</v>
      </c>
      <c r="AK814">
        <v>7.5388864720424849E-10</v>
      </c>
      <c r="AL814">
        <v>3.8541030659940117E-3</v>
      </c>
    </row>
    <row r="815" spans="2:38">
      <c r="B815">
        <v>1.6977928692699491E-2</v>
      </c>
      <c r="C815">
        <v>29.7</v>
      </c>
      <c r="D815">
        <v>29.5</v>
      </c>
      <c r="E815">
        <v>6.7567567567567328E-3</v>
      </c>
      <c r="F815">
        <v>394601</v>
      </c>
      <c r="G815">
        <v>367350000</v>
      </c>
      <c r="H815">
        <v>11684135.609999999</v>
      </c>
      <c r="I815">
        <v>113870000</v>
      </c>
      <c r="J815">
        <v>3.4653640115921663E-3</v>
      </c>
      <c r="K815">
        <v>78801.429999999993</v>
      </c>
      <c r="L815">
        <v>0.17469999999999999</v>
      </c>
      <c r="M815">
        <v>31986690000</v>
      </c>
      <c r="N815">
        <v>2812320000</v>
      </c>
      <c r="O815">
        <v>1265980000</v>
      </c>
      <c r="P815">
        <v>1716300000</v>
      </c>
      <c r="Q815">
        <v>123280000</v>
      </c>
      <c r="R815">
        <v>5.5273166299052847E-10</v>
      </c>
      <c r="S815">
        <v>3.8541030659940117E-3</v>
      </c>
      <c r="U815">
        <v>2.5843503230437864E-2</v>
      </c>
      <c r="V815">
        <v>28.1</v>
      </c>
      <c r="W815">
        <v>27.92</v>
      </c>
      <c r="X815">
        <f t="shared" si="13"/>
        <v>6.4262763298821744E-3</v>
      </c>
      <c r="Y815">
        <v>579709</v>
      </c>
      <c r="Z815">
        <v>367350000</v>
      </c>
      <c r="AA815">
        <v>16249243.270000001</v>
      </c>
      <c r="AB815">
        <v>113870000</v>
      </c>
      <c r="AC815">
        <v>5.0909721612364981E-3</v>
      </c>
      <c r="AD815">
        <v>78105.98</v>
      </c>
      <c r="AE815">
        <v>0.189</v>
      </c>
      <c r="AF815">
        <v>31986690000</v>
      </c>
      <c r="AG815">
        <v>2812320000</v>
      </c>
      <c r="AH815">
        <v>1265980000</v>
      </c>
      <c r="AI815">
        <v>1716300000</v>
      </c>
      <c r="AJ815">
        <v>123280000</v>
      </c>
      <c r="AK815">
        <v>3.311047026273128E-10</v>
      </c>
      <c r="AL815">
        <v>3.8541030659940117E-3</v>
      </c>
    </row>
    <row r="816" spans="2:38">
      <c r="B816">
        <v>2.3513375362071948E-2</v>
      </c>
      <c r="C816">
        <v>29.4</v>
      </c>
      <c r="D816">
        <v>29.38</v>
      </c>
      <c r="E816">
        <v>6.8050357264374183E-4</v>
      </c>
      <c r="F816">
        <v>336015</v>
      </c>
      <c r="G816">
        <v>367350000</v>
      </c>
      <c r="H816">
        <v>9885561.3000000007</v>
      </c>
      <c r="I816">
        <v>113870000</v>
      </c>
      <c r="J816">
        <v>2.9508650215157636E-3</v>
      </c>
      <c r="K816">
        <v>78793.41</v>
      </c>
      <c r="L816">
        <v>0.17469999999999999</v>
      </c>
      <c r="M816">
        <v>31986690000</v>
      </c>
      <c r="N816">
        <v>2812320000</v>
      </c>
      <c r="O816">
        <v>1265980000</v>
      </c>
      <c r="P816">
        <v>1716300000</v>
      </c>
      <c r="Q816">
        <v>123280000</v>
      </c>
      <c r="R816">
        <v>3.7681475890503261E-10</v>
      </c>
      <c r="S816">
        <v>3.8541030659940117E-3</v>
      </c>
      <c r="U816">
        <v>3.5669248784002822E-2</v>
      </c>
      <c r="V816">
        <v>27.99</v>
      </c>
      <c r="W816">
        <v>27.8</v>
      </c>
      <c r="X816">
        <f t="shared" si="13"/>
        <v>6.8112564975801298E-3</v>
      </c>
      <c r="Y816">
        <v>516594</v>
      </c>
      <c r="Z816">
        <v>367350000</v>
      </c>
      <c r="AA816">
        <v>14402640.719999999</v>
      </c>
      <c r="AB816">
        <v>113870000</v>
      </c>
      <c r="AC816">
        <v>4.5366997453236144E-3</v>
      </c>
      <c r="AD816">
        <v>77877.42</v>
      </c>
      <c r="AE816">
        <v>0.189</v>
      </c>
      <c r="AF816">
        <v>31986690000</v>
      </c>
      <c r="AG816">
        <v>2812320000</v>
      </c>
      <c r="AH816">
        <v>1265980000</v>
      </c>
      <c r="AI816">
        <v>1716300000</v>
      </c>
      <c r="AJ816">
        <v>123280000</v>
      </c>
      <c r="AK816">
        <v>1.1905474118232252E-9</v>
      </c>
      <c r="AL816">
        <v>3.8541030659940117E-3</v>
      </c>
    </row>
    <row r="817" spans="2:38">
      <c r="B817">
        <v>2.9546612328069193E-2</v>
      </c>
      <c r="C817">
        <v>29.5</v>
      </c>
      <c r="D817">
        <v>29.44</v>
      </c>
      <c r="E817">
        <v>2.0359687818119689E-3</v>
      </c>
      <c r="F817">
        <v>975375</v>
      </c>
      <c r="G817">
        <v>367350000</v>
      </c>
      <c r="H817">
        <v>28802823.75</v>
      </c>
      <c r="I817">
        <v>113870000</v>
      </c>
      <c r="J817">
        <v>8.5656889435320981E-3</v>
      </c>
      <c r="K817">
        <v>78260.86</v>
      </c>
      <c r="L817">
        <v>0.17469999999999999</v>
      </c>
      <c r="M817">
        <v>31986690000</v>
      </c>
      <c r="N817">
        <v>2812320000</v>
      </c>
      <c r="O817">
        <v>1265980000</v>
      </c>
      <c r="P817">
        <v>1716300000</v>
      </c>
      <c r="Q817">
        <v>123280000</v>
      </c>
      <c r="R817">
        <v>1.6538395852616062E-10</v>
      </c>
      <c r="S817">
        <v>3.8541030659940117E-3</v>
      </c>
      <c r="U817">
        <v>1.8214936247723135E-2</v>
      </c>
      <c r="V817">
        <v>27.5</v>
      </c>
      <c r="W817">
        <v>27.45</v>
      </c>
      <c r="X817">
        <f t="shared" si="13"/>
        <v>1.8198362147406992E-3</v>
      </c>
      <c r="Y817">
        <v>461555</v>
      </c>
      <c r="Z817">
        <v>367350000</v>
      </c>
      <c r="AA817">
        <v>12651222.550000001</v>
      </c>
      <c r="AB817">
        <v>113870000</v>
      </c>
      <c r="AC817">
        <v>4.0533503117590238E-3</v>
      </c>
      <c r="AD817">
        <v>77980.289999999994</v>
      </c>
      <c r="AE817">
        <v>0.189</v>
      </c>
      <c r="AF817">
        <v>31986690000</v>
      </c>
      <c r="AG817">
        <v>2812320000</v>
      </c>
      <c r="AH817">
        <v>1265980000</v>
      </c>
      <c r="AI817">
        <v>1716300000</v>
      </c>
      <c r="AJ817">
        <v>123280000</v>
      </c>
      <c r="AK817">
        <v>2.013486935663764E-10</v>
      </c>
      <c r="AL817">
        <v>3.8541030659940117E-3</v>
      </c>
    </row>
    <row r="818" spans="2:38">
      <c r="B818">
        <v>2.8857579358343165E-2</v>
      </c>
      <c r="C818">
        <v>29.36</v>
      </c>
      <c r="D818">
        <v>29.31</v>
      </c>
      <c r="E818">
        <v>1.7044486108744063E-3</v>
      </c>
      <c r="F818">
        <v>943892</v>
      </c>
      <c r="G818">
        <v>367350000</v>
      </c>
      <c r="H818">
        <v>27740985.879999999</v>
      </c>
      <c r="I818">
        <v>113870000</v>
      </c>
      <c r="J818">
        <v>8.2892069904276812E-3</v>
      </c>
      <c r="K818">
        <v>77745.52</v>
      </c>
      <c r="L818">
        <v>0.189</v>
      </c>
      <c r="M818">
        <v>31986690000</v>
      </c>
      <c r="N818">
        <v>2812320000</v>
      </c>
      <c r="O818">
        <v>1265980000</v>
      </c>
      <c r="P818">
        <v>1716300000</v>
      </c>
      <c r="Q818">
        <v>123280000</v>
      </c>
      <c r="R818">
        <v>4.8994557307349953E-11</v>
      </c>
      <c r="S818">
        <v>3.8541030659940117E-3</v>
      </c>
      <c r="U818">
        <v>2.5187077933929467E-2</v>
      </c>
      <c r="V818">
        <v>27.49</v>
      </c>
      <c r="W818">
        <v>27.45</v>
      </c>
      <c r="X818">
        <f t="shared" si="13"/>
        <v>1.4561339643246868E-3</v>
      </c>
      <c r="Y818">
        <v>676088</v>
      </c>
      <c r="Z818">
        <v>367350000</v>
      </c>
      <c r="AA818">
        <v>18578898.240000002</v>
      </c>
      <c r="AB818">
        <v>113870000</v>
      </c>
      <c r="AC818">
        <v>5.9373671730921229E-3</v>
      </c>
      <c r="AD818">
        <v>78569.59</v>
      </c>
      <c r="AE818">
        <v>0.189</v>
      </c>
      <c r="AF818">
        <v>31986690000</v>
      </c>
      <c r="AG818">
        <v>2812320000</v>
      </c>
      <c r="AH818">
        <v>1265980000</v>
      </c>
      <c r="AI818">
        <v>1716300000</v>
      </c>
      <c r="AJ818">
        <v>123280000</v>
      </c>
      <c r="AK818">
        <v>4.5429857376069457E-10</v>
      </c>
      <c r="AL818">
        <v>3.8541030659940117E-3</v>
      </c>
    </row>
    <row r="819" spans="2:38">
      <c r="B819">
        <v>4.1450777202072513E-2</v>
      </c>
      <c r="C819">
        <v>29.39</v>
      </c>
      <c r="D819">
        <v>29.33</v>
      </c>
      <c r="E819">
        <v>2.0435967302453091E-3</v>
      </c>
      <c r="F819">
        <v>1144239</v>
      </c>
      <c r="G819">
        <v>367350000</v>
      </c>
      <c r="H819">
        <v>33674953.770000003</v>
      </c>
      <c r="I819">
        <v>113870000</v>
      </c>
      <c r="J819">
        <v>1.0048643189602177E-2</v>
      </c>
      <c r="K819">
        <v>77830.34</v>
      </c>
      <c r="L819">
        <v>0.189</v>
      </c>
      <c r="M819">
        <v>31986690000</v>
      </c>
      <c r="N819">
        <v>2812320000</v>
      </c>
      <c r="O819">
        <v>1265980000</v>
      </c>
      <c r="P819">
        <v>1716300000</v>
      </c>
      <c r="Q819">
        <v>123280000</v>
      </c>
      <c r="R819">
        <v>1.1639189031093735E-9</v>
      </c>
      <c r="S819">
        <v>3.8541030659940117E-3</v>
      </c>
      <c r="U819">
        <v>1.8281535648994516E-2</v>
      </c>
      <c r="V819">
        <v>27.39</v>
      </c>
      <c r="W819">
        <v>27.36</v>
      </c>
      <c r="X819">
        <f t="shared" si="13"/>
        <v>1.0958904109589457E-3</v>
      </c>
      <c r="Y819">
        <v>219510</v>
      </c>
      <c r="Z819">
        <v>367350000</v>
      </c>
      <c r="AA819">
        <v>5981647.5</v>
      </c>
      <c r="AB819">
        <v>113870000</v>
      </c>
      <c r="AC819">
        <v>1.9277245982260473E-3</v>
      </c>
      <c r="AD819">
        <v>77874.22</v>
      </c>
      <c r="AE819">
        <v>0.189</v>
      </c>
      <c r="AF819">
        <v>31986690000</v>
      </c>
      <c r="AG819">
        <v>2812320000</v>
      </c>
      <c r="AH819">
        <v>1265980000</v>
      </c>
      <c r="AI819">
        <v>1716300000</v>
      </c>
      <c r="AJ819">
        <v>123280000</v>
      </c>
      <c r="AK819">
        <v>7.9375978515579278E-10</v>
      </c>
      <c r="AL819">
        <v>3.8541030659940117E-3</v>
      </c>
    </row>
    <row r="820" spans="2:38">
      <c r="B820">
        <v>2.1352313167259711E-2</v>
      </c>
      <c r="C820">
        <v>28.3</v>
      </c>
      <c r="D820">
        <v>28.25</v>
      </c>
      <c r="E820">
        <v>1.7683465959328281E-3</v>
      </c>
      <c r="F820">
        <v>484590</v>
      </c>
      <c r="G820">
        <v>367350000</v>
      </c>
      <c r="H820">
        <v>13723588.800000001</v>
      </c>
      <c r="I820">
        <v>113870000</v>
      </c>
      <c r="J820">
        <v>4.2556423992271891E-3</v>
      </c>
      <c r="K820">
        <v>78045.31</v>
      </c>
      <c r="L820">
        <v>0.189</v>
      </c>
      <c r="M820">
        <v>31986690000</v>
      </c>
      <c r="N820">
        <v>2812320000</v>
      </c>
      <c r="O820">
        <v>1265980000</v>
      </c>
      <c r="P820">
        <v>1716300000</v>
      </c>
      <c r="Q820">
        <v>123280000</v>
      </c>
      <c r="R820">
        <v>7.5388864720424849E-10</v>
      </c>
      <c r="S820">
        <v>3.8541030659940117E-3</v>
      </c>
      <c r="U820">
        <v>1.8985031033223788E-2</v>
      </c>
      <c r="V820">
        <v>27.36</v>
      </c>
      <c r="W820">
        <v>27.35</v>
      </c>
      <c r="X820">
        <f t="shared" si="13"/>
        <v>3.6556388228835718E-4</v>
      </c>
      <c r="Y820">
        <v>261400</v>
      </c>
      <c r="Z820">
        <v>367350000</v>
      </c>
      <c r="AA820">
        <v>7157132</v>
      </c>
      <c r="AB820">
        <v>113870000</v>
      </c>
      <c r="AC820">
        <v>2.2956002458944412E-3</v>
      </c>
      <c r="AD820">
        <v>77114.490000000005</v>
      </c>
      <c r="AE820">
        <v>0.189</v>
      </c>
      <c r="AF820">
        <v>31986690000</v>
      </c>
      <c r="AG820">
        <v>2812320000</v>
      </c>
      <c r="AH820">
        <v>1265980000</v>
      </c>
      <c r="AI820">
        <v>1716300000</v>
      </c>
      <c r="AJ820">
        <v>123280000</v>
      </c>
      <c r="AK820">
        <v>2.0382315220118641E-10</v>
      </c>
      <c r="AL820">
        <v>3.8541030659940117E-3</v>
      </c>
    </row>
    <row r="821" spans="2:38">
      <c r="B821">
        <v>2.5843503230437864E-2</v>
      </c>
      <c r="C821">
        <v>28.1</v>
      </c>
      <c r="D821">
        <v>27.92</v>
      </c>
      <c r="E821">
        <v>6.4262763298821744E-3</v>
      </c>
      <c r="F821">
        <v>579709</v>
      </c>
      <c r="G821">
        <v>367350000</v>
      </c>
      <c r="H821">
        <v>16249243.270000001</v>
      </c>
      <c r="I821">
        <v>113870000</v>
      </c>
      <c r="J821">
        <v>5.0909721612364981E-3</v>
      </c>
      <c r="K821">
        <v>78105.98</v>
      </c>
      <c r="L821">
        <v>0.189</v>
      </c>
      <c r="M821">
        <v>31986690000</v>
      </c>
      <c r="N821">
        <v>2812320000</v>
      </c>
      <c r="O821">
        <v>1265980000</v>
      </c>
      <c r="P821">
        <v>1716300000</v>
      </c>
      <c r="Q821">
        <v>123280000</v>
      </c>
      <c r="R821">
        <v>3.311047026273128E-10</v>
      </c>
      <c r="S821">
        <v>3.8541030659940117E-3</v>
      </c>
      <c r="U821">
        <v>2.5594149908592295E-2</v>
      </c>
      <c r="V821">
        <v>27.45</v>
      </c>
      <c r="W821">
        <v>27.3</v>
      </c>
      <c r="X821">
        <f t="shared" si="13"/>
        <v>5.4794520547944685E-3</v>
      </c>
      <c r="Y821">
        <v>276457</v>
      </c>
      <c r="Z821">
        <v>367350000</v>
      </c>
      <c r="AA821">
        <v>7580450.9400000004</v>
      </c>
      <c r="AB821">
        <v>113870000</v>
      </c>
      <c r="AC821">
        <v>2.4278299815579168E-3</v>
      </c>
      <c r="AD821">
        <v>77191.34</v>
      </c>
      <c r="AE821">
        <v>0.19489999999999999</v>
      </c>
      <c r="AF821">
        <v>31986690000</v>
      </c>
      <c r="AG821">
        <v>2812320000</v>
      </c>
      <c r="AH821">
        <v>1265980000</v>
      </c>
      <c r="AI821">
        <v>1716300000</v>
      </c>
      <c r="AJ821">
        <v>123280000</v>
      </c>
      <c r="AK821">
        <v>2.4099063473329505E-10</v>
      </c>
      <c r="AL821">
        <v>3.8541030659940117E-3</v>
      </c>
    </row>
    <row r="822" spans="2:38">
      <c r="B822">
        <v>3.5669248784002822E-2</v>
      </c>
      <c r="C822">
        <v>27.99</v>
      </c>
      <c r="D822">
        <v>27.8</v>
      </c>
      <c r="E822">
        <v>6.8112564975801298E-3</v>
      </c>
      <c r="F822">
        <v>516594</v>
      </c>
      <c r="G822">
        <v>367350000</v>
      </c>
      <c r="H822">
        <v>14402640.719999999</v>
      </c>
      <c r="I822">
        <v>113870000</v>
      </c>
      <c r="J822">
        <v>4.5366997453236144E-3</v>
      </c>
      <c r="K822">
        <v>77877.42</v>
      </c>
      <c r="L822">
        <v>0.189</v>
      </c>
      <c r="M822">
        <v>31986690000</v>
      </c>
      <c r="N822">
        <v>2812320000</v>
      </c>
      <c r="O822">
        <v>1265980000</v>
      </c>
      <c r="P822">
        <v>1716300000</v>
      </c>
      <c r="Q822">
        <v>123280000</v>
      </c>
      <c r="R822">
        <v>1.1905474118232252E-9</v>
      </c>
      <c r="S822">
        <v>3.8541030659940117E-3</v>
      </c>
      <c r="U822">
        <v>4.3165467625899262E-2</v>
      </c>
      <c r="V822">
        <v>27.25</v>
      </c>
      <c r="W822">
        <v>27.21</v>
      </c>
      <c r="X822">
        <f t="shared" si="13"/>
        <v>1.4689680499448824E-3</v>
      </c>
      <c r="Y822">
        <v>1169077</v>
      </c>
      <c r="Z822">
        <v>367350000</v>
      </c>
      <c r="AA822">
        <v>31997637.490000002</v>
      </c>
      <c r="AB822">
        <v>113870000</v>
      </c>
      <c r="AC822">
        <v>1.0266769122683763E-2</v>
      </c>
      <c r="AD822">
        <v>77084.490000000005</v>
      </c>
      <c r="AE822">
        <v>0.19489999999999999</v>
      </c>
      <c r="AF822">
        <v>31986690000</v>
      </c>
      <c r="AG822">
        <v>2812320000</v>
      </c>
      <c r="AH822">
        <v>1265980000</v>
      </c>
      <c r="AI822">
        <v>1716300000</v>
      </c>
      <c r="AJ822">
        <v>123280000</v>
      </c>
      <c r="AK822">
        <v>6.8134050959615041E-10</v>
      </c>
      <c r="AL822">
        <v>3.8541030659940117E-3</v>
      </c>
    </row>
    <row r="823" spans="2:38">
      <c r="B823">
        <v>1.8214936247723135E-2</v>
      </c>
      <c r="C823">
        <v>27.5</v>
      </c>
      <c r="D823">
        <v>27.45</v>
      </c>
      <c r="E823">
        <v>1.8198362147406992E-3</v>
      </c>
      <c r="F823">
        <v>461555</v>
      </c>
      <c r="G823">
        <v>367350000</v>
      </c>
      <c r="H823">
        <v>12651222.550000001</v>
      </c>
      <c r="I823">
        <v>113870000</v>
      </c>
      <c r="J823">
        <v>4.0533503117590238E-3</v>
      </c>
      <c r="K823">
        <v>77980.289999999994</v>
      </c>
      <c r="L823">
        <v>0.189</v>
      </c>
      <c r="M823">
        <v>31986690000</v>
      </c>
      <c r="N823">
        <v>2812320000</v>
      </c>
      <c r="O823">
        <v>1265980000</v>
      </c>
      <c r="P823">
        <v>1716300000</v>
      </c>
      <c r="Q823">
        <v>123280000</v>
      </c>
      <c r="R823">
        <v>2.013486935663764E-10</v>
      </c>
      <c r="S823">
        <v>3.8541030659940117E-3</v>
      </c>
      <c r="U823">
        <v>2.3796838927366299E-2</v>
      </c>
      <c r="V823">
        <v>28.19</v>
      </c>
      <c r="W823">
        <v>28.1</v>
      </c>
      <c r="X823">
        <f t="shared" si="13"/>
        <v>3.1977260614673955E-3</v>
      </c>
      <c r="Y823">
        <v>520802</v>
      </c>
      <c r="Z823">
        <v>367350000</v>
      </c>
      <c r="AA823">
        <v>14572039.960000001</v>
      </c>
      <c r="AB823">
        <v>113870000</v>
      </c>
      <c r="AC823">
        <v>4.5736541670325813E-3</v>
      </c>
      <c r="AD823">
        <v>78225.98</v>
      </c>
      <c r="AE823">
        <v>0.19489999999999999</v>
      </c>
      <c r="AF823">
        <v>31986690000</v>
      </c>
      <c r="AG823">
        <v>2812320000</v>
      </c>
      <c r="AH823">
        <v>1265980000</v>
      </c>
      <c r="AI823">
        <v>1716300000</v>
      </c>
      <c r="AJ823">
        <v>123280000</v>
      </c>
      <c r="AK823">
        <v>4.4433175874195728E-10</v>
      </c>
      <c r="AL823">
        <v>3.8541030659940117E-3</v>
      </c>
    </row>
    <row r="824" spans="2:38">
      <c r="B824">
        <v>2.5187077933929467E-2</v>
      </c>
      <c r="C824">
        <v>27.49</v>
      </c>
      <c r="D824">
        <v>27.45</v>
      </c>
      <c r="E824">
        <v>1.4561339643246868E-3</v>
      </c>
      <c r="F824">
        <v>676088</v>
      </c>
      <c r="G824">
        <v>367350000</v>
      </c>
      <c r="H824">
        <v>18578898.240000002</v>
      </c>
      <c r="I824">
        <v>113870000</v>
      </c>
      <c r="J824">
        <v>5.9373671730921229E-3</v>
      </c>
      <c r="K824">
        <v>78569.59</v>
      </c>
      <c r="L824">
        <v>0.189</v>
      </c>
      <c r="M824">
        <v>31986690000</v>
      </c>
      <c r="N824">
        <v>2812320000</v>
      </c>
      <c r="O824">
        <v>1265980000</v>
      </c>
      <c r="P824">
        <v>1716300000</v>
      </c>
      <c r="Q824">
        <v>123280000</v>
      </c>
      <c r="R824">
        <v>4.5429857376069457E-10</v>
      </c>
      <c r="S824">
        <v>3.8541030659940117E-3</v>
      </c>
      <c r="U824">
        <v>3.3776500179662286E-2</v>
      </c>
      <c r="V824">
        <v>27.87</v>
      </c>
      <c r="W824">
        <v>27.8</v>
      </c>
      <c r="X824">
        <f t="shared" si="13"/>
        <v>2.5148194718879208E-3</v>
      </c>
      <c r="Y824">
        <v>931529</v>
      </c>
      <c r="Z824">
        <v>367350000</v>
      </c>
      <c r="AA824">
        <v>25896506.199999999</v>
      </c>
      <c r="AB824">
        <v>113870000</v>
      </c>
      <c r="AC824">
        <v>8.1806358127689462E-3</v>
      </c>
      <c r="AD824">
        <v>77740.31</v>
      </c>
      <c r="AE824">
        <v>0.19489999999999999</v>
      </c>
      <c r="AF824">
        <v>31986690000</v>
      </c>
      <c r="AG824">
        <v>2812320000</v>
      </c>
      <c r="AH824">
        <v>1265980000</v>
      </c>
      <c r="AI824">
        <v>1716300000</v>
      </c>
      <c r="AJ824">
        <v>123280000</v>
      </c>
      <c r="AK824">
        <v>1.5340112823126294E-10</v>
      </c>
      <c r="AL824">
        <v>3.8541030659940117E-3</v>
      </c>
    </row>
    <row r="825" spans="2:38">
      <c r="B825">
        <v>1.8281535648994516E-2</v>
      </c>
      <c r="C825">
        <v>27.39</v>
      </c>
      <c r="D825">
        <v>27.36</v>
      </c>
      <c r="E825">
        <v>1.0958904109589457E-3</v>
      </c>
      <c r="F825">
        <v>219510</v>
      </c>
      <c r="G825">
        <v>367350000</v>
      </c>
      <c r="H825">
        <v>5981647.5</v>
      </c>
      <c r="I825">
        <v>113870000</v>
      </c>
      <c r="J825">
        <v>1.9277245982260473E-3</v>
      </c>
      <c r="K825">
        <v>77874.22</v>
      </c>
      <c r="L825">
        <v>0.189</v>
      </c>
      <c r="M825">
        <v>31986690000</v>
      </c>
      <c r="N825">
        <v>2812320000</v>
      </c>
      <c r="O825">
        <v>1265980000</v>
      </c>
      <c r="P825">
        <v>1716300000</v>
      </c>
      <c r="Q825">
        <v>123280000</v>
      </c>
      <c r="R825">
        <v>7.9375978515579278E-10</v>
      </c>
      <c r="S825">
        <v>3.8541030659940117E-3</v>
      </c>
      <c r="U825">
        <v>7.0716228467815015E-2</v>
      </c>
      <c r="V825">
        <v>27.7</v>
      </c>
      <c r="W825">
        <v>27.65</v>
      </c>
      <c r="X825">
        <f t="shared" si="13"/>
        <v>1.8066847335140278E-3</v>
      </c>
      <c r="Y825">
        <v>3332385</v>
      </c>
      <c r="Z825">
        <v>367350000</v>
      </c>
      <c r="AA825">
        <v>92273740.650000006</v>
      </c>
      <c r="AB825">
        <v>113870000</v>
      </c>
      <c r="AC825">
        <v>2.9264819531044175E-2</v>
      </c>
      <c r="AD825">
        <v>77886.990000000005</v>
      </c>
      <c r="AE825">
        <v>0.19489999999999999</v>
      </c>
      <c r="AF825">
        <v>31986690000</v>
      </c>
      <c r="AG825">
        <v>2812320000</v>
      </c>
      <c r="AH825">
        <v>1265980000</v>
      </c>
      <c r="AI825">
        <v>1716300000</v>
      </c>
      <c r="AJ825">
        <v>123280000</v>
      </c>
      <c r="AK825">
        <v>4.7385188497226897E-10</v>
      </c>
      <c r="AL825">
        <v>3.8541030659940117E-3</v>
      </c>
    </row>
    <row r="826" spans="2:38">
      <c r="B826">
        <v>1.8985031033223788E-2</v>
      </c>
      <c r="C826">
        <v>27.36</v>
      </c>
      <c r="D826">
        <v>27.35</v>
      </c>
      <c r="E826">
        <v>3.6556388228835718E-4</v>
      </c>
      <c r="F826">
        <v>261400</v>
      </c>
      <c r="G826">
        <v>367350000</v>
      </c>
      <c r="H826">
        <v>7157132</v>
      </c>
      <c r="I826">
        <v>113870000</v>
      </c>
      <c r="J826">
        <v>2.2956002458944412E-3</v>
      </c>
      <c r="K826">
        <v>77114.490000000005</v>
      </c>
      <c r="L826">
        <v>0.189</v>
      </c>
      <c r="M826">
        <v>31986690000</v>
      </c>
      <c r="N826">
        <v>2812320000</v>
      </c>
      <c r="O826">
        <v>1265980000</v>
      </c>
      <c r="P826">
        <v>1716300000</v>
      </c>
      <c r="Q826">
        <v>123280000</v>
      </c>
      <c r="R826">
        <v>2.0382315220118641E-10</v>
      </c>
      <c r="S826">
        <v>3.8541030659940117E-3</v>
      </c>
      <c r="U826">
        <v>3.717472118959108E-2</v>
      </c>
      <c r="V826">
        <v>26.5</v>
      </c>
      <c r="W826">
        <v>26.45</v>
      </c>
      <c r="X826">
        <f t="shared" si="13"/>
        <v>1.8885741265344932E-3</v>
      </c>
      <c r="Y826">
        <v>1087095</v>
      </c>
      <c r="Z826">
        <v>367350000</v>
      </c>
      <c r="AA826">
        <v>28840630.350000001</v>
      </c>
      <c r="AB826">
        <v>113870000</v>
      </c>
      <c r="AC826">
        <v>9.5468077632387804E-3</v>
      </c>
      <c r="AD826">
        <v>78628.81</v>
      </c>
      <c r="AE826">
        <v>0.19489999999999999</v>
      </c>
      <c r="AF826">
        <v>31986690000</v>
      </c>
      <c r="AG826">
        <v>2812320000</v>
      </c>
      <c r="AH826">
        <v>1265980000</v>
      </c>
      <c r="AI826">
        <v>1716300000</v>
      </c>
      <c r="AJ826">
        <v>123280000</v>
      </c>
      <c r="AK826">
        <v>0</v>
      </c>
      <c r="AL826">
        <v>3.8541030659940117E-3</v>
      </c>
    </row>
    <row r="827" spans="2:38">
      <c r="B827">
        <v>2.5594149908592295E-2</v>
      </c>
      <c r="C827">
        <v>27.45</v>
      </c>
      <c r="D827">
        <v>27.3</v>
      </c>
      <c r="E827">
        <v>5.4794520547944685E-3</v>
      </c>
      <c r="F827">
        <v>276457</v>
      </c>
      <c r="G827">
        <v>367350000</v>
      </c>
      <c r="H827">
        <v>7580450.9400000004</v>
      </c>
      <c r="I827">
        <v>113870000</v>
      </c>
      <c r="J827">
        <v>2.4278299815579168E-3</v>
      </c>
      <c r="K827">
        <v>77191.34</v>
      </c>
      <c r="L827">
        <v>0.19489999999999999</v>
      </c>
      <c r="M827">
        <v>31986690000</v>
      </c>
      <c r="N827">
        <v>2812320000</v>
      </c>
      <c r="O827">
        <v>1265980000</v>
      </c>
      <c r="P827">
        <v>1716300000</v>
      </c>
      <c r="Q827">
        <v>123280000</v>
      </c>
      <c r="R827">
        <v>2.4099063473329505E-10</v>
      </c>
      <c r="S827">
        <v>3.8541030659940117E-3</v>
      </c>
      <c r="U827">
        <v>4.3273753527751591E-2</v>
      </c>
      <c r="V827">
        <v>26.79</v>
      </c>
      <c r="W827">
        <v>26.45</v>
      </c>
      <c r="X827">
        <f t="shared" si="13"/>
        <v>1.2772351615326819E-2</v>
      </c>
      <c r="Y827">
        <v>2015605</v>
      </c>
      <c r="Z827">
        <v>367350000</v>
      </c>
      <c r="AA827">
        <v>53474000.650000006</v>
      </c>
      <c r="AB827">
        <v>113870000</v>
      </c>
      <c r="AC827">
        <v>1.7700930886098181E-2</v>
      </c>
      <c r="AD827">
        <v>78827.740000000005</v>
      </c>
      <c r="AE827">
        <v>0.19489999999999999</v>
      </c>
      <c r="AF827">
        <v>31986690000</v>
      </c>
      <c r="AG827">
        <v>2812320000</v>
      </c>
      <c r="AH827">
        <v>1265980000</v>
      </c>
      <c r="AI827">
        <v>1716300000</v>
      </c>
      <c r="AJ827">
        <v>123280000</v>
      </c>
      <c r="AK827">
        <v>3.0809544049778515E-10</v>
      </c>
      <c r="AL827">
        <v>3.8541030659940117E-3</v>
      </c>
    </row>
    <row r="828" spans="2:38">
      <c r="B828">
        <v>4.3165467625899262E-2</v>
      </c>
      <c r="C828">
        <v>27.25</v>
      </c>
      <c r="D828">
        <v>27.21</v>
      </c>
      <c r="E828">
        <v>1.4689680499448824E-3</v>
      </c>
      <c r="F828">
        <v>1169077</v>
      </c>
      <c r="G828">
        <v>367350000</v>
      </c>
      <c r="H828">
        <v>31997637.490000002</v>
      </c>
      <c r="I828">
        <v>113870000</v>
      </c>
      <c r="J828">
        <v>1.0266769122683763E-2</v>
      </c>
      <c r="K828">
        <v>77084.490000000005</v>
      </c>
      <c r="L828">
        <v>0.19489999999999999</v>
      </c>
      <c r="M828">
        <v>31986690000</v>
      </c>
      <c r="N828">
        <v>2812320000</v>
      </c>
      <c r="O828">
        <v>1265980000</v>
      </c>
      <c r="P828">
        <v>1716300000</v>
      </c>
      <c r="Q828">
        <v>123280000</v>
      </c>
      <c r="R828">
        <v>6.8134050959615041E-10</v>
      </c>
      <c r="S828">
        <v>3.8541030659940117E-3</v>
      </c>
      <c r="U828">
        <v>4.913349838126068E-2</v>
      </c>
      <c r="V828">
        <v>25.9</v>
      </c>
      <c r="W828">
        <v>25.85</v>
      </c>
      <c r="X828">
        <f t="shared" si="13"/>
        <v>1.9323671497583443E-3</v>
      </c>
      <c r="Y828">
        <v>1376924</v>
      </c>
      <c r="Z828">
        <v>367350000</v>
      </c>
      <c r="AA828">
        <v>35937716.399999999</v>
      </c>
      <c r="AB828">
        <v>113870000</v>
      </c>
      <c r="AC828">
        <v>1.2092069904276807E-2</v>
      </c>
      <c r="AD828">
        <v>78029.509999999995</v>
      </c>
      <c r="AE828">
        <v>0.19489999999999999</v>
      </c>
      <c r="AF828">
        <v>31986690000</v>
      </c>
      <c r="AG828">
        <v>2812320000</v>
      </c>
      <c r="AH828">
        <v>1265980000</v>
      </c>
      <c r="AI828">
        <v>1716300000</v>
      </c>
      <c r="AJ828">
        <v>123280000</v>
      </c>
      <c r="AK828">
        <v>5.7426850546015973E-10</v>
      </c>
      <c r="AL828">
        <v>3.8541030659940117E-3</v>
      </c>
    </row>
    <row r="829" spans="2:38">
      <c r="B829">
        <v>2.3796838927366299E-2</v>
      </c>
      <c r="C829">
        <v>28.19</v>
      </c>
      <c r="D829">
        <v>28.1</v>
      </c>
      <c r="E829">
        <v>3.1977260614673955E-3</v>
      </c>
      <c r="F829">
        <v>520802</v>
      </c>
      <c r="G829">
        <v>367350000</v>
      </c>
      <c r="H829">
        <v>14572039.960000001</v>
      </c>
      <c r="I829">
        <v>113870000</v>
      </c>
      <c r="J829">
        <v>4.5736541670325813E-3</v>
      </c>
      <c r="K829">
        <v>78225.98</v>
      </c>
      <c r="L829">
        <v>0.19489999999999999</v>
      </c>
      <c r="M829">
        <v>31986690000</v>
      </c>
      <c r="N829">
        <v>2812320000</v>
      </c>
      <c r="O829">
        <v>1265980000</v>
      </c>
      <c r="P829">
        <v>1716300000</v>
      </c>
      <c r="Q829">
        <v>123280000</v>
      </c>
      <c r="R829">
        <v>4.4433175874195728E-10</v>
      </c>
      <c r="S829">
        <v>3.8541030659940117E-3</v>
      </c>
      <c r="U829">
        <v>3.7414335988146016E-2</v>
      </c>
      <c r="V829">
        <v>26.9</v>
      </c>
      <c r="W829">
        <v>26.5</v>
      </c>
      <c r="X829">
        <f t="shared" si="13"/>
        <v>1.4981273408239647E-2</v>
      </c>
      <c r="Y829">
        <v>1891916</v>
      </c>
      <c r="Z829">
        <v>367350000</v>
      </c>
      <c r="AA829">
        <v>50419561.399999999</v>
      </c>
      <c r="AB829">
        <v>113870000</v>
      </c>
      <c r="AC829">
        <v>1.661470097479582E-2</v>
      </c>
      <c r="AD829">
        <v>78469.33</v>
      </c>
      <c r="AE829">
        <v>0.19489999999999999</v>
      </c>
      <c r="AF829">
        <v>31986690000</v>
      </c>
      <c r="AG829">
        <v>2812320000</v>
      </c>
      <c r="AH829">
        <v>1265980000</v>
      </c>
      <c r="AI829">
        <v>1716300000</v>
      </c>
      <c r="AJ829">
        <v>123280000</v>
      </c>
      <c r="AK829">
        <v>1.7701960855782231E-10</v>
      </c>
      <c r="AL829">
        <v>3.8541030659940117E-3</v>
      </c>
    </row>
    <row r="830" spans="2:38">
      <c r="B830">
        <v>3.3776500179662286E-2</v>
      </c>
      <c r="C830">
        <v>27.87</v>
      </c>
      <c r="D830">
        <v>27.8</v>
      </c>
      <c r="E830">
        <v>2.5148194718879208E-3</v>
      </c>
      <c r="F830">
        <v>931529</v>
      </c>
      <c r="G830">
        <v>367350000</v>
      </c>
      <c r="H830">
        <v>25896506.199999999</v>
      </c>
      <c r="I830">
        <v>113870000</v>
      </c>
      <c r="J830">
        <v>8.1806358127689462E-3</v>
      </c>
      <c r="K830">
        <v>77740.31</v>
      </c>
      <c r="L830">
        <v>0.19489999999999999</v>
      </c>
      <c r="M830">
        <v>31986690000</v>
      </c>
      <c r="N830">
        <v>2812320000</v>
      </c>
      <c r="O830">
        <v>1265980000</v>
      </c>
      <c r="P830">
        <v>1716300000</v>
      </c>
      <c r="Q830">
        <v>123280000</v>
      </c>
      <c r="R830">
        <v>1.5340112823126294E-10</v>
      </c>
      <c r="S830">
        <v>3.8541030659940117E-3</v>
      </c>
      <c r="U830">
        <v>4.6460581671849258E-2</v>
      </c>
      <c r="V830">
        <v>26.89</v>
      </c>
      <c r="W830">
        <v>26.85</v>
      </c>
      <c r="X830">
        <f t="shared" si="13"/>
        <v>1.4886490509861982E-3</v>
      </c>
      <c r="Y830">
        <v>1663501</v>
      </c>
      <c r="Z830">
        <v>367350000</v>
      </c>
      <c r="AA830">
        <v>44731541.890000001</v>
      </c>
      <c r="AB830">
        <v>113870000</v>
      </c>
      <c r="AC830">
        <v>1.4608773162378151E-2</v>
      </c>
      <c r="AD830">
        <v>79397.009999999995</v>
      </c>
      <c r="AE830">
        <v>0.19489999999999999</v>
      </c>
      <c r="AF830">
        <v>31986690000</v>
      </c>
      <c r="AG830">
        <v>2812320000</v>
      </c>
      <c r="AH830">
        <v>1265980000</v>
      </c>
      <c r="AI830">
        <v>1716300000</v>
      </c>
      <c r="AJ830">
        <v>123280000</v>
      </c>
      <c r="AK830">
        <v>6.6937732698576286E-10</v>
      </c>
      <c r="AL830">
        <v>3.8541030659940117E-3</v>
      </c>
    </row>
    <row r="831" spans="2:38">
      <c r="B831">
        <v>7.0716228467815015E-2</v>
      </c>
      <c r="C831">
        <v>27.7</v>
      </c>
      <c r="D831">
        <v>27.65</v>
      </c>
      <c r="E831">
        <v>1.8066847335140278E-3</v>
      </c>
      <c r="F831">
        <v>3332385</v>
      </c>
      <c r="G831">
        <v>367350000</v>
      </c>
      <c r="H831">
        <v>92273740.650000006</v>
      </c>
      <c r="I831">
        <v>113870000</v>
      </c>
      <c r="J831">
        <v>2.9264819531044175E-2</v>
      </c>
      <c r="K831">
        <v>77886.990000000005</v>
      </c>
      <c r="L831">
        <v>0.19489999999999999</v>
      </c>
      <c r="M831">
        <v>31986690000</v>
      </c>
      <c r="N831">
        <v>2812320000</v>
      </c>
      <c r="O831">
        <v>1265980000</v>
      </c>
      <c r="P831">
        <v>1716300000</v>
      </c>
      <c r="Q831">
        <v>123280000</v>
      </c>
      <c r="R831">
        <v>4.7385188497226897E-10</v>
      </c>
      <c r="S831">
        <v>3.8541030659940117E-3</v>
      </c>
      <c r="U831">
        <v>5.1118210862619848E-2</v>
      </c>
      <c r="V831">
        <v>27.71</v>
      </c>
      <c r="W831">
        <v>27.7</v>
      </c>
      <c r="X831">
        <f t="shared" si="13"/>
        <v>3.6094567767556626E-4</v>
      </c>
      <c r="Y831">
        <v>740934</v>
      </c>
      <c r="Z831">
        <v>367350000</v>
      </c>
      <c r="AA831">
        <v>20538690.48</v>
      </c>
      <c r="AB831">
        <v>113870000</v>
      </c>
      <c r="AC831">
        <v>6.5068411346272063E-3</v>
      </c>
      <c r="AD831">
        <v>78987.09</v>
      </c>
      <c r="AE831">
        <v>0.19489999999999999</v>
      </c>
      <c r="AF831">
        <v>31986690000</v>
      </c>
      <c r="AG831">
        <v>2812320000</v>
      </c>
      <c r="AH831">
        <v>1265980000</v>
      </c>
      <c r="AI831">
        <v>1716300000</v>
      </c>
      <c r="AJ831">
        <v>123280000</v>
      </c>
      <c r="AK831">
        <v>8.7664018449123158E-11</v>
      </c>
      <c r="AL831">
        <v>3.8541030659940117E-3</v>
      </c>
    </row>
    <row r="832" spans="2:38">
      <c r="B832">
        <v>3.717472118959108E-2</v>
      </c>
      <c r="C832">
        <v>26.5</v>
      </c>
      <c r="D832">
        <v>26.45</v>
      </c>
      <c r="E832">
        <v>1.8885741265344932E-3</v>
      </c>
      <c r="F832">
        <v>1087095</v>
      </c>
      <c r="G832">
        <v>367350000</v>
      </c>
      <c r="H832">
        <v>28840630.350000001</v>
      </c>
      <c r="I832">
        <v>113870000</v>
      </c>
      <c r="J832">
        <v>9.5468077632387804E-3</v>
      </c>
      <c r="K832">
        <v>78628.81</v>
      </c>
      <c r="L832">
        <v>0.19489999999999999</v>
      </c>
      <c r="M832">
        <v>31986690000</v>
      </c>
      <c r="N832">
        <v>2812320000</v>
      </c>
      <c r="O832">
        <v>1265980000</v>
      </c>
      <c r="P832">
        <v>1716300000</v>
      </c>
      <c r="Q832">
        <v>123280000</v>
      </c>
      <c r="R832">
        <v>0</v>
      </c>
      <c r="S832">
        <v>3.8541030659940117E-3</v>
      </c>
      <c r="U832">
        <v>7.0175438596491224E-2</v>
      </c>
      <c r="V832">
        <v>27.9</v>
      </c>
      <c r="W832">
        <v>27.69</v>
      </c>
      <c r="X832">
        <f t="shared" si="13"/>
        <v>7.5553157042632588E-3</v>
      </c>
      <c r="Y832">
        <v>1519512</v>
      </c>
      <c r="Z832">
        <v>367350000</v>
      </c>
      <c r="AA832">
        <v>42196848.240000002</v>
      </c>
      <c r="AB832">
        <v>113870000</v>
      </c>
      <c r="AC832">
        <v>1.3344269781329587E-2</v>
      </c>
      <c r="AD832">
        <v>78539.19</v>
      </c>
      <c r="AE832">
        <v>0.19489999999999999</v>
      </c>
      <c r="AF832">
        <v>31986690000</v>
      </c>
      <c r="AG832">
        <v>2812320000</v>
      </c>
      <c r="AH832">
        <v>1265980000</v>
      </c>
      <c r="AI832">
        <v>1716300000</v>
      </c>
      <c r="AJ832">
        <v>123280000</v>
      </c>
      <c r="AK832">
        <v>0</v>
      </c>
      <c r="AL832">
        <v>3.8541030659940117E-3</v>
      </c>
    </row>
    <row r="833" spans="2:38">
      <c r="B833">
        <v>4.3273753527751591E-2</v>
      </c>
      <c r="C833">
        <v>26.79</v>
      </c>
      <c r="D833">
        <v>26.45</v>
      </c>
      <c r="E833">
        <v>1.2772351615326819E-2</v>
      </c>
      <c r="F833">
        <v>2015605</v>
      </c>
      <c r="G833">
        <v>367350000</v>
      </c>
      <c r="H833">
        <v>53474000.650000006</v>
      </c>
      <c r="I833">
        <v>113870000</v>
      </c>
      <c r="J833">
        <v>1.7700930886098181E-2</v>
      </c>
      <c r="K833">
        <v>78827.740000000005</v>
      </c>
      <c r="L833">
        <v>0.19489999999999999</v>
      </c>
      <c r="M833">
        <v>31986690000</v>
      </c>
      <c r="N833">
        <v>2812320000</v>
      </c>
      <c r="O833">
        <v>1265980000</v>
      </c>
      <c r="P833">
        <v>1716300000</v>
      </c>
      <c r="Q833">
        <v>123280000</v>
      </c>
      <c r="R833">
        <v>3.0809544049778515E-10</v>
      </c>
      <c r="S833">
        <v>3.8541030659940117E-3</v>
      </c>
      <c r="U833">
        <v>1.7491314244638886E-2</v>
      </c>
      <c r="V833">
        <v>42.08</v>
      </c>
      <c r="W833">
        <v>42</v>
      </c>
      <c r="X833">
        <f t="shared" si="13"/>
        <v>1.9029495718363059E-3</v>
      </c>
      <c r="Y833">
        <v>853921</v>
      </c>
      <c r="Z833">
        <v>354090000</v>
      </c>
      <c r="AA833">
        <v>35864682</v>
      </c>
      <c r="AB833">
        <v>173450000</v>
      </c>
      <c r="AC833">
        <v>4.9231536465840298E-3</v>
      </c>
      <c r="AD833">
        <v>82074.45</v>
      </c>
      <c r="AE833">
        <v>0.1741</v>
      </c>
      <c r="AF833">
        <v>37896810000</v>
      </c>
      <c r="AG833">
        <v>5279880000</v>
      </c>
      <c r="AH833">
        <v>1903740000</v>
      </c>
      <c r="AI833">
        <v>6296540000</v>
      </c>
      <c r="AJ833">
        <v>2959950000</v>
      </c>
      <c r="AK833">
        <v>3.0197744147703195E-10</v>
      </c>
      <c r="AL833">
        <v>7.8105518643917529E-2</v>
      </c>
    </row>
    <row r="834" spans="2:38">
      <c r="B834">
        <v>4.913349838126068E-2</v>
      </c>
      <c r="C834">
        <v>25.9</v>
      </c>
      <c r="D834">
        <v>25.85</v>
      </c>
      <c r="E834">
        <v>1.9323671497583443E-3</v>
      </c>
      <c r="F834">
        <v>1376924</v>
      </c>
      <c r="G834">
        <v>367350000</v>
      </c>
      <c r="H834">
        <v>35937716.399999999</v>
      </c>
      <c r="I834">
        <v>113870000</v>
      </c>
      <c r="J834">
        <v>1.2092069904276807E-2</v>
      </c>
      <c r="K834">
        <v>78029.509999999995</v>
      </c>
      <c r="L834">
        <v>0.19489999999999999</v>
      </c>
      <c r="M834">
        <v>31986690000</v>
      </c>
      <c r="N834">
        <v>2812320000</v>
      </c>
      <c r="O834">
        <v>1265980000</v>
      </c>
      <c r="P834">
        <v>1716300000</v>
      </c>
      <c r="Q834">
        <v>123280000</v>
      </c>
      <c r="R834">
        <v>5.7426850546015973E-10</v>
      </c>
      <c r="S834">
        <v>3.8541030659940117E-3</v>
      </c>
      <c r="U834">
        <v>2.4096385542168676E-2</v>
      </c>
      <c r="V834">
        <v>41.59</v>
      </c>
      <c r="W834">
        <v>41.5</v>
      </c>
      <c r="X834">
        <f t="shared" si="13"/>
        <v>2.1663256709592827E-3</v>
      </c>
      <c r="Y834">
        <v>1744605</v>
      </c>
      <c r="Z834">
        <v>354090000</v>
      </c>
      <c r="AA834">
        <v>72488337.75</v>
      </c>
      <c r="AB834">
        <v>173450000</v>
      </c>
      <c r="AC834">
        <v>1.0058258864226002E-2</v>
      </c>
      <c r="AD834">
        <v>81459.289999999994</v>
      </c>
      <c r="AE834">
        <v>0.1741</v>
      </c>
      <c r="AF834">
        <v>37896810000</v>
      </c>
      <c r="AG834">
        <v>5279880000</v>
      </c>
      <c r="AH834">
        <v>1903740000</v>
      </c>
      <c r="AI834">
        <v>6296540000</v>
      </c>
      <c r="AJ834">
        <v>2959950000</v>
      </c>
      <c r="AK834">
        <v>3.3122022916764921E-11</v>
      </c>
      <c r="AL834">
        <v>7.8105518643917529E-2</v>
      </c>
    </row>
    <row r="835" spans="2:38">
      <c r="B835">
        <v>3.7414335988146016E-2</v>
      </c>
      <c r="C835">
        <v>26.9</v>
      </c>
      <c r="D835">
        <v>26.5</v>
      </c>
      <c r="E835">
        <v>1.4981273408239647E-2</v>
      </c>
      <c r="F835">
        <v>1891916</v>
      </c>
      <c r="G835">
        <v>367350000</v>
      </c>
      <c r="H835">
        <v>50419561.399999999</v>
      </c>
      <c r="I835">
        <v>113870000</v>
      </c>
      <c r="J835">
        <v>1.661470097479582E-2</v>
      </c>
      <c r="K835">
        <v>78469.33</v>
      </c>
      <c r="L835">
        <v>0.19489999999999999</v>
      </c>
      <c r="M835">
        <v>31986690000</v>
      </c>
      <c r="N835">
        <v>2812320000</v>
      </c>
      <c r="O835">
        <v>1265980000</v>
      </c>
      <c r="P835">
        <v>1716300000</v>
      </c>
      <c r="Q835">
        <v>123280000</v>
      </c>
      <c r="R835">
        <v>1.7701960855782231E-10</v>
      </c>
      <c r="S835">
        <v>3.8541030659940117E-3</v>
      </c>
      <c r="U835">
        <v>2.434028196168208E-2</v>
      </c>
      <c r="V835">
        <v>41.5</v>
      </c>
      <c r="W835">
        <v>41.46</v>
      </c>
      <c r="X835">
        <f t="shared" si="13"/>
        <v>9.6432015429120401E-4</v>
      </c>
      <c r="Y835">
        <v>1595703</v>
      </c>
      <c r="Z835">
        <v>354090000</v>
      </c>
      <c r="AA835">
        <v>66461029.949999996</v>
      </c>
      <c r="AB835">
        <v>173450000</v>
      </c>
      <c r="AC835">
        <v>9.1997866820409339E-3</v>
      </c>
      <c r="AD835">
        <v>80461.34</v>
      </c>
      <c r="AE835">
        <v>0.1741</v>
      </c>
      <c r="AF835">
        <v>37896810000</v>
      </c>
      <c r="AG835">
        <v>5279880000</v>
      </c>
      <c r="AH835">
        <v>1903740000</v>
      </c>
      <c r="AI835">
        <v>6296540000</v>
      </c>
      <c r="AJ835">
        <v>2959950000</v>
      </c>
      <c r="AK835">
        <v>2.3854066884777993E-10</v>
      </c>
      <c r="AL835">
        <v>7.8105518643917529E-2</v>
      </c>
    </row>
    <row r="836" spans="2:38">
      <c r="B836">
        <v>4.6460581671849258E-2</v>
      </c>
      <c r="C836">
        <v>26.89</v>
      </c>
      <c r="D836">
        <v>26.85</v>
      </c>
      <c r="E836">
        <v>1.4886490509861982E-3</v>
      </c>
      <c r="F836">
        <v>1663501</v>
      </c>
      <c r="G836">
        <v>367350000</v>
      </c>
      <c r="H836">
        <v>44731541.890000001</v>
      </c>
      <c r="I836">
        <v>113870000</v>
      </c>
      <c r="J836">
        <v>1.4608773162378151E-2</v>
      </c>
      <c r="K836">
        <v>79397.009999999995</v>
      </c>
      <c r="L836">
        <v>0.19489999999999999</v>
      </c>
      <c r="M836">
        <v>31986690000</v>
      </c>
      <c r="N836">
        <v>2812320000</v>
      </c>
      <c r="O836">
        <v>1265980000</v>
      </c>
      <c r="P836">
        <v>1716300000</v>
      </c>
      <c r="Q836">
        <v>123280000</v>
      </c>
      <c r="R836">
        <v>6.6937732698576286E-10</v>
      </c>
      <c r="S836">
        <v>3.8541030659940117E-3</v>
      </c>
      <c r="U836">
        <v>2.4381233838197312E-2</v>
      </c>
      <c r="V836">
        <v>41</v>
      </c>
      <c r="W836">
        <v>40.9</v>
      </c>
      <c r="X836">
        <f t="shared" si="13"/>
        <v>2.4420024420024767E-3</v>
      </c>
      <c r="Y836">
        <v>485545</v>
      </c>
      <c r="Z836">
        <v>354090000</v>
      </c>
      <c r="AA836">
        <v>19907345</v>
      </c>
      <c r="AB836">
        <v>173450000</v>
      </c>
      <c r="AC836">
        <v>2.7993369847218218E-3</v>
      </c>
      <c r="AD836">
        <v>79491.14</v>
      </c>
      <c r="AE836">
        <v>0.1741</v>
      </c>
      <c r="AF836">
        <v>37896810000</v>
      </c>
      <c r="AG836">
        <v>5279880000</v>
      </c>
      <c r="AH836">
        <v>1903740000</v>
      </c>
      <c r="AI836">
        <v>6296540000</v>
      </c>
      <c r="AJ836">
        <v>2959950000</v>
      </c>
      <c r="AK836">
        <v>4.0759272565465527E-10</v>
      </c>
      <c r="AL836">
        <v>7.8105518643917529E-2</v>
      </c>
    </row>
    <row r="837" spans="2:38">
      <c r="B837">
        <v>5.1118210862619848E-2</v>
      </c>
      <c r="C837">
        <v>27.71</v>
      </c>
      <c r="D837">
        <v>27.7</v>
      </c>
      <c r="E837">
        <v>3.6094567767556626E-4</v>
      </c>
      <c r="F837">
        <v>740934</v>
      </c>
      <c r="G837">
        <v>367350000</v>
      </c>
      <c r="H837">
        <v>20538690.48</v>
      </c>
      <c r="I837">
        <v>113870000</v>
      </c>
      <c r="J837">
        <v>6.5068411346272063E-3</v>
      </c>
      <c r="K837">
        <v>78987.09</v>
      </c>
      <c r="L837">
        <v>0.19489999999999999</v>
      </c>
      <c r="M837">
        <v>31986690000</v>
      </c>
      <c r="N837">
        <v>2812320000</v>
      </c>
      <c r="O837">
        <v>1265980000</v>
      </c>
      <c r="P837">
        <v>1716300000</v>
      </c>
      <c r="Q837">
        <v>123280000</v>
      </c>
      <c r="R837">
        <v>8.7664018449123158E-11</v>
      </c>
      <c r="S837">
        <v>3.8541030659940117E-3</v>
      </c>
      <c r="U837">
        <v>2.6862026862026895E-2</v>
      </c>
      <c r="V837">
        <v>40.75</v>
      </c>
      <c r="W837">
        <v>40.619999999999997</v>
      </c>
      <c r="X837">
        <f t="shared" si="13"/>
        <v>3.1952808160256251E-3</v>
      </c>
      <c r="Y837">
        <v>1776816</v>
      </c>
      <c r="Z837">
        <v>354090000</v>
      </c>
      <c r="AA837">
        <v>72263106.719999999</v>
      </c>
      <c r="AB837">
        <v>173450000</v>
      </c>
      <c r="AC837">
        <v>1.0243966560968579E-2</v>
      </c>
      <c r="AD837">
        <v>79333.06</v>
      </c>
      <c r="AE837">
        <v>0.1741</v>
      </c>
      <c r="AF837">
        <v>37896810000</v>
      </c>
      <c r="AG837">
        <v>5279880000</v>
      </c>
      <c r="AH837">
        <v>1903740000</v>
      </c>
      <c r="AI837">
        <v>6296540000</v>
      </c>
      <c r="AJ837">
        <v>2959950000</v>
      </c>
      <c r="AK837">
        <v>2.1071830360282527E-10</v>
      </c>
      <c r="AL837">
        <v>7.8105518643917529E-2</v>
      </c>
    </row>
    <row r="838" spans="2:38">
      <c r="B838">
        <v>7.0175438596491224E-2</v>
      </c>
      <c r="C838">
        <v>27.9</v>
      </c>
      <c r="D838">
        <v>27.69</v>
      </c>
      <c r="E838">
        <v>7.5553157042632588E-3</v>
      </c>
      <c r="F838">
        <v>1519512</v>
      </c>
      <c r="G838">
        <v>367350000</v>
      </c>
      <c r="H838">
        <v>42196848.240000002</v>
      </c>
      <c r="I838">
        <v>113870000</v>
      </c>
      <c r="J838">
        <v>1.3344269781329587E-2</v>
      </c>
      <c r="K838">
        <v>78539.19</v>
      </c>
      <c r="L838">
        <v>0.19489999999999999</v>
      </c>
      <c r="M838">
        <v>31986690000</v>
      </c>
      <c r="N838">
        <v>2812320000</v>
      </c>
      <c r="O838">
        <v>1265980000</v>
      </c>
      <c r="P838">
        <v>1716300000</v>
      </c>
      <c r="Q838">
        <v>123280000</v>
      </c>
      <c r="R838">
        <v>0</v>
      </c>
      <c r="S838">
        <v>3.8541030659940117E-3</v>
      </c>
      <c r="U838">
        <v>2.4691358024691357E-2</v>
      </c>
      <c r="V838">
        <v>40.26</v>
      </c>
      <c r="W838">
        <v>40.24</v>
      </c>
      <c r="X838">
        <f t="shared" si="13"/>
        <v>4.9689440993778934E-4</v>
      </c>
      <c r="Y838">
        <v>1055027</v>
      </c>
      <c r="Z838">
        <v>354090000</v>
      </c>
      <c r="AA838">
        <v>42264381.620000005</v>
      </c>
      <c r="AB838">
        <v>173450000</v>
      </c>
      <c r="AC838">
        <v>6.0826001729605075E-3</v>
      </c>
      <c r="AD838">
        <v>79017.62</v>
      </c>
      <c r="AE838">
        <v>0.1741</v>
      </c>
      <c r="AF838">
        <v>37896810000</v>
      </c>
      <c r="AG838">
        <v>5279880000</v>
      </c>
      <c r="AH838">
        <v>1903740000</v>
      </c>
      <c r="AI838">
        <v>6296540000</v>
      </c>
      <c r="AJ838">
        <v>2959950000</v>
      </c>
      <c r="AK838">
        <v>1.4090671055210212E-10</v>
      </c>
      <c r="AL838">
        <v>7.8105518643917529E-2</v>
      </c>
    </row>
    <row r="839" spans="2:38">
      <c r="B839">
        <v>0</v>
      </c>
      <c r="C839">
        <v>0</v>
      </c>
      <c r="D839">
        <v>0</v>
      </c>
      <c r="E839">
        <v>0</v>
      </c>
      <c r="F839">
        <v>0</v>
      </c>
      <c r="G839">
        <v>0</v>
      </c>
      <c r="H839">
        <v>0</v>
      </c>
      <c r="I839">
        <v>0</v>
      </c>
      <c r="J839">
        <v>0</v>
      </c>
      <c r="K839">
        <v>0</v>
      </c>
      <c r="L839">
        <v>0</v>
      </c>
      <c r="M839">
        <v>0</v>
      </c>
      <c r="N839">
        <v>0</v>
      </c>
      <c r="O839">
        <v>0</v>
      </c>
      <c r="P839">
        <v>0</v>
      </c>
      <c r="Q839">
        <v>0</v>
      </c>
      <c r="R839">
        <v>0</v>
      </c>
      <c r="S839">
        <v>0</v>
      </c>
      <c r="U839">
        <v>1.3094502779493542E-2</v>
      </c>
      <c r="V839">
        <v>40.380000000000003</v>
      </c>
      <c r="W839">
        <v>40.35</v>
      </c>
      <c r="X839">
        <f t="shared" si="13"/>
        <v>7.4321813452251045E-4</v>
      </c>
      <c r="Y839">
        <v>721306</v>
      </c>
      <c r="Z839">
        <v>354090000</v>
      </c>
      <c r="AA839">
        <v>29068631.799999997</v>
      </c>
      <c r="AB839">
        <v>173450000</v>
      </c>
      <c r="AC839">
        <v>4.1585817238397231E-3</v>
      </c>
      <c r="AD839">
        <v>78651.8</v>
      </c>
      <c r="AE839">
        <v>0.1741</v>
      </c>
      <c r="AF839">
        <v>37896810000</v>
      </c>
      <c r="AG839">
        <v>5279880000</v>
      </c>
      <c r="AH839">
        <v>1903740000</v>
      </c>
      <c r="AI839">
        <v>6296540000</v>
      </c>
      <c r="AJ839">
        <v>2959950000</v>
      </c>
      <c r="AK839">
        <v>4.2734588727517953E-11</v>
      </c>
      <c r="AL839">
        <v>7.8105518643917529E-2</v>
      </c>
    </row>
    <row r="840" spans="2:38">
      <c r="B840" t="str">
        <v>Relative high-low price</v>
      </c>
      <c r="C840" t="str">
        <v>Ask price</v>
      </c>
      <c r="D840" t="str">
        <v xml:space="preserve">Bid price </v>
      </c>
      <c r="E840" t="str">
        <v xml:space="preserve">Relative Bid-Ask Spread </v>
      </c>
      <c r="F840" t="str">
        <v>daily trading volume</v>
      </c>
      <c r="G840" t="str">
        <v>Common shares outstanding</v>
      </c>
      <c r="H840" t="str">
        <v xml:space="preserve">Trading value </v>
      </c>
      <c r="I840" t="str">
        <v>Free Float Shares</v>
      </c>
      <c r="J840" t="str">
        <v>Turnover</v>
      </c>
      <c r="K840" t="str">
        <v>Daily kse-100 index</v>
      </c>
      <c r="L840" t="str">
        <v xml:space="preserve">Risk free rate </v>
      </c>
      <c r="M840" t="str">
        <v xml:space="preserve">Total assets </v>
      </c>
      <c r="N840" t="str">
        <v xml:space="preserve">Total Liabilities </v>
      </c>
      <c r="O840" t="str">
        <v>EBITDA</v>
      </c>
      <c r="P840" t="str">
        <v xml:space="preserve">Cash and equivalents </v>
      </c>
      <c r="Q840" t="str">
        <v xml:space="preserve">Total Debt </v>
      </c>
      <c r="R840" t="str">
        <v>Amihud illiquidity ratio</v>
      </c>
      <c r="S840" t="str">
        <v>Leverage ratio</v>
      </c>
      <c r="U840">
        <v>1.3622291021671756E-2</v>
      </c>
      <c r="V840">
        <v>40.229999999999997</v>
      </c>
      <c r="W840">
        <v>40.22</v>
      </c>
      <c r="X840">
        <f t="shared" si="13"/>
        <v>2.4860161591045397E-4</v>
      </c>
      <c r="Y840">
        <v>508321</v>
      </c>
      <c r="Z840">
        <v>354090000</v>
      </c>
      <c r="AA840">
        <v>20459920.25</v>
      </c>
      <c r="AB840">
        <v>173450000</v>
      </c>
      <c r="AC840">
        <v>2.9306486019025657E-3</v>
      </c>
      <c r="AD840">
        <v>79286.740000000005</v>
      </c>
      <c r="AE840">
        <v>0.1741</v>
      </c>
      <c r="AF840">
        <v>37896810000</v>
      </c>
      <c r="AG840">
        <v>5279880000</v>
      </c>
      <c r="AH840">
        <v>1903740000</v>
      </c>
      <c r="AI840">
        <v>6296540000</v>
      </c>
      <c r="AJ840">
        <v>2959950000</v>
      </c>
      <c r="AK840">
        <v>7.2750254287679108E-11</v>
      </c>
      <c r="AL840">
        <v>7.8105518643917529E-2</v>
      </c>
    </row>
    <row r="841" spans="2:38">
      <c r="B841">
        <v>1.7491314244638886E-2</v>
      </c>
      <c r="C841">
        <v>42.08</v>
      </c>
      <c r="D841">
        <v>42</v>
      </c>
      <c r="E841">
        <v>1.9029495718363059E-3</v>
      </c>
      <c r="F841">
        <v>853921</v>
      </c>
      <c r="G841">
        <v>354090000</v>
      </c>
      <c r="H841">
        <v>35864682</v>
      </c>
      <c r="I841">
        <v>173450000</v>
      </c>
      <c r="J841">
        <v>4.9231536465840298E-3</v>
      </c>
      <c r="K841">
        <v>82074.45</v>
      </c>
      <c r="L841">
        <v>0.1741</v>
      </c>
      <c r="M841">
        <v>37896810000</v>
      </c>
      <c r="N841">
        <v>5279880000</v>
      </c>
      <c r="O841">
        <v>1903740000</v>
      </c>
      <c r="P841">
        <v>6296540000</v>
      </c>
      <c r="Q841">
        <v>2959950000</v>
      </c>
      <c r="R841">
        <v>3.0197744147703195E-10</v>
      </c>
      <c r="S841">
        <v>7.8105518643917529E-2</v>
      </c>
      <c r="U841">
        <v>1.9207091849298231E-2</v>
      </c>
      <c r="V841">
        <v>40.29</v>
      </c>
      <c r="W841">
        <v>40.25</v>
      </c>
      <c r="X841">
        <f t="shared" si="13"/>
        <v>9.9329525701512657E-4</v>
      </c>
      <c r="Y841">
        <v>1084829</v>
      </c>
      <c r="Z841">
        <v>354090000</v>
      </c>
      <c r="AA841">
        <v>43729456.990000002</v>
      </c>
      <c r="AB841">
        <v>173450000</v>
      </c>
      <c r="AC841">
        <v>6.2544191409628132E-3</v>
      </c>
      <c r="AD841">
        <v>78615</v>
      </c>
      <c r="AE841">
        <v>0.1741</v>
      </c>
      <c r="AF841">
        <v>37896810000</v>
      </c>
      <c r="AG841">
        <v>5279880000</v>
      </c>
      <c r="AH841">
        <v>1903740000</v>
      </c>
      <c r="AI841">
        <v>6296540000</v>
      </c>
      <c r="AJ841">
        <v>2959950000</v>
      </c>
      <c r="AK841">
        <v>3.7387701279594422E-10</v>
      </c>
      <c r="AL841">
        <v>7.8105518643917529E-2</v>
      </c>
    </row>
    <row r="842" spans="2:38">
      <c r="B842">
        <v>2.4096385542168676E-2</v>
      </c>
      <c r="C842">
        <v>41.59</v>
      </c>
      <c r="D842">
        <v>41.5</v>
      </c>
      <c r="E842">
        <v>2.1663256709592827E-3</v>
      </c>
      <c r="F842">
        <v>1744605</v>
      </c>
      <c r="G842">
        <v>354090000</v>
      </c>
      <c r="H842">
        <v>72488337.75</v>
      </c>
      <c r="I842">
        <v>173450000</v>
      </c>
      <c r="J842">
        <v>1.0058258864226002E-2</v>
      </c>
      <c r="K842">
        <v>81459.289999999994</v>
      </c>
      <c r="L842">
        <v>0.1741</v>
      </c>
      <c r="M842">
        <v>37896810000</v>
      </c>
      <c r="N842">
        <v>5279880000</v>
      </c>
      <c r="O842">
        <v>1903740000</v>
      </c>
      <c r="P842">
        <v>6296540000</v>
      </c>
      <c r="Q842">
        <v>2959950000</v>
      </c>
      <c r="R842">
        <v>3.3122022916764921E-11</v>
      </c>
      <c r="S842">
        <v>7.8105518643917529E-2</v>
      </c>
      <c r="U842">
        <v>9.8039215686274161E-3</v>
      </c>
      <c r="V842">
        <v>40.9</v>
      </c>
      <c r="W842">
        <v>40.89</v>
      </c>
      <c r="X842">
        <f t="shared" si="13"/>
        <v>2.4452867098662454E-4</v>
      </c>
      <c r="Y842">
        <v>524593</v>
      </c>
      <c r="Z842">
        <v>354090000</v>
      </c>
      <c r="AA842">
        <v>21497821.139999997</v>
      </c>
      <c r="AB842">
        <v>173450000</v>
      </c>
      <c r="AC842">
        <v>3.0244623810896511E-3</v>
      </c>
      <c r="AD842">
        <v>78897.73</v>
      </c>
      <c r="AE842">
        <v>0.1741</v>
      </c>
      <c r="AF842">
        <v>37896810000</v>
      </c>
      <c r="AG842">
        <v>5279880000</v>
      </c>
      <c r="AH842">
        <v>1903740000</v>
      </c>
      <c r="AI842">
        <v>6296540000</v>
      </c>
      <c r="AJ842">
        <v>2959950000</v>
      </c>
      <c r="AK842">
        <v>2.2713057608028036E-11</v>
      </c>
      <c r="AL842">
        <v>7.8105518643917529E-2</v>
      </c>
    </row>
    <row r="843" spans="2:38">
      <c r="B843">
        <v>2.434028196168208E-2</v>
      </c>
      <c r="C843">
        <v>41.5</v>
      </c>
      <c r="D843">
        <v>41.46</v>
      </c>
      <c r="E843">
        <v>9.6432015429120401E-4</v>
      </c>
      <c r="F843">
        <v>1595703</v>
      </c>
      <c r="G843">
        <v>354090000</v>
      </c>
      <c r="H843">
        <v>66461029.949999996</v>
      </c>
      <c r="I843">
        <v>173450000</v>
      </c>
      <c r="J843">
        <v>9.1997866820409339E-3</v>
      </c>
      <c r="K843">
        <v>80461.34</v>
      </c>
      <c r="L843">
        <v>0.1741</v>
      </c>
      <c r="M843">
        <v>37896810000</v>
      </c>
      <c r="N843">
        <v>5279880000</v>
      </c>
      <c r="O843">
        <v>1903740000</v>
      </c>
      <c r="P843">
        <v>6296540000</v>
      </c>
      <c r="Q843">
        <v>2959950000</v>
      </c>
      <c r="R843">
        <v>2.3854066884777993E-10</v>
      </c>
      <c r="S843">
        <v>7.8105518643917529E-2</v>
      </c>
      <c r="U843">
        <v>1.7991733527838612E-2</v>
      </c>
      <c r="V843">
        <v>40.950000000000003</v>
      </c>
      <c r="W843">
        <v>40.93</v>
      </c>
      <c r="X843">
        <f t="shared" si="13"/>
        <v>4.88519785051371E-4</v>
      </c>
      <c r="Y843">
        <v>996469</v>
      </c>
      <c r="Z843">
        <v>354090000</v>
      </c>
      <c r="AA843">
        <v>40815370.240000002</v>
      </c>
      <c r="AB843">
        <v>173450000</v>
      </c>
      <c r="AC843">
        <v>5.7449927933121937E-3</v>
      </c>
      <c r="AD843">
        <v>78863.34</v>
      </c>
      <c r="AE843">
        <v>0.1741</v>
      </c>
      <c r="AF843">
        <v>37896810000</v>
      </c>
      <c r="AG843">
        <v>5279880000</v>
      </c>
      <c r="AH843">
        <v>1903740000</v>
      </c>
      <c r="AI843">
        <v>6296540000</v>
      </c>
      <c r="AJ843">
        <v>2959950000</v>
      </c>
      <c r="AK843">
        <v>2.0169964089932566E-10</v>
      </c>
      <c r="AL843">
        <v>7.8105518643917529E-2</v>
      </c>
    </row>
    <row r="844" spans="2:38">
      <c r="B844">
        <v>2.4381233838197312E-2</v>
      </c>
      <c r="C844">
        <v>41</v>
      </c>
      <c r="D844">
        <v>40.9</v>
      </c>
      <c r="E844">
        <v>2.4420024420024767E-3</v>
      </c>
      <c r="F844">
        <v>485545</v>
      </c>
      <c r="G844">
        <v>354090000</v>
      </c>
      <c r="H844">
        <v>19907345</v>
      </c>
      <c r="I844">
        <v>173450000</v>
      </c>
      <c r="J844">
        <v>2.7993369847218218E-3</v>
      </c>
      <c r="K844">
        <v>79491.14</v>
      </c>
      <c r="L844">
        <v>0.1741</v>
      </c>
      <c r="M844">
        <v>37896810000</v>
      </c>
      <c r="N844">
        <v>5279880000</v>
      </c>
      <c r="O844">
        <v>1903740000</v>
      </c>
      <c r="P844">
        <v>6296540000</v>
      </c>
      <c r="Q844">
        <v>2959950000</v>
      </c>
      <c r="R844">
        <v>4.0759272565465527E-10</v>
      </c>
      <c r="S844">
        <v>7.8105518643917529E-2</v>
      </c>
      <c r="U844">
        <v>3.1063321385901961E-2</v>
      </c>
      <c r="V844">
        <v>41.4</v>
      </c>
      <c r="W844">
        <v>41.3</v>
      </c>
      <c r="X844">
        <f t="shared" si="13"/>
        <v>2.4183796856106755E-3</v>
      </c>
      <c r="Y844">
        <v>1419488</v>
      </c>
      <c r="Z844">
        <v>354090000</v>
      </c>
      <c r="AA844">
        <v>58624854.399999999</v>
      </c>
      <c r="AB844">
        <v>173450000</v>
      </c>
      <c r="AC844">
        <v>8.1838454886134331E-3</v>
      </c>
      <c r="AD844">
        <v>78848.009999999995</v>
      </c>
      <c r="AE844">
        <v>0.1741</v>
      </c>
      <c r="AF844">
        <v>37896810000</v>
      </c>
      <c r="AG844">
        <v>5279880000</v>
      </c>
      <c r="AH844">
        <v>1903740000</v>
      </c>
      <c r="AI844">
        <v>6296540000</v>
      </c>
      <c r="AJ844">
        <v>2959950000</v>
      </c>
      <c r="AK844">
        <v>3.042380201014402E-10</v>
      </c>
      <c r="AL844">
        <v>7.8105518643917529E-2</v>
      </c>
    </row>
    <row r="845" spans="2:38">
      <c r="B845">
        <v>2.6862026862026895E-2</v>
      </c>
      <c r="C845">
        <v>40.75</v>
      </c>
      <c r="D845">
        <v>40.619999999999997</v>
      </c>
      <c r="E845">
        <v>3.1952808160256251E-3</v>
      </c>
      <c r="F845">
        <v>1776816</v>
      </c>
      <c r="G845">
        <v>354090000</v>
      </c>
      <c r="H845">
        <v>72263106.719999999</v>
      </c>
      <c r="I845">
        <v>173450000</v>
      </c>
      <c r="J845">
        <v>1.0243966560968579E-2</v>
      </c>
      <c r="K845">
        <v>79333.06</v>
      </c>
      <c r="L845">
        <v>0.1741</v>
      </c>
      <c r="M845">
        <v>37896810000</v>
      </c>
      <c r="N845">
        <v>5279880000</v>
      </c>
      <c r="O845">
        <v>1903740000</v>
      </c>
      <c r="P845">
        <v>6296540000</v>
      </c>
      <c r="Q845">
        <v>2959950000</v>
      </c>
      <c r="R845">
        <v>2.1071830360282527E-10</v>
      </c>
      <c r="S845">
        <v>7.8105518643917529E-2</v>
      </c>
      <c r="U845">
        <v>9.514609997585137E-2</v>
      </c>
      <c r="V845">
        <v>42.22</v>
      </c>
      <c r="W845">
        <v>42.03</v>
      </c>
      <c r="X845">
        <f t="shared" si="13"/>
        <v>4.510385756676504E-3</v>
      </c>
      <c r="Y845">
        <v>5460327</v>
      </c>
      <c r="Z845">
        <v>354090000</v>
      </c>
      <c r="AA845">
        <v>229606750.34999999</v>
      </c>
      <c r="AB845">
        <v>173450000</v>
      </c>
      <c r="AC845">
        <v>3.1480697607379649E-2</v>
      </c>
      <c r="AD845">
        <v>78356.320000000007</v>
      </c>
      <c r="AE845">
        <v>0.17469999999999999</v>
      </c>
      <c r="AF845">
        <v>37896810000</v>
      </c>
      <c r="AG845">
        <v>5279880000</v>
      </c>
      <c r="AH845">
        <v>1903740000</v>
      </c>
      <c r="AI845">
        <v>6296540000</v>
      </c>
      <c r="AJ845">
        <v>2959950000</v>
      </c>
      <c r="AK845">
        <v>2.8821657241069561E-10</v>
      </c>
      <c r="AL845">
        <v>7.8105518643917529E-2</v>
      </c>
    </row>
    <row r="846" spans="2:38">
      <c r="B846">
        <v>2.4691358024691357E-2</v>
      </c>
      <c r="C846">
        <v>40.26</v>
      </c>
      <c r="D846">
        <v>40.24</v>
      </c>
      <c r="E846">
        <v>4.9689440993778934E-4</v>
      </c>
      <c r="F846">
        <v>1055027</v>
      </c>
      <c r="G846">
        <v>354090000</v>
      </c>
      <c r="H846">
        <v>42264381.620000005</v>
      </c>
      <c r="I846">
        <v>173450000</v>
      </c>
      <c r="J846">
        <v>6.0826001729605075E-3</v>
      </c>
      <c r="K846">
        <v>79017.62</v>
      </c>
      <c r="L846">
        <v>0.1741</v>
      </c>
      <c r="M846">
        <v>37896810000</v>
      </c>
      <c r="N846">
        <v>5279880000</v>
      </c>
      <c r="O846">
        <v>1903740000</v>
      </c>
      <c r="P846">
        <v>6296540000</v>
      </c>
      <c r="Q846">
        <v>2959950000</v>
      </c>
      <c r="R846">
        <v>1.4090671055210212E-10</v>
      </c>
      <c r="S846">
        <v>7.8105518643917529E-2</v>
      </c>
      <c r="U846">
        <v>2.1642266072565277E-2</v>
      </c>
      <c r="V846">
        <v>39.450000000000003</v>
      </c>
      <c r="W846">
        <v>39.44</v>
      </c>
      <c r="X846">
        <f t="shared" si="13"/>
        <v>2.5351755609088897E-4</v>
      </c>
      <c r="Y846">
        <v>458642</v>
      </c>
      <c r="Z846">
        <v>354090000</v>
      </c>
      <c r="AA846">
        <v>18088840.48</v>
      </c>
      <c r="AB846">
        <v>173450000</v>
      </c>
      <c r="AC846">
        <v>2.6442317670798501E-3</v>
      </c>
      <c r="AD846">
        <v>78283.3</v>
      </c>
      <c r="AE846">
        <v>0.17469999999999999</v>
      </c>
      <c r="AF846">
        <v>37896810000</v>
      </c>
      <c r="AG846">
        <v>5279880000</v>
      </c>
      <c r="AH846">
        <v>1903740000</v>
      </c>
      <c r="AI846">
        <v>6296540000</v>
      </c>
      <c r="AJ846">
        <v>2959950000</v>
      </c>
      <c r="AK846">
        <v>7.3861782319421014E-10</v>
      </c>
      <c r="AL846">
        <v>7.8105518643917529E-2</v>
      </c>
    </row>
    <row r="847" spans="2:38">
      <c r="B847">
        <v>1.3094502779493542E-2</v>
      </c>
      <c r="C847">
        <v>40.380000000000003</v>
      </c>
      <c r="D847">
        <v>40.35</v>
      </c>
      <c r="E847">
        <v>7.4321813452251045E-4</v>
      </c>
      <c r="F847">
        <v>721306</v>
      </c>
      <c r="G847">
        <v>354090000</v>
      </c>
      <c r="H847">
        <v>29068631.799999997</v>
      </c>
      <c r="I847">
        <v>173450000</v>
      </c>
      <c r="J847">
        <v>4.1585817238397231E-3</v>
      </c>
      <c r="K847">
        <v>78651.8</v>
      </c>
      <c r="L847">
        <v>0.1741</v>
      </c>
      <c r="M847">
        <v>37896810000</v>
      </c>
      <c r="N847">
        <v>5279880000</v>
      </c>
      <c r="O847">
        <v>1903740000</v>
      </c>
      <c r="P847">
        <v>6296540000</v>
      </c>
      <c r="Q847">
        <v>2959950000</v>
      </c>
      <c r="R847">
        <v>4.2734588727517953E-11</v>
      </c>
      <c r="S847">
        <v>7.8105518643917529E-2</v>
      </c>
      <c r="U847">
        <v>3.4996759559300102E-2</v>
      </c>
      <c r="V847">
        <v>39.06</v>
      </c>
      <c r="W847">
        <v>39</v>
      </c>
      <c r="X847">
        <f t="shared" si="13"/>
        <v>1.5372790161414878E-3</v>
      </c>
      <c r="Y847">
        <v>754259</v>
      </c>
      <c r="Z847">
        <v>354090000</v>
      </c>
      <c r="AA847">
        <v>29355760.280000001</v>
      </c>
      <c r="AB847">
        <v>173450000</v>
      </c>
      <c r="AC847">
        <v>4.3485673104641104E-3</v>
      </c>
      <c r="AD847">
        <v>78488.22</v>
      </c>
      <c r="AE847">
        <v>0.17469999999999999</v>
      </c>
      <c r="AF847">
        <v>37896810000</v>
      </c>
      <c r="AG847">
        <v>5279880000</v>
      </c>
      <c r="AH847">
        <v>1903740000</v>
      </c>
      <c r="AI847">
        <v>6296540000</v>
      </c>
      <c r="AJ847">
        <v>2959950000</v>
      </c>
      <c r="AK847">
        <v>7.6057617373478454E-10</v>
      </c>
      <c r="AL847">
        <v>7.8105518643917529E-2</v>
      </c>
    </row>
    <row r="848" spans="2:38">
      <c r="B848">
        <v>1.3622291021671756E-2</v>
      </c>
      <c r="C848">
        <v>40.229999999999997</v>
      </c>
      <c r="D848">
        <v>40.22</v>
      </c>
      <c r="E848">
        <v>2.4860161591045397E-4</v>
      </c>
      <c r="F848">
        <v>508321</v>
      </c>
      <c r="G848">
        <v>354090000</v>
      </c>
      <c r="H848">
        <v>20459920.25</v>
      </c>
      <c r="I848">
        <v>173450000</v>
      </c>
      <c r="J848">
        <v>2.9306486019025657E-3</v>
      </c>
      <c r="K848">
        <v>79286.740000000005</v>
      </c>
      <c r="L848">
        <v>0.1741</v>
      </c>
      <c r="M848">
        <v>37896810000</v>
      </c>
      <c r="N848">
        <v>5279880000</v>
      </c>
      <c r="O848">
        <v>1903740000</v>
      </c>
      <c r="P848">
        <v>6296540000</v>
      </c>
      <c r="Q848">
        <v>2959950000</v>
      </c>
      <c r="R848">
        <v>7.2750254287679108E-11</v>
      </c>
      <c r="S848">
        <v>7.8105518643917529E-2</v>
      </c>
      <c r="U848">
        <v>2.4165259191892937E-2</v>
      </c>
      <c r="V848">
        <v>38.369999999999997</v>
      </c>
      <c r="W848">
        <v>38.299999999999997</v>
      </c>
      <c r="X848">
        <f t="shared" si="13"/>
        <v>1.8260075648884907E-3</v>
      </c>
      <c r="Y848">
        <v>272973</v>
      </c>
      <c r="Z848">
        <v>354090000</v>
      </c>
      <c r="AA848">
        <v>10392082.109999999</v>
      </c>
      <c r="AB848">
        <v>173450000</v>
      </c>
      <c r="AC848">
        <v>1.5737849524358604E-3</v>
      </c>
      <c r="AD848">
        <v>78349.66</v>
      </c>
      <c r="AE848">
        <v>0.17469999999999999</v>
      </c>
      <c r="AF848">
        <v>37896810000</v>
      </c>
      <c r="AG848">
        <v>5279880000</v>
      </c>
      <c r="AH848">
        <v>1903740000</v>
      </c>
      <c r="AI848">
        <v>6296540000</v>
      </c>
      <c r="AJ848">
        <v>2959950000</v>
      </c>
      <c r="AK848">
        <v>9.0142489249721933E-10</v>
      </c>
      <c r="AL848">
        <v>7.8105518643917529E-2</v>
      </c>
    </row>
    <row r="849" spans="2:38">
      <c r="B849">
        <v>1.9207091849298231E-2</v>
      </c>
      <c r="C849">
        <v>40.29</v>
      </c>
      <c r="D849">
        <v>40.25</v>
      </c>
      <c r="E849">
        <v>9.9329525701512657E-4</v>
      </c>
      <c r="F849">
        <v>1084829</v>
      </c>
      <c r="G849">
        <v>354090000</v>
      </c>
      <c r="H849">
        <v>43729456.990000002</v>
      </c>
      <c r="I849">
        <v>173450000</v>
      </c>
      <c r="J849">
        <v>6.2544191409628132E-3</v>
      </c>
      <c r="K849">
        <v>78615</v>
      </c>
      <c r="L849">
        <v>0.1741</v>
      </c>
      <c r="M849">
        <v>37896810000</v>
      </c>
      <c r="N849">
        <v>5279880000</v>
      </c>
      <c r="O849">
        <v>1903740000</v>
      </c>
      <c r="P849">
        <v>6296540000</v>
      </c>
      <c r="Q849">
        <v>2959950000</v>
      </c>
      <c r="R849">
        <v>3.7387701279594422E-10</v>
      </c>
      <c r="S849">
        <v>7.8105518643917529E-2</v>
      </c>
      <c r="U849">
        <v>1.7994523405919879E-2</v>
      </c>
      <c r="V849">
        <v>38.6</v>
      </c>
      <c r="W849">
        <v>38.5</v>
      </c>
      <c r="X849">
        <f t="shared" si="13"/>
        <v>2.5940337224384289E-3</v>
      </c>
      <c r="Y849">
        <v>382278</v>
      </c>
      <c r="Z849">
        <v>354090000</v>
      </c>
      <c r="AA849">
        <v>14690943.539999999</v>
      </c>
      <c r="AB849">
        <v>173450000</v>
      </c>
      <c r="AC849">
        <v>2.2039665609685788E-3</v>
      </c>
      <c r="AD849">
        <v>77992.789999999994</v>
      </c>
      <c r="AE849">
        <v>0.17469999999999999</v>
      </c>
      <c r="AF849">
        <v>37896810000</v>
      </c>
      <c r="AG849">
        <v>5279880000</v>
      </c>
      <c r="AH849">
        <v>1903740000</v>
      </c>
      <c r="AI849">
        <v>6296540000</v>
      </c>
      <c r="AJ849">
        <v>2959950000</v>
      </c>
      <c r="AK849">
        <v>6.6173369695299035E-10</v>
      </c>
      <c r="AL849">
        <v>7.8105518643917529E-2</v>
      </c>
    </row>
    <row r="850" spans="2:38">
      <c r="B850">
        <v>9.8039215686274161E-3</v>
      </c>
      <c r="C850">
        <v>40.9</v>
      </c>
      <c r="D850">
        <v>40.89</v>
      </c>
      <c r="E850">
        <v>2.4452867098662454E-4</v>
      </c>
      <c r="F850">
        <v>524593</v>
      </c>
      <c r="G850">
        <v>354090000</v>
      </c>
      <c r="H850">
        <v>21497821.139999997</v>
      </c>
      <c r="I850">
        <v>173450000</v>
      </c>
      <c r="J850">
        <v>3.0244623810896511E-3</v>
      </c>
      <c r="K850">
        <v>78897.73</v>
      </c>
      <c r="L850">
        <v>0.1741</v>
      </c>
      <c r="M850">
        <v>37896810000</v>
      </c>
      <c r="N850">
        <v>5279880000</v>
      </c>
      <c r="O850">
        <v>1903740000</v>
      </c>
      <c r="P850">
        <v>6296540000</v>
      </c>
      <c r="Q850">
        <v>2959950000</v>
      </c>
      <c r="R850">
        <v>2.2713057608028036E-11</v>
      </c>
      <c r="S850">
        <v>7.8105518643917529E-2</v>
      </c>
      <c r="U850">
        <v>2.7518172377985338E-2</v>
      </c>
      <c r="V850">
        <v>38.35</v>
      </c>
      <c r="W850">
        <v>38</v>
      </c>
      <c r="X850">
        <f t="shared" si="13"/>
        <v>9.168303863785237E-3</v>
      </c>
      <c r="Y850">
        <v>278784</v>
      </c>
      <c r="Z850">
        <v>354090000</v>
      </c>
      <c r="AA850">
        <v>10610519.040000001</v>
      </c>
      <c r="AB850">
        <v>173450000</v>
      </c>
      <c r="AC850">
        <v>1.6072874027097145E-3</v>
      </c>
      <c r="AD850">
        <v>78084.240000000005</v>
      </c>
      <c r="AE850">
        <v>0.17469999999999999</v>
      </c>
      <c r="AF850">
        <v>37896810000</v>
      </c>
      <c r="AG850">
        <v>5279880000</v>
      </c>
      <c r="AH850">
        <v>1903740000</v>
      </c>
      <c r="AI850">
        <v>6296540000</v>
      </c>
      <c r="AJ850">
        <v>2959950000</v>
      </c>
      <c r="AK850">
        <v>1.1979400057650701E-9</v>
      </c>
      <c r="AL850">
        <v>7.8105518643917529E-2</v>
      </c>
    </row>
    <row r="851" spans="2:38">
      <c r="B851">
        <v>1.7991733527838612E-2</v>
      </c>
      <c r="C851">
        <v>40.950000000000003</v>
      </c>
      <c r="D851">
        <v>40.93</v>
      </c>
      <c r="E851">
        <v>4.88519785051371E-4</v>
      </c>
      <c r="F851">
        <v>996469</v>
      </c>
      <c r="G851">
        <v>354090000</v>
      </c>
      <c r="H851">
        <v>40815370.240000002</v>
      </c>
      <c r="I851">
        <v>173450000</v>
      </c>
      <c r="J851">
        <v>5.7449927933121937E-3</v>
      </c>
      <c r="K851">
        <v>78863.34</v>
      </c>
      <c r="L851">
        <v>0.1741</v>
      </c>
      <c r="M851">
        <v>37896810000</v>
      </c>
      <c r="N851">
        <v>5279880000</v>
      </c>
      <c r="O851">
        <v>1903740000</v>
      </c>
      <c r="P851">
        <v>6296540000</v>
      </c>
      <c r="Q851">
        <v>2959950000</v>
      </c>
      <c r="R851">
        <v>2.0169964089932566E-10</v>
      </c>
      <c r="S851">
        <v>7.8105518643917529E-2</v>
      </c>
      <c r="U851">
        <v>3.2099404607817815E-2</v>
      </c>
      <c r="V851">
        <v>38.700000000000003</v>
      </c>
      <c r="W851">
        <v>38.65</v>
      </c>
      <c r="X851">
        <f t="shared" si="13"/>
        <v>1.2928248222366973E-3</v>
      </c>
      <c r="Y851">
        <v>372082</v>
      </c>
      <c r="Z851">
        <v>354090000</v>
      </c>
      <c r="AA851">
        <v>14343761.1</v>
      </c>
      <c r="AB851">
        <v>173450000</v>
      </c>
      <c r="AC851">
        <v>2.1451830498702795E-3</v>
      </c>
      <c r="AD851">
        <v>78571.06</v>
      </c>
      <c r="AE851">
        <v>0.17469999999999999</v>
      </c>
      <c r="AF851">
        <v>37896810000</v>
      </c>
      <c r="AG851">
        <v>5279880000</v>
      </c>
      <c r="AH851">
        <v>1903740000</v>
      </c>
      <c r="AI851">
        <v>6296540000</v>
      </c>
      <c r="AJ851">
        <v>2959950000</v>
      </c>
      <c r="AK851">
        <v>9.9045066272406403E-10</v>
      </c>
      <c r="AL851">
        <v>7.8105518643917529E-2</v>
      </c>
    </row>
    <row r="852" spans="2:38">
      <c r="B852">
        <v>3.1063321385901961E-2</v>
      </c>
      <c r="C852">
        <v>41.4</v>
      </c>
      <c r="D852">
        <v>41.3</v>
      </c>
      <c r="E852">
        <v>2.4183796856106755E-3</v>
      </c>
      <c r="F852">
        <v>1419488</v>
      </c>
      <c r="G852">
        <v>354090000</v>
      </c>
      <c r="H852">
        <v>58624854.399999999</v>
      </c>
      <c r="I852">
        <v>173450000</v>
      </c>
      <c r="J852">
        <v>8.1838454886134331E-3</v>
      </c>
      <c r="K852">
        <v>78848.009999999995</v>
      </c>
      <c r="L852">
        <v>0.1741</v>
      </c>
      <c r="M852">
        <v>37896810000</v>
      </c>
      <c r="N852">
        <v>5279880000</v>
      </c>
      <c r="O852">
        <v>1903740000</v>
      </c>
      <c r="P852">
        <v>6296540000</v>
      </c>
      <c r="Q852">
        <v>2959950000</v>
      </c>
      <c r="R852">
        <v>3.042380201014402E-10</v>
      </c>
      <c r="S852">
        <v>7.8105518643917529E-2</v>
      </c>
      <c r="U852">
        <v>1.5443004842298219E-2</v>
      </c>
      <c r="V852">
        <v>38.29</v>
      </c>
      <c r="W852">
        <v>38.01</v>
      </c>
      <c r="X852">
        <f t="shared" si="13"/>
        <v>7.3394495412844336E-3</v>
      </c>
      <c r="Y852">
        <v>217145</v>
      </c>
      <c r="Z852">
        <v>354090000</v>
      </c>
      <c r="AA852">
        <v>8253681.4499999993</v>
      </c>
      <c r="AB852">
        <v>173450000</v>
      </c>
      <c r="AC852">
        <v>1.2519169789564717E-3</v>
      </c>
      <c r="AD852">
        <v>78801.429999999993</v>
      </c>
      <c r="AE852">
        <v>0.17469999999999999</v>
      </c>
      <c r="AF852">
        <v>37896810000</v>
      </c>
      <c r="AG852">
        <v>5279880000</v>
      </c>
      <c r="AH852">
        <v>1903740000</v>
      </c>
      <c r="AI852">
        <v>6296540000</v>
      </c>
      <c r="AJ852">
        <v>2959950000</v>
      </c>
      <c r="AK852">
        <v>3.496166361225718E-10</v>
      </c>
      <c r="AL852">
        <v>7.8105518643917529E-2</v>
      </c>
    </row>
    <row r="853" spans="2:38">
      <c r="B853">
        <v>9.514609997585137E-2</v>
      </c>
      <c r="C853">
        <v>42.22</v>
      </c>
      <c r="D853">
        <v>42.03</v>
      </c>
      <c r="E853">
        <v>4.510385756676504E-3</v>
      </c>
      <c r="F853">
        <v>5460327</v>
      </c>
      <c r="G853">
        <v>354090000</v>
      </c>
      <c r="H853">
        <v>229606750.34999999</v>
      </c>
      <c r="I853">
        <v>173450000</v>
      </c>
      <c r="J853">
        <v>3.1480697607379649E-2</v>
      </c>
      <c r="K853">
        <v>78356.320000000007</v>
      </c>
      <c r="L853">
        <v>0.17469999999999999</v>
      </c>
      <c r="M853">
        <v>37896810000</v>
      </c>
      <c r="N853">
        <v>5279880000</v>
      </c>
      <c r="O853">
        <v>1903740000</v>
      </c>
      <c r="P853">
        <v>6296540000</v>
      </c>
      <c r="Q853">
        <v>2959950000</v>
      </c>
      <c r="R853">
        <v>2.8821657241069561E-10</v>
      </c>
      <c r="S853">
        <v>7.8105518643917529E-2</v>
      </c>
      <c r="U853">
        <v>1.9543973941368076E-2</v>
      </c>
      <c r="V853">
        <v>38.450000000000003</v>
      </c>
      <c r="W853">
        <v>38.1</v>
      </c>
      <c r="X853">
        <f t="shared" si="13"/>
        <v>9.1443500979752155E-3</v>
      </c>
      <c r="Y853">
        <v>240844</v>
      </c>
      <c r="Z853">
        <v>354090000</v>
      </c>
      <c r="AA853">
        <v>9180973.2799999993</v>
      </c>
      <c r="AB853">
        <v>173450000</v>
      </c>
      <c r="AC853">
        <v>1.3885500144133756E-3</v>
      </c>
      <c r="AD853">
        <v>78793.41</v>
      </c>
      <c r="AE853">
        <v>0.17469999999999999</v>
      </c>
      <c r="AF853">
        <v>37896810000</v>
      </c>
      <c r="AG853">
        <v>5279880000</v>
      </c>
      <c r="AH853">
        <v>1903740000</v>
      </c>
      <c r="AI853">
        <v>6296540000</v>
      </c>
      <c r="AJ853">
        <v>2959950000</v>
      </c>
      <c r="AK853">
        <v>9.9096230463521861E-10</v>
      </c>
      <c r="AL853">
        <v>7.8105518643917529E-2</v>
      </c>
    </row>
    <row r="854" spans="2:38">
      <c r="B854">
        <v>2.1642266072565277E-2</v>
      </c>
      <c r="C854">
        <v>39.450000000000003</v>
      </c>
      <c r="D854">
        <v>39.44</v>
      </c>
      <c r="E854">
        <v>2.5351755609088897E-4</v>
      </c>
      <c r="F854">
        <v>458642</v>
      </c>
      <c r="G854">
        <v>354090000</v>
      </c>
      <c r="H854">
        <v>18088840.48</v>
      </c>
      <c r="I854">
        <v>173450000</v>
      </c>
      <c r="J854">
        <v>2.6442317670798501E-3</v>
      </c>
      <c r="K854">
        <v>78283.3</v>
      </c>
      <c r="L854">
        <v>0.17469999999999999</v>
      </c>
      <c r="M854">
        <v>37896810000</v>
      </c>
      <c r="N854">
        <v>5279880000</v>
      </c>
      <c r="O854">
        <v>1903740000</v>
      </c>
      <c r="P854">
        <v>6296540000</v>
      </c>
      <c r="Q854">
        <v>2959950000</v>
      </c>
      <c r="R854">
        <v>7.3861782319421014E-10</v>
      </c>
      <c r="S854">
        <v>7.8105518643917529E-2</v>
      </c>
      <c r="U854">
        <v>2.0833333333333259E-2</v>
      </c>
      <c r="V854">
        <v>38.47</v>
      </c>
      <c r="W854">
        <v>38.18</v>
      </c>
      <c r="X854">
        <f t="shared" ref="X854:X917" si="14">(V854-W854)/AVERAGE(V854:W854)</f>
        <v>7.5668623613828869E-3</v>
      </c>
      <c r="Y854">
        <v>509463</v>
      </c>
      <c r="Z854">
        <v>354090000</v>
      </c>
      <c r="AA854">
        <v>19599041.609999999</v>
      </c>
      <c r="AB854">
        <v>173450000</v>
      </c>
      <c r="AC854">
        <v>2.9372326318823868E-3</v>
      </c>
      <c r="AD854">
        <v>78260.86</v>
      </c>
      <c r="AE854">
        <v>0.17469999999999999</v>
      </c>
      <c r="AF854">
        <v>37896810000</v>
      </c>
      <c r="AG854">
        <v>5279880000</v>
      </c>
      <c r="AH854">
        <v>1903740000</v>
      </c>
      <c r="AI854">
        <v>6296540000</v>
      </c>
      <c r="AJ854">
        <v>2959950000</v>
      </c>
      <c r="AK854">
        <v>2.9346506331173989E-10</v>
      </c>
      <c r="AL854">
        <v>7.8105518643917529E-2</v>
      </c>
    </row>
    <row r="855" spans="2:38">
      <c r="B855">
        <v>3.4996759559300102E-2</v>
      </c>
      <c r="C855">
        <v>39.06</v>
      </c>
      <c r="D855">
        <v>39</v>
      </c>
      <c r="E855">
        <v>1.5372790161414878E-3</v>
      </c>
      <c r="F855">
        <v>754259</v>
      </c>
      <c r="G855">
        <v>354090000</v>
      </c>
      <c r="H855">
        <v>29355760.280000001</v>
      </c>
      <c r="I855">
        <v>173450000</v>
      </c>
      <c r="J855">
        <v>4.3485673104641104E-3</v>
      </c>
      <c r="K855">
        <v>78488.22</v>
      </c>
      <c r="L855">
        <v>0.17469999999999999</v>
      </c>
      <c r="M855">
        <v>37896810000</v>
      </c>
      <c r="N855">
        <v>5279880000</v>
      </c>
      <c r="O855">
        <v>1903740000</v>
      </c>
      <c r="P855">
        <v>6296540000</v>
      </c>
      <c r="Q855">
        <v>2959950000</v>
      </c>
      <c r="R855">
        <v>7.6057617373478454E-10</v>
      </c>
      <c r="S855">
        <v>7.8105518643917529E-2</v>
      </c>
      <c r="U855">
        <v>3.9519566059666639E-2</v>
      </c>
      <c r="V855">
        <v>38.58</v>
      </c>
      <c r="W855">
        <v>38.299999999999997</v>
      </c>
      <c r="X855">
        <f t="shared" si="14"/>
        <v>7.2840790842872306E-3</v>
      </c>
      <c r="Y855">
        <v>584645</v>
      </c>
      <c r="Z855">
        <v>354090000</v>
      </c>
      <c r="AA855">
        <v>22362671.25</v>
      </c>
      <c r="AB855">
        <v>173450000</v>
      </c>
      <c r="AC855">
        <v>3.3706831940040357E-3</v>
      </c>
      <c r="AD855">
        <v>77745.52</v>
      </c>
      <c r="AE855">
        <v>0.189</v>
      </c>
      <c r="AF855">
        <v>37896810000</v>
      </c>
      <c r="AG855">
        <v>5279880000</v>
      </c>
      <c r="AH855">
        <v>1903740000</v>
      </c>
      <c r="AI855">
        <v>6296540000</v>
      </c>
      <c r="AJ855">
        <v>2959950000</v>
      </c>
      <c r="AK855">
        <v>8.3744702865371086E-10</v>
      </c>
      <c r="AL855">
        <v>7.8105518643917529E-2</v>
      </c>
    </row>
    <row r="856" spans="2:38">
      <c r="B856">
        <v>2.4165259191892937E-2</v>
      </c>
      <c r="C856">
        <v>38.369999999999997</v>
      </c>
      <c r="D856">
        <v>38.299999999999997</v>
      </c>
      <c r="E856">
        <v>1.8260075648884907E-3</v>
      </c>
      <c r="F856">
        <v>272973</v>
      </c>
      <c r="G856">
        <v>354090000</v>
      </c>
      <c r="H856">
        <v>10392082.109999999</v>
      </c>
      <c r="I856">
        <v>173450000</v>
      </c>
      <c r="J856">
        <v>1.5737849524358604E-3</v>
      </c>
      <c r="K856">
        <v>78349.66</v>
      </c>
      <c r="L856">
        <v>0.17469999999999999</v>
      </c>
      <c r="M856">
        <v>37896810000</v>
      </c>
      <c r="N856">
        <v>5279880000</v>
      </c>
      <c r="O856">
        <v>1903740000</v>
      </c>
      <c r="P856">
        <v>6296540000</v>
      </c>
      <c r="Q856">
        <v>2959950000</v>
      </c>
      <c r="R856">
        <v>9.0142489249721933E-10</v>
      </c>
      <c r="S856">
        <v>7.8105518643917529E-2</v>
      </c>
      <c r="U856">
        <v>4.4293015332197552E-2</v>
      </c>
      <c r="V856">
        <v>38.75</v>
      </c>
      <c r="W856">
        <v>38.56</v>
      </c>
      <c r="X856">
        <f t="shared" si="14"/>
        <v>4.9152761609105606E-3</v>
      </c>
      <c r="Y856">
        <v>1289906</v>
      </c>
      <c r="Z856">
        <v>354090000</v>
      </c>
      <c r="AA856">
        <v>50280535.879999995</v>
      </c>
      <c r="AB856">
        <v>173450000</v>
      </c>
      <c r="AC856">
        <v>7.4367598731622945E-3</v>
      </c>
      <c r="AD856">
        <v>77830.34</v>
      </c>
      <c r="AE856">
        <v>0.189</v>
      </c>
      <c r="AF856">
        <v>37896810000</v>
      </c>
      <c r="AG856">
        <v>5279880000</v>
      </c>
      <c r="AH856">
        <v>1903740000</v>
      </c>
      <c r="AI856">
        <v>6296540000</v>
      </c>
      <c r="AJ856">
        <v>2959950000</v>
      </c>
      <c r="AK856">
        <v>6.3714530588433351E-10</v>
      </c>
      <c r="AL856">
        <v>7.8105518643917529E-2</v>
      </c>
    </row>
    <row r="857" spans="2:38">
      <c r="B857">
        <v>1.7994523405919879E-2</v>
      </c>
      <c r="C857">
        <v>38.6</v>
      </c>
      <c r="D857">
        <v>38.5</v>
      </c>
      <c r="E857">
        <v>2.5940337224384289E-3</v>
      </c>
      <c r="F857">
        <v>382278</v>
      </c>
      <c r="G857">
        <v>354090000</v>
      </c>
      <c r="H857">
        <v>14690943.539999999</v>
      </c>
      <c r="I857">
        <v>173450000</v>
      </c>
      <c r="J857">
        <v>2.2039665609685788E-3</v>
      </c>
      <c r="K857">
        <v>77992.789999999994</v>
      </c>
      <c r="L857">
        <v>0.17469999999999999</v>
      </c>
      <c r="M857">
        <v>37896810000</v>
      </c>
      <c r="N857">
        <v>5279880000</v>
      </c>
      <c r="O857">
        <v>1903740000</v>
      </c>
      <c r="P857">
        <v>6296540000</v>
      </c>
      <c r="Q857">
        <v>2959950000</v>
      </c>
      <c r="R857">
        <v>6.6173369695299035E-10</v>
      </c>
      <c r="S857">
        <v>7.8105518643917529E-2</v>
      </c>
      <c r="U857">
        <v>6.7842605156037988E-2</v>
      </c>
      <c r="V857">
        <v>37.479999999999997</v>
      </c>
      <c r="W857">
        <v>37.450000000000003</v>
      </c>
      <c r="X857">
        <f t="shared" si="14"/>
        <v>8.0074736420643344E-4</v>
      </c>
      <c r="Y857">
        <v>1825835</v>
      </c>
      <c r="Z857">
        <v>354090000</v>
      </c>
      <c r="AA857">
        <v>68961787.950000003</v>
      </c>
      <c r="AB857">
        <v>173450000</v>
      </c>
      <c r="AC857">
        <v>1.0526578264629577E-2</v>
      </c>
      <c r="AD857">
        <v>78045.31</v>
      </c>
      <c r="AE857">
        <v>0.189</v>
      </c>
      <c r="AF857">
        <v>37896810000</v>
      </c>
      <c r="AG857">
        <v>5279880000</v>
      </c>
      <c r="AH857">
        <v>1903740000</v>
      </c>
      <c r="AI857">
        <v>6296540000</v>
      </c>
      <c r="AJ857">
        <v>2959950000</v>
      </c>
      <c r="AK857">
        <v>8.4510033572151796E-10</v>
      </c>
      <c r="AL857">
        <v>7.8105518643917529E-2</v>
      </c>
    </row>
    <row r="858" spans="2:38">
      <c r="B858">
        <v>2.7518172377985338E-2</v>
      </c>
      <c r="C858">
        <v>38.35</v>
      </c>
      <c r="D858">
        <v>38</v>
      </c>
      <c r="E858">
        <v>9.168303863785237E-3</v>
      </c>
      <c r="F858">
        <v>278784</v>
      </c>
      <c r="G858">
        <v>354090000</v>
      </c>
      <c r="H858">
        <v>10610519.040000001</v>
      </c>
      <c r="I858">
        <v>173450000</v>
      </c>
      <c r="J858">
        <v>1.6072874027097145E-3</v>
      </c>
      <c r="K858">
        <v>78084.240000000005</v>
      </c>
      <c r="L858">
        <v>0.17469999999999999</v>
      </c>
      <c r="M858">
        <v>37896810000</v>
      </c>
      <c r="N858">
        <v>5279880000</v>
      </c>
      <c r="O858">
        <v>1903740000</v>
      </c>
      <c r="P858">
        <v>6296540000</v>
      </c>
      <c r="Q858">
        <v>2959950000</v>
      </c>
      <c r="R858">
        <v>1.1979400057650701E-9</v>
      </c>
      <c r="S858">
        <v>7.8105518643917529E-2</v>
      </c>
      <c r="U858">
        <v>2.1201413427561839E-2</v>
      </c>
      <c r="V858">
        <v>35.75</v>
      </c>
      <c r="W858">
        <v>35.700000000000003</v>
      </c>
      <c r="X858">
        <f t="shared" si="14"/>
        <v>1.3995801259621317E-3</v>
      </c>
      <c r="Y858">
        <v>336531</v>
      </c>
      <c r="Z858">
        <v>354090000</v>
      </c>
      <c r="AA858">
        <v>12010791.389999999</v>
      </c>
      <c r="AB858">
        <v>173450000</v>
      </c>
      <c r="AC858">
        <v>1.940219083309311E-3</v>
      </c>
      <c r="AD858">
        <v>78105.98</v>
      </c>
      <c r="AE858">
        <v>0.189</v>
      </c>
      <c r="AF858">
        <v>37896810000</v>
      </c>
      <c r="AG858">
        <v>5279880000</v>
      </c>
      <c r="AH858">
        <v>1903740000</v>
      </c>
      <c r="AI858">
        <v>6296540000</v>
      </c>
      <c r="AJ858">
        <v>2959950000</v>
      </c>
      <c r="AK858">
        <v>1.9090503974059557E-9</v>
      </c>
      <c r="AL858">
        <v>7.8105518643917529E-2</v>
      </c>
    </row>
    <row r="859" spans="2:38">
      <c r="B859">
        <v>3.2099404607817815E-2</v>
      </c>
      <c r="C859">
        <v>38.700000000000003</v>
      </c>
      <c r="D859">
        <v>38.65</v>
      </c>
      <c r="E859">
        <v>1.2928248222366973E-3</v>
      </c>
      <c r="F859">
        <v>372082</v>
      </c>
      <c r="G859">
        <v>354090000</v>
      </c>
      <c r="H859">
        <v>14343761.1</v>
      </c>
      <c r="I859">
        <v>173450000</v>
      </c>
      <c r="J859">
        <v>2.1451830498702795E-3</v>
      </c>
      <c r="K859">
        <v>78571.06</v>
      </c>
      <c r="L859">
        <v>0.17469999999999999</v>
      </c>
      <c r="M859">
        <v>37896810000</v>
      </c>
      <c r="N859">
        <v>5279880000</v>
      </c>
      <c r="O859">
        <v>1903740000</v>
      </c>
      <c r="P859">
        <v>6296540000</v>
      </c>
      <c r="Q859">
        <v>2959950000</v>
      </c>
      <c r="R859">
        <v>9.9045066272406403E-10</v>
      </c>
      <c r="S859">
        <v>7.8105518643917529E-2</v>
      </c>
      <c r="U859">
        <v>1.8745493871665426E-2</v>
      </c>
      <c r="V859">
        <v>34.99</v>
      </c>
      <c r="W859">
        <v>34.85</v>
      </c>
      <c r="X859">
        <f t="shared" si="14"/>
        <v>4.0091638029782521E-3</v>
      </c>
      <c r="Y859">
        <v>175860</v>
      </c>
      <c r="Z859">
        <v>354090000</v>
      </c>
      <c r="AA859">
        <v>6135755.4000000004</v>
      </c>
      <c r="AB859">
        <v>173450000</v>
      </c>
      <c r="AC859">
        <v>1.0138944940905161E-3</v>
      </c>
      <c r="AD859">
        <v>77877.42</v>
      </c>
      <c r="AE859">
        <v>0.189</v>
      </c>
      <c r="AF859">
        <v>37896810000</v>
      </c>
      <c r="AG859">
        <v>5279880000</v>
      </c>
      <c r="AH859">
        <v>1903740000</v>
      </c>
      <c r="AI859">
        <v>6296540000</v>
      </c>
      <c r="AJ859">
        <v>2959950000</v>
      </c>
      <c r="AK859">
        <v>3.7284327698731811E-10</v>
      </c>
      <c r="AL859">
        <v>7.8105518643917529E-2</v>
      </c>
    </row>
    <row r="860" spans="2:38">
      <c r="B860">
        <v>1.5443004842298219E-2</v>
      </c>
      <c r="C860">
        <v>38.29</v>
      </c>
      <c r="D860">
        <v>38.01</v>
      </c>
      <c r="E860">
        <v>7.3394495412844336E-3</v>
      </c>
      <c r="F860">
        <v>217145</v>
      </c>
      <c r="G860">
        <v>354090000</v>
      </c>
      <c r="H860">
        <v>8253681.4499999993</v>
      </c>
      <c r="I860">
        <v>173450000</v>
      </c>
      <c r="J860">
        <v>1.2519169789564717E-3</v>
      </c>
      <c r="K860">
        <v>78801.429999999993</v>
      </c>
      <c r="L860">
        <v>0.17469999999999999</v>
      </c>
      <c r="M860">
        <v>37896810000</v>
      </c>
      <c r="N860">
        <v>5279880000</v>
      </c>
      <c r="O860">
        <v>1903740000</v>
      </c>
      <c r="P860">
        <v>6296540000</v>
      </c>
      <c r="Q860">
        <v>2959950000</v>
      </c>
      <c r="R860">
        <v>3.496166361225718E-10</v>
      </c>
      <c r="S860">
        <v>7.8105518643917529E-2</v>
      </c>
      <c r="U860">
        <v>2.7436823104693222E-2</v>
      </c>
      <c r="V860">
        <v>34.950000000000003</v>
      </c>
      <c r="W860">
        <v>34.9</v>
      </c>
      <c r="X860">
        <f t="shared" si="14"/>
        <v>1.4316392269149397E-3</v>
      </c>
      <c r="Y860">
        <v>466197</v>
      </c>
      <c r="Z860">
        <v>354090000</v>
      </c>
      <c r="AA860">
        <v>16302909.09</v>
      </c>
      <c r="AB860">
        <v>173450000</v>
      </c>
      <c r="AC860">
        <v>2.6877889881810322E-3</v>
      </c>
      <c r="AD860">
        <v>77980.289999999994</v>
      </c>
      <c r="AE860">
        <v>0.189</v>
      </c>
      <c r="AF860">
        <v>37896810000</v>
      </c>
      <c r="AG860">
        <v>5279880000</v>
      </c>
      <c r="AH860">
        <v>1903740000</v>
      </c>
      <c r="AI860">
        <v>6296540000</v>
      </c>
      <c r="AJ860">
        <v>2959950000</v>
      </c>
      <c r="AK860">
        <v>1.7535376219665439E-11</v>
      </c>
      <c r="AL860">
        <v>7.8105518643917529E-2</v>
      </c>
    </row>
    <row r="861" spans="2:38">
      <c r="B861">
        <v>1.9543973941368076E-2</v>
      </c>
      <c r="C861">
        <v>38.450000000000003</v>
      </c>
      <c r="D861">
        <v>38.1</v>
      </c>
      <c r="E861">
        <v>9.1443500979752155E-3</v>
      </c>
      <c r="F861">
        <v>240844</v>
      </c>
      <c r="G861">
        <v>354090000</v>
      </c>
      <c r="H861">
        <v>9180973.2799999993</v>
      </c>
      <c r="I861">
        <v>173450000</v>
      </c>
      <c r="J861">
        <v>1.3885500144133756E-3</v>
      </c>
      <c r="K861">
        <v>78793.41</v>
      </c>
      <c r="L861">
        <v>0.17469999999999999</v>
      </c>
      <c r="M861">
        <v>37896810000</v>
      </c>
      <c r="N861">
        <v>5279880000</v>
      </c>
      <c r="O861">
        <v>1903740000</v>
      </c>
      <c r="P861">
        <v>6296540000</v>
      </c>
      <c r="Q861">
        <v>2959950000</v>
      </c>
      <c r="R861">
        <v>9.9096230463521861E-10</v>
      </c>
      <c r="S861">
        <v>7.8105518643917529E-2</v>
      </c>
      <c r="U861">
        <v>2.5395919532030263E-2</v>
      </c>
      <c r="V861">
        <v>35</v>
      </c>
      <c r="W861">
        <v>34.92</v>
      </c>
      <c r="X861">
        <f t="shared" si="14"/>
        <v>2.2883295194507519E-3</v>
      </c>
      <c r="Y861">
        <v>324886</v>
      </c>
      <c r="Z861">
        <v>354090000</v>
      </c>
      <c r="AA861">
        <v>11364512.279999999</v>
      </c>
      <c r="AB861">
        <v>173450000</v>
      </c>
      <c r="AC861">
        <v>1.8730815797059672E-3</v>
      </c>
      <c r="AD861">
        <v>78569.59</v>
      </c>
      <c r="AE861">
        <v>0.189</v>
      </c>
      <c r="AF861">
        <v>37896810000</v>
      </c>
      <c r="AG861">
        <v>5279880000</v>
      </c>
      <c r="AH861">
        <v>1903740000</v>
      </c>
      <c r="AI861">
        <v>6296540000</v>
      </c>
      <c r="AJ861">
        <v>2959950000</v>
      </c>
      <c r="AK861">
        <v>3.2580798249624868E-10</v>
      </c>
      <c r="AL861">
        <v>7.8105518643917529E-2</v>
      </c>
    </row>
    <row r="862" spans="2:38">
      <c r="B862">
        <v>2.0833333333333259E-2</v>
      </c>
      <c r="C862">
        <v>38.47</v>
      </c>
      <c r="D862">
        <v>38.18</v>
      </c>
      <c r="E862">
        <v>7.5668623613828869E-3</v>
      </c>
      <c r="F862">
        <v>509463</v>
      </c>
      <c r="G862">
        <v>354090000</v>
      </c>
      <c r="H862">
        <v>19599041.609999999</v>
      </c>
      <c r="I862">
        <v>173450000</v>
      </c>
      <c r="J862">
        <v>2.9372326318823868E-3</v>
      </c>
      <c r="K862">
        <v>78260.86</v>
      </c>
      <c r="L862">
        <v>0.17469999999999999</v>
      </c>
      <c r="M862">
        <v>37896810000</v>
      </c>
      <c r="N862">
        <v>5279880000</v>
      </c>
      <c r="O862">
        <v>1903740000</v>
      </c>
      <c r="P862">
        <v>6296540000</v>
      </c>
      <c r="Q862">
        <v>2959950000</v>
      </c>
      <c r="R862">
        <v>2.9346506331173989E-10</v>
      </c>
      <c r="S862">
        <v>7.8105518643917529E-2</v>
      </c>
      <c r="U862">
        <v>1.7094017094017137E-2</v>
      </c>
      <c r="V862">
        <v>35.299999999999997</v>
      </c>
      <c r="W862">
        <v>35.11</v>
      </c>
      <c r="X862">
        <f t="shared" si="14"/>
        <v>5.3969606589972371E-3</v>
      </c>
      <c r="Y862">
        <v>237180</v>
      </c>
      <c r="Z862">
        <v>354090000</v>
      </c>
      <c r="AA862">
        <v>8327389.7999999998</v>
      </c>
      <c r="AB862">
        <v>173450000</v>
      </c>
      <c r="AC862">
        <v>1.3674257711155952E-3</v>
      </c>
      <c r="AD862">
        <v>77874.22</v>
      </c>
      <c r="AE862">
        <v>0.189</v>
      </c>
      <c r="AF862">
        <v>37896810000</v>
      </c>
      <c r="AG862">
        <v>5279880000</v>
      </c>
      <c r="AH862">
        <v>1903740000</v>
      </c>
      <c r="AI862">
        <v>6296540000</v>
      </c>
      <c r="AJ862">
        <v>2959950000</v>
      </c>
      <c r="AK862">
        <v>3.4192952154373905E-11</v>
      </c>
      <c r="AL862">
        <v>7.8105518643917529E-2</v>
      </c>
    </row>
    <row r="863" spans="2:38">
      <c r="B863">
        <v>3.9519566059666639E-2</v>
      </c>
      <c r="C863">
        <v>38.58</v>
      </c>
      <c r="D863">
        <v>38.299999999999997</v>
      </c>
      <c r="E863">
        <v>7.2840790842872306E-3</v>
      </c>
      <c r="F863">
        <v>584645</v>
      </c>
      <c r="G863">
        <v>354090000</v>
      </c>
      <c r="H863">
        <v>22362671.25</v>
      </c>
      <c r="I863">
        <v>173450000</v>
      </c>
      <c r="J863">
        <v>3.3706831940040357E-3</v>
      </c>
      <c r="K863">
        <v>77745.52</v>
      </c>
      <c r="L863">
        <v>0.189</v>
      </c>
      <c r="M863">
        <v>37896810000</v>
      </c>
      <c r="N863">
        <v>5279880000</v>
      </c>
      <c r="O863">
        <v>1903740000</v>
      </c>
      <c r="P863">
        <v>6296540000</v>
      </c>
      <c r="Q863">
        <v>2959950000</v>
      </c>
      <c r="R863">
        <v>8.3744702865371086E-10</v>
      </c>
      <c r="S863">
        <v>7.8105518643917529E-2</v>
      </c>
      <c r="U863">
        <v>2.2922636103151782E-2</v>
      </c>
      <c r="V863">
        <v>35.25</v>
      </c>
      <c r="W863">
        <v>35.17</v>
      </c>
      <c r="X863">
        <f t="shared" si="14"/>
        <v>2.2720817949445694E-3</v>
      </c>
      <c r="Y863">
        <v>200055</v>
      </c>
      <c r="Z863">
        <v>354090000</v>
      </c>
      <c r="AA863">
        <v>7025931.5999999996</v>
      </c>
      <c r="AB863">
        <v>173450000</v>
      </c>
      <c r="AC863">
        <v>1.1533871432689536E-3</v>
      </c>
      <c r="AD863">
        <v>77114.490000000005</v>
      </c>
      <c r="AE863">
        <v>0.189</v>
      </c>
      <c r="AF863">
        <v>37896810000</v>
      </c>
      <c r="AG863">
        <v>5279880000</v>
      </c>
      <c r="AH863">
        <v>1903740000</v>
      </c>
      <c r="AI863">
        <v>6296540000</v>
      </c>
      <c r="AJ863">
        <v>2959950000</v>
      </c>
      <c r="AK863">
        <v>6.923055669045191E-10</v>
      </c>
      <c r="AL863">
        <v>7.8105518643917529E-2</v>
      </c>
    </row>
    <row r="864" spans="2:38">
      <c r="B864">
        <v>4.4293015332197552E-2</v>
      </c>
      <c r="C864">
        <v>38.75</v>
      </c>
      <c r="D864">
        <v>38.56</v>
      </c>
      <c r="E864">
        <v>4.9152761609105606E-3</v>
      </c>
      <c r="F864">
        <v>1289906</v>
      </c>
      <c r="G864">
        <v>354090000</v>
      </c>
      <c r="H864">
        <v>50280535.879999995</v>
      </c>
      <c r="I864">
        <v>173450000</v>
      </c>
      <c r="J864">
        <v>7.4367598731622945E-3</v>
      </c>
      <c r="K864">
        <v>77830.34</v>
      </c>
      <c r="L864">
        <v>0.189</v>
      </c>
      <c r="M864">
        <v>37896810000</v>
      </c>
      <c r="N864">
        <v>5279880000</v>
      </c>
      <c r="O864">
        <v>1903740000</v>
      </c>
      <c r="P864">
        <v>6296540000</v>
      </c>
      <c r="Q864">
        <v>2959950000</v>
      </c>
      <c r="R864">
        <v>6.3714530588433351E-10</v>
      </c>
      <c r="S864">
        <v>7.8105518643917529E-2</v>
      </c>
      <c r="U864">
        <v>3.1553046750615238E-2</v>
      </c>
      <c r="V864">
        <v>34.99</v>
      </c>
      <c r="W864">
        <v>34.94</v>
      </c>
      <c r="X864">
        <f t="shared" si="14"/>
        <v>1.4300014300015517E-3</v>
      </c>
      <c r="Y864">
        <v>429858</v>
      </c>
      <c r="Z864">
        <v>354090000</v>
      </c>
      <c r="AA864">
        <v>15023537.100000001</v>
      </c>
      <c r="AB864">
        <v>173450000</v>
      </c>
      <c r="AC864">
        <v>2.4782819256269819E-3</v>
      </c>
      <c r="AD864">
        <v>77191.34</v>
      </c>
      <c r="AE864">
        <v>0.19489999999999999</v>
      </c>
      <c r="AF864">
        <v>37896810000</v>
      </c>
      <c r="AG864">
        <v>5279880000</v>
      </c>
      <c r="AH864">
        <v>1903740000</v>
      </c>
      <c r="AI864">
        <v>6296540000</v>
      </c>
      <c r="AJ864">
        <v>2959950000</v>
      </c>
      <c r="AK864">
        <v>1.9807850157656433E-9</v>
      </c>
      <c r="AL864">
        <v>7.8105518643917529E-2</v>
      </c>
    </row>
    <row r="865" spans="2:38">
      <c r="B865">
        <v>6.7842605156037988E-2</v>
      </c>
      <c r="C865">
        <v>37.479999999999997</v>
      </c>
      <c r="D865">
        <v>37.450000000000003</v>
      </c>
      <c r="E865">
        <v>8.0074736420643344E-4</v>
      </c>
      <c r="F865">
        <v>1825835</v>
      </c>
      <c r="G865">
        <v>354090000</v>
      </c>
      <c r="H865">
        <v>68961787.950000003</v>
      </c>
      <c r="I865">
        <v>173450000</v>
      </c>
      <c r="J865">
        <v>1.0526578264629577E-2</v>
      </c>
      <c r="K865">
        <v>78045.31</v>
      </c>
      <c r="L865">
        <v>0.189</v>
      </c>
      <c r="M865">
        <v>37896810000</v>
      </c>
      <c r="N865">
        <v>5279880000</v>
      </c>
      <c r="O865">
        <v>1903740000</v>
      </c>
      <c r="P865">
        <v>6296540000</v>
      </c>
      <c r="Q865">
        <v>2959950000</v>
      </c>
      <c r="R865">
        <v>8.4510033572151796E-10</v>
      </c>
      <c r="S865">
        <v>7.8105518643917529E-2</v>
      </c>
      <c r="U865">
        <v>6.4220183486238591E-2</v>
      </c>
      <c r="V865">
        <v>34</v>
      </c>
      <c r="W865">
        <v>33.9</v>
      </c>
      <c r="X865">
        <f t="shared" si="14"/>
        <v>2.945508100147317E-3</v>
      </c>
      <c r="Y865">
        <v>3109194</v>
      </c>
      <c r="Z865">
        <v>354090000</v>
      </c>
      <c r="AA865">
        <v>105526044.36</v>
      </c>
      <c r="AB865">
        <v>173450000</v>
      </c>
      <c r="AC865">
        <v>1.7925592389737677E-2</v>
      </c>
      <c r="AD865">
        <v>77084.490000000005</v>
      </c>
      <c r="AE865">
        <v>0.19489999999999999</v>
      </c>
      <c r="AF865">
        <v>37896810000</v>
      </c>
      <c r="AG865">
        <v>5279880000</v>
      </c>
      <c r="AH865">
        <v>1903740000</v>
      </c>
      <c r="AI865">
        <v>6296540000</v>
      </c>
      <c r="AJ865">
        <v>2959950000</v>
      </c>
      <c r="AK865">
        <v>4.2407459685770281E-10</v>
      </c>
      <c r="AL865">
        <v>7.8105518643917529E-2</v>
      </c>
    </row>
    <row r="866" spans="2:38">
      <c r="B866">
        <v>2.1201413427561839E-2</v>
      </c>
      <c r="C866">
        <v>35.75</v>
      </c>
      <c r="D866">
        <v>35.700000000000003</v>
      </c>
      <c r="E866">
        <v>1.3995801259621317E-3</v>
      </c>
      <c r="F866">
        <v>336531</v>
      </c>
      <c r="G866">
        <v>354090000</v>
      </c>
      <c r="H866">
        <v>12010791.389999999</v>
      </c>
      <c r="I866">
        <v>173450000</v>
      </c>
      <c r="J866">
        <v>1.940219083309311E-3</v>
      </c>
      <c r="K866">
        <v>78105.98</v>
      </c>
      <c r="L866">
        <v>0.189</v>
      </c>
      <c r="M866">
        <v>37896810000</v>
      </c>
      <c r="N866">
        <v>5279880000</v>
      </c>
      <c r="O866">
        <v>1903740000</v>
      </c>
      <c r="P866">
        <v>6296540000</v>
      </c>
      <c r="Q866">
        <v>2959950000</v>
      </c>
      <c r="R866">
        <v>1.9090503974059557E-9</v>
      </c>
      <c r="S866">
        <v>7.8105518643917529E-2</v>
      </c>
      <c r="U866">
        <v>4.2553191489361701E-2</v>
      </c>
      <c r="V866">
        <v>35.9</v>
      </c>
      <c r="W866">
        <v>35.659999999999997</v>
      </c>
      <c r="X866">
        <f t="shared" si="14"/>
        <v>6.7076579094466739E-3</v>
      </c>
      <c r="Y866">
        <v>1047605</v>
      </c>
      <c r="Z866">
        <v>354090000</v>
      </c>
      <c r="AA866">
        <v>37221405.649999999</v>
      </c>
      <c r="AB866">
        <v>173450000</v>
      </c>
      <c r="AC866">
        <v>6.0398097434419141E-3</v>
      </c>
      <c r="AD866">
        <v>78225.98</v>
      </c>
      <c r="AE866">
        <v>0.19489999999999999</v>
      </c>
      <c r="AF866">
        <v>37896810000</v>
      </c>
      <c r="AG866">
        <v>5279880000</v>
      </c>
      <c r="AH866">
        <v>1903740000</v>
      </c>
      <c r="AI866">
        <v>6296540000</v>
      </c>
      <c r="AJ866">
        <v>2959950000</v>
      </c>
      <c r="AK866">
        <v>7.380840941596078E-10</v>
      </c>
      <c r="AL866">
        <v>7.8105518643917529E-2</v>
      </c>
    </row>
    <row r="867" spans="2:38">
      <c r="B867">
        <v>1.8745493871665426E-2</v>
      </c>
      <c r="C867">
        <v>34.99</v>
      </c>
      <c r="D867">
        <v>34.85</v>
      </c>
      <c r="E867">
        <v>4.0091638029782521E-3</v>
      </c>
      <c r="F867">
        <v>175860</v>
      </c>
      <c r="G867">
        <v>354090000</v>
      </c>
      <c r="H867">
        <v>6135755.4000000004</v>
      </c>
      <c r="I867">
        <v>173450000</v>
      </c>
      <c r="J867">
        <v>1.0138944940905161E-3</v>
      </c>
      <c r="K867">
        <v>77877.42</v>
      </c>
      <c r="L867">
        <v>0.189</v>
      </c>
      <c r="M867">
        <v>37896810000</v>
      </c>
      <c r="N867">
        <v>5279880000</v>
      </c>
      <c r="O867">
        <v>1903740000</v>
      </c>
      <c r="P867">
        <v>6296540000</v>
      </c>
      <c r="Q867">
        <v>2959950000</v>
      </c>
      <c r="R867">
        <v>3.7284327698731811E-10</v>
      </c>
      <c r="S867">
        <v>7.8105518643917529E-2</v>
      </c>
      <c r="U867">
        <v>3.7451008854696072E-2</v>
      </c>
      <c r="V867">
        <v>34.700000000000003</v>
      </c>
      <c r="W867">
        <v>34.409999999999997</v>
      </c>
      <c r="X867">
        <f t="shared" si="14"/>
        <v>8.3924178845320874E-3</v>
      </c>
      <c r="Y867">
        <v>674921</v>
      </c>
      <c r="Z867">
        <v>354090000</v>
      </c>
      <c r="AA867">
        <v>23338768.18</v>
      </c>
      <c r="AB867">
        <v>173450000</v>
      </c>
      <c r="AC867">
        <v>3.8911559527241282E-3</v>
      </c>
      <c r="AD867">
        <v>77740.31</v>
      </c>
      <c r="AE867">
        <v>0.19489999999999999</v>
      </c>
      <c r="AF867">
        <v>37896810000</v>
      </c>
      <c r="AG867">
        <v>5279880000</v>
      </c>
      <c r="AH867">
        <v>1903740000</v>
      </c>
      <c r="AI867">
        <v>6296540000</v>
      </c>
      <c r="AJ867">
        <v>2959950000</v>
      </c>
      <c r="AK867">
        <v>4.3811004918493801E-10</v>
      </c>
      <c r="AL867">
        <v>7.8105518643917529E-2</v>
      </c>
    </row>
    <row r="868" spans="2:38">
      <c r="B868">
        <v>2.7436823104693222E-2</v>
      </c>
      <c r="C868">
        <v>34.950000000000003</v>
      </c>
      <c r="D868">
        <v>34.9</v>
      </c>
      <c r="E868">
        <v>1.4316392269149397E-3</v>
      </c>
      <c r="F868">
        <v>466197</v>
      </c>
      <c r="G868">
        <v>354090000</v>
      </c>
      <c r="H868">
        <v>16302909.09</v>
      </c>
      <c r="I868">
        <v>173450000</v>
      </c>
      <c r="J868">
        <v>2.6877889881810322E-3</v>
      </c>
      <c r="K868">
        <v>77980.289999999994</v>
      </c>
      <c r="L868">
        <v>0.189</v>
      </c>
      <c r="M868">
        <v>37896810000</v>
      </c>
      <c r="N868">
        <v>5279880000</v>
      </c>
      <c r="O868">
        <v>1903740000</v>
      </c>
      <c r="P868">
        <v>6296540000</v>
      </c>
      <c r="Q868">
        <v>2959950000</v>
      </c>
      <c r="R868">
        <v>1.7535376219665439E-11</v>
      </c>
      <c r="S868">
        <v>7.8105518643917529E-2</v>
      </c>
      <c r="U868">
        <v>5.3122756640344618E-2</v>
      </c>
      <c r="V868">
        <v>34.49</v>
      </c>
      <c r="W868">
        <v>33.9</v>
      </c>
      <c r="X868">
        <f t="shared" si="14"/>
        <v>1.7253984500658091E-2</v>
      </c>
      <c r="Y868">
        <v>812778</v>
      </c>
      <c r="Z868">
        <v>354090000</v>
      </c>
      <c r="AA868">
        <v>27821390.939999998</v>
      </c>
      <c r="AB868">
        <v>173450000</v>
      </c>
      <c r="AC868">
        <v>4.6859498414528683E-3</v>
      </c>
      <c r="AD868">
        <v>77886.990000000005</v>
      </c>
      <c r="AE868">
        <v>0.19489999999999999</v>
      </c>
      <c r="AF868">
        <v>37896810000</v>
      </c>
      <c r="AG868">
        <v>5279880000</v>
      </c>
      <c r="AH868">
        <v>1903740000</v>
      </c>
      <c r="AI868">
        <v>6296540000</v>
      </c>
      <c r="AJ868">
        <v>2959950000</v>
      </c>
      <c r="AK868">
        <v>5.5822621833737871E-10</v>
      </c>
      <c r="AL868">
        <v>7.8105518643917529E-2</v>
      </c>
    </row>
    <row r="869" spans="2:38">
      <c r="B869">
        <v>2.5395919532030263E-2</v>
      </c>
      <c r="C869">
        <v>35</v>
      </c>
      <c r="D869">
        <v>34.92</v>
      </c>
      <c r="E869">
        <v>2.2883295194507519E-3</v>
      </c>
      <c r="F869">
        <v>324886</v>
      </c>
      <c r="G869">
        <v>354090000</v>
      </c>
      <c r="H869">
        <v>11364512.279999999</v>
      </c>
      <c r="I869">
        <v>173450000</v>
      </c>
      <c r="J869">
        <v>1.8730815797059672E-3</v>
      </c>
      <c r="K869">
        <v>78569.59</v>
      </c>
      <c r="L869">
        <v>0.189</v>
      </c>
      <c r="M869">
        <v>37896810000</v>
      </c>
      <c r="N869">
        <v>5279880000</v>
      </c>
      <c r="O869">
        <v>1903740000</v>
      </c>
      <c r="P869">
        <v>6296540000</v>
      </c>
      <c r="Q869">
        <v>2959950000</v>
      </c>
      <c r="R869">
        <v>3.2580798249624868E-10</v>
      </c>
      <c r="S869">
        <v>7.8105518643917529E-2</v>
      </c>
      <c r="U869">
        <v>2.5432204600657256E-2</v>
      </c>
      <c r="V869">
        <v>35</v>
      </c>
      <c r="W869">
        <v>34.71</v>
      </c>
      <c r="X869">
        <f t="shared" si="14"/>
        <v>8.320183617845334E-3</v>
      </c>
      <c r="Y869">
        <v>253073</v>
      </c>
      <c r="Z869">
        <v>354090000</v>
      </c>
      <c r="AA869">
        <v>8799348.2100000009</v>
      </c>
      <c r="AB869">
        <v>173450000</v>
      </c>
      <c r="AC869">
        <v>1.4590544825598155E-3</v>
      </c>
      <c r="AD869">
        <v>78628.81</v>
      </c>
      <c r="AE869">
        <v>0.19489999999999999</v>
      </c>
      <c r="AF869">
        <v>37896810000</v>
      </c>
      <c r="AG869">
        <v>5279880000</v>
      </c>
      <c r="AH869">
        <v>1903740000</v>
      </c>
      <c r="AI869">
        <v>6296540000</v>
      </c>
      <c r="AJ869">
        <v>2959950000</v>
      </c>
      <c r="AK869">
        <v>6.4995585341446345E-10</v>
      </c>
      <c r="AL869">
        <v>7.8105518643917529E-2</v>
      </c>
    </row>
    <row r="870" spans="2:38">
      <c r="B870">
        <v>1.7094017094017137E-2</v>
      </c>
      <c r="C870">
        <v>35.299999999999997</v>
      </c>
      <c r="D870">
        <v>35.11</v>
      </c>
      <c r="E870">
        <v>5.3969606589972371E-3</v>
      </c>
      <c r="F870">
        <v>237180</v>
      </c>
      <c r="G870">
        <v>354090000</v>
      </c>
      <c r="H870">
        <v>8327389.7999999998</v>
      </c>
      <c r="I870">
        <v>173450000</v>
      </c>
      <c r="J870">
        <v>1.3674257711155952E-3</v>
      </c>
      <c r="K870">
        <v>77874.22</v>
      </c>
      <c r="L870">
        <v>0.189</v>
      </c>
      <c r="M870">
        <v>37896810000</v>
      </c>
      <c r="N870">
        <v>5279880000</v>
      </c>
      <c r="O870">
        <v>1903740000</v>
      </c>
      <c r="P870">
        <v>6296540000</v>
      </c>
      <c r="Q870">
        <v>2959950000</v>
      </c>
      <c r="R870">
        <v>3.4192952154373905E-11</v>
      </c>
      <c r="S870">
        <v>7.8105518643917529E-2</v>
      </c>
      <c r="U870">
        <v>4.0816326530612207E-2</v>
      </c>
      <c r="V870">
        <v>34.979999999999997</v>
      </c>
      <c r="W870">
        <v>34.799999999999997</v>
      </c>
      <c r="X870">
        <f t="shared" si="14"/>
        <v>5.159071367153904E-3</v>
      </c>
      <c r="Y870">
        <v>2120135</v>
      </c>
      <c r="Z870">
        <v>354090000</v>
      </c>
      <c r="AA870">
        <v>74141120.950000003</v>
      </c>
      <c r="AB870">
        <v>173450000</v>
      </c>
      <c r="AC870">
        <v>1.2223320841741136E-2</v>
      </c>
      <c r="AD870">
        <v>78827.740000000005</v>
      </c>
      <c r="AE870">
        <v>0.19489999999999999</v>
      </c>
      <c r="AF870">
        <v>37896810000</v>
      </c>
      <c r="AG870">
        <v>5279880000</v>
      </c>
      <c r="AH870">
        <v>1903740000</v>
      </c>
      <c r="AI870">
        <v>6296540000</v>
      </c>
      <c r="AJ870">
        <v>2959950000</v>
      </c>
      <c r="AK870">
        <v>3.6442785363842955E-10</v>
      </c>
      <c r="AL870">
        <v>7.8105518643917529E-2</v>
      </c>
    </row>
    <row r="871" spans="2:38">
      <c r="B871">
        <v>2.2922636103151782E-2</v>
      </c>
      <c r="C871">
        <v>35.25</v>
      </c>
      <c r="D871">
        <v>35.17</v>
      </c>
      <c r="E871">
        <v>2.2720817949445694E-3</v>
      </c>
      <c r="F871">
        <v>200055</v>
      </c>
      <c r="G871">
        <v>354090000</v>
      </c>
      <c r="H871">
        <v>7025931.5999999996</v>
      </c>
      <c r="I871">
        <v>173450000</v>
      </c>
      <c r="J871">
        <v>1.1533871432689536E-3</v>
      </c>
      <c r="K871">
        <v>77114.490000000005</v>
      </c>
      <c r="L871">
        <v>0.189</v>
      </c>
      <c r="M871">
        <v>37896810000</v>
      </c>
      <c r="N871">
        <v>5279880000</v>
      </c>
      <c r="O871">
        <v>1903740000</v>
      </c>
      <c r="P871">
        <v>6296540000</v>
      </c>
      <c r="Q871">
        <v>2959950000</v>
      </c>
      <c r="R871">
        <v>6.923055669045191E-10</v>
      </c>
      <c r="S871">
        <v>7.8105518643917529E-2</v>
      </c>
      <c r="U871">
        <v>6.0308757755013806E-2</v>
      </c>
      <c r="V871">
        <v>33.99</v>
      </c>
      <c r="W871">
        <v>33.909999999999997</v>
      </c>
      <c r="X871">
        <f t="shared" si="14"/>
        <v>2.3564064801179794E-3</v>
      </c>
      <c r="Y871">
        <v>1868094</v>
      </c>
      <c r="Z871">
        <v>354090000</v>
      </c>
      <c r="AA871">
        <v>63608600.699999996</v>
      </c>
      <c r="AB871">
        <v>173450000</v>
      </c>
      <c r="AC871">
        <v>1.0770216200634189E-2</v>
      </c>
      <c r="AD871">
        <v>78029.509999999995</v>
      </c>
      <c r="AE871">
        <v>0.19489999999999999</v>
      </c>
      <c r="AF871">
        <v>37896810000</v>
      </c>
      <c r="AG871">
        <v>5279880000</v>
      </c>
      <c r="AH871">
        <v>1903740000</v>
      </c>
      <c r="AI871">
        <v>6296540000</v>
      </c>
      <c r="AJ871">
        <v>2959950000</v>
      </c>
      <c r="AK871">
        <v>7.9351007970670846E-10</v>
      </c>
      <c r="AL871">
        <v>7.8105518643917529E-2</v>
      </c>
    </row>
    <row r="872" spans="2:38">
      <c r="B872">
        <v>3.1553046750615238E-2</v>
      </c>
      <c r="C872">
        <v>34.99</v>
      </c>
      <c r="D872">
        <v>34.94</v>
      </c>
      <c r="E872">
        <v>1.4300014300015517E-3</v>
      </c>
      <c r="F872">
        <v>429858</v>
      </c>
      <c r="G872">
        <v>354090000</v>
      </c>
      <c r="H872">
        <v>15023537.100000001</v>
      </c>
      <c r="I872">
        <v>173450000</v>
      </c>
      <c r="J872">
        <v>2.4782819256269819E-3</v>
      </c>
      <c r="K872">
        <v>77191.34</v>
      </c>
      <c r="L872">
        <v>0.19489999999999999</v>
      </c>
      <c r="M872">
        <v>37896810000</v>
      </c>
      <c r="N872">
        <v>5279880000</v>
      </c>
      <c r="O872">
        <v>1903740000</v>
      </c>
      <c r="P872">
        <v>6296540000</v>
      </c>
      <c r="Q872">
        <v>2959950000</v>
      </c>
      <c r="R872">
        <v>1.9807850157656433E-9</v>
      </c>
      <c r="S872">
        <v>7.8105518643917529E-2</v>
      </c>
      <c r="U872">
        <v>6.812853399531095E-2</v>
      </c>
      <c r="V872">
        <v>35.4</v>
      </c>
      <c r="W872">
        <v>35.26</v>
      </c>
      <c r="X872">
        <f t="shared" si="14"/>
        <v>3.9626379847155554E-3</v>
      </c>
      <c r="Y872">
        <v>331919</v>
      </c>
      <c r="Z872">
        <v>354090000</v>
      </c>
      <c r="AA872">
        <v>11902615.34</v>
      </c>
      <c r="AB872">
        <v>173450000</v>
      </c>
      <c r="AC872">
        <v>1.9136292879792446E-3</v>
      </c>
      <c r="AD872">
        <v>78469.33</v>
      </c>
      <c r="AE872">
        <v>0.19489999999999999</v>
      </c>
      <c r="AF872">
        <v>37896810000</v>
      </c>
      <c r="AG872">
        <v>5279880000</v>
      </c>
      <c r="AH872">
        <v>1903740000</v>
      </c>
      <c r="AI872">
        <v>6296540000</v>
      </c>
      <c r="AJ872">
        <v>2959950000</v>
      </c>
      <c r="AK872">
        <v>2.5445366890096228E-9</v>
      </c>
      <c r="AL872">
        <v>7.8105518643917529E-2</v>
      </c>
    </row>
    <row r="873" spans="2:38">
      <c r="B873">
        <v>6.4220183486238591E-2</v>
      </c>
      <c r="C873">
        <v>34</v>
      </c>
      <c r="D873">
        <v>33.9</v>
      </c>
      <c r="E873">
        <v>2.945508100147317E-3</v>
      </c>
      <c r="F873">
        <v>3109194</v>
      </c>
      <c r="G873">
        <v>354090000</v>
      </c>
      <c r="H873">
        <v>105526044.36</v>
      </c>
      <c r="I873">
        <v>173450000</v>
      </c>
      <c r="J873">
        <v>1.7925592389737677E-2</v>
      </c>
      <c r="K873">
        <v>77084.490000000005</v>
      </c>
      <c r="L873">
        <v>0.19489999999999999</v>
      </c>
      <c r="M873">
        <v>37896810000</v>
      </c>
      <c r="N873">
        <v>5279880000</v>
      </c>
      <c r="O873">
        <v>1903740000</v>
      </c>
      <c r="P873">
        <v>6296540000</v>
      </c>
      <c r="Q873">
        <v>2959950000</v>
      </c>
      <c r="R873">
        <v>4.2407459685770281E-10</v>
      </c>
      <c r="S873">
        <v>7.8105518643917529E-2</v>
      </c>
      <c r="U873">
        <v>2.5730367193781849E-2</v>
      </c>
      <c r="V873">
        <v>37</v>
      </c>
      <c r="W873">
        <v>36.9</v>
      </c>
      <c r="X873">
        <f t="shared" si="14"/>
        <v>2.7063599458728394E-3</v>
      </c>
      <c r="Y873">
        <v>215033</v>
      </c>
      <c r="Z873">
        <v>354090000</v>
      </c>
      <c r="AA873">
        <v>7951920.3399999989</v>
      </c>
      <c r="AB873">
        <v>173450000</v>
      </c>
      <c r="AC873">
        <v>1.2397405592389737E-3</v>
      </c>
      <c r="AD873">
        <v>79397.009999999995</v>
      </c>
      <c r="AE873">
        <v>0.19489999999999999</v>
      </c>
      <c r="AF873">
        <v>37896810000</v>
      </c>
      <c r="AG873">
        <v>5279880000</v>
      </c>
      <c r="AH873">
        <v>1903740000</v>
      </c>
      <c r="AI873">
        <v>6296540000</v>
      </c>
      <c r="AJ873">
        <v>2959950000</v>
      </c>
      <c r="AK873">
        <v>3.0531483205118992E-10</v>
      </c>
      <c r="AL873">
        <v>7.8105518643917529E-2</v>
      </c>
    </row>
    <row r="874" spans="2:38">
      <c r="B874">
        <v>4.2553191489361701E-2</v>
      </c>
      <c r="C874">
        <v>35.9</v>
      </c>
      <c r="D874">
        <v>35.659999999999997</v>
      </c>
      <c r="E874">
        <v>6.7076579094466739E-3</v>
      </c>
      <c r="F874">
        <v>1047605</v>
      </c>
      <c r="G874">
        <v>354090000</v>
      </c>
      <c r="H874">
        <v>37221405.649999999</v>
      </c>
      <c r="I874">
        <v>173450000</v>
      </c>
      <c r="J874">
        <v>6.0398097434419141E-3</v>
      </c>
      <c r="K874">
        <v>78225.98</v>
      </c>
      <c r="L874">
        <v>0.19489999999999999</v>
      </c>
      <c r="M874">
        <v>37896810000</v>
      </c>
      <c r="N874">
        <v>5279880000</v>
      </c>
      <c r="O874">
        <v>1903740000</v>
      </c>
      <c r="P874">
        <v>6296540000</v>
      </c>
      <c r="Q874">
        <v>2959950000</v>
      </c>
      <c r="R874">
        <v>7.380840941596078E-10</v>
      </c>
      <c r="S874">
        <v>7.8105518643917529E-2</v>
      </c>
      <c r="U874">
        <v>3.2345013477089027E-2</v>
      </c>
      <c r="V874">
        <v>37.4</v>
      </c>
      <c r="W874">
        <v>37.35</v>
      </c>
      <c r="X874">
        <f t="shared" si="14"/>
        <v>1.3377926421403923E-3</v>
      </c>
      <c r="Y874">
        <v>239867</v>
      </c>
      <c r="Z874">
        <v>354090000</v>
      </c>
      <c r="AA874">
        <v>8891869.6899999995</v>
      </c>
      <c r="AB874">
        <v>173450000</v>
      </c>
      <c r="AC874">
        <v>1.3829172672239838E-3</v>
      </c>
      <c r="AD874">
        <v>78987.09</v>
      </c>
      <c r="AE874">
        <v>0.19489999999999999</v>
      </c>
      <c r="AF874">
        <v>37896810000</v>
      </c>
      <c r="AG874">
        <v>5279880000</v>
      </c>
      <c r="AH874">
        <v>1903740000</v>
      </c>
      <c r="AI874">
        <v>6296540000</v>
      </c>
      <c r="AJ874">
        <v>2959950000</v>
      </c>
      <c r="AK874">
        <v>5.1811893685778373E-10</v>
      </c>
      <c r="AL874">
        <v>7.8105518643917529E-2</v>
      </c>
    </row>
    <row r="875" spans="2:38">
      <c r="B875">
        <v>3.7451008854696072E-2</v>
      </c>
      <c r="C875">
        <v>34.700000000000003</v>
      </c>
      <c r="D875">
        <v>34.409999999999997</v>
      </c>
      <c r="E875">
        <v>8.3924178845320874E-3</v>
      </c>
      <c r="F875">
        <v>674921</v>
      </c>
      <c r="G875">
        <v>354090000</v>
      </c>
      <c r="H875">
        <v>23338768.18</v>
      </c>
      <c r="I875">
        <v>173450000</v>
      </c>
      <c r="J875">
        <v>3.8911559527241282E-3</v>
      </c>
      <c r="K875">
        <v>77740.31</v>
      </c>
      <c r="L875">
        <v>0.19489999999999999</v>
      </c>
      <c r="M875">
        <v>37896810000</v>
      </c>
      <c r="N875">
        <v>5279880000</v>
      </c>
      <c r="O875">
        <v>1903740000</v>
      </c>
      <c r="P875">
        <v>6296540000</v>
      </c>
      <c r="Q875">
        <v>2959950000</v>
      </c>
      <c r="R875">
        <v>4.3811004918493801E-10</v>
      </c>
      <c r="S875">
        <v>7.8105518643917529E-2</v>
      </c>
      <c r="U875">
        <v>3.7533512064343126E-2</v>
      </c>
      <c r="V875">
        <v>37.049999999999997</v>
      </c>
      <c r="W875">
        <v>37.020000000000003</v>
      </c>
      <c r="X875">
        <f t="shared" si="14"/>
        <v>8.100445524502237E-4</v>
      </c>
      <c r="Y875">
        <v>482501</v>
      </c>
      <c r="Z875">
        <v>354090000</v>
      </c>
      <c r="AA875">
        <v>17804286.899999999</v>
      </c>
      <c r="AB875">
        <v>173450000</v>
      </c>
      <c r="AC875">
        <v>2.7817872585759584E-3</v>
      </c>
      <c r="AD875">
        <v>78539.19</v>
      </c>
      <c r="AE875">
        <v>0.19489999999999999</v>
      </c>
      <c r="AF875">
        <v>37896810000</v>
      </c>
      <c r="AG875">
        <v>5279880000</v>
      </c>
      <c r="AH875">
        <v>1903740000</v>
      </c>
      <c r="AI875">
        <v>6296540000</v>
      </c>
      <c r="AJ875">
        <v>2959950000</v>
      </c>
      <c r="AK875">
        <v>0</v>
      </c>
      <c r="AL875">
        <v>7.8105518643917529E-2</v>
      </c>
    </row>
    <row r="876" spans="2:38">
      <c r="B876">
        <v>5.3122756640344618E-2</v>
      </c>
      <c r="C876">
        <v>34.49</v>
      </c>
      <c r="D876">
        <v>33.9</v>
      </c>
      <c r="E876">
        <v>1.7253984500658091E-2</v>
      </c>
      <c r="F876">
        <v>812778</v>
      </c>
      <c r="G876">
        <v>354090000</v>
      </c>
      <c r="H876">
        <v>27821390.939999998</v>
      </c>
      <c r="I876">
        <v>173450000</v>
      </c>
      <c r="J876">
        <v>4.6859498414528683E-3</v>
      </c>
      <c r="K876">
        <v>77886.990000000005</v>
      </c>
      <c r="L876">
        <v>0.19489999999999999</v>
      </c>
      <c r="M876">
        <v>37896810000</v>
      </c>
      <c r="N876">
        <v>5279880000</v>
      </c>
      <c r="O876">
        <v>1903740000</v>
      </c>
      <c r="P876">
        <v>6296540000</v>
      </c>
      <c r="Q876">
        <v>2959950000</v>
      </c>
      <c r="R876">
        <v>5.5822621833737871E-10</v>
      </c>
      <c r="S876">
        <v>7.8105518643917529E-2</v>
      </c>
      <c r="U876">
        <v>2.7397260273972601E-2</v>
      </c>
      <c r="V876">
        <v>90.99</v>
      </c>
      <c r="W876">
        <v>88.51</v>
      </c>
      <c r="X876">
        <f t="shared" si="14"/>
        <v>2.7632311977715762E-2</v>
      </c>
      <c r="Y876">
        <v>1328</v>
      </c>
      <c r="Z876">
        <v>372080000</v>
      </c>
      <c r="AA876">
        <v>121047.20000000001</v>
      </c>
      <c r="AB876">
        <v>145570000</v>
      </c>
      <c r="AC876">
        <v>9.1227588101944089E-6</v>
      </c>
      <c r="AD876">
        <v>82074.45</v>
      </c>
      <c r="AE876">
        <v>0.1741</v>
      </c>
      <c r="AF876">
        <v>31774240000</v>
      </c>
      <c r="AG876">
        <v>3830410000</v>
      </c>
      <c r="AH876">
        <v>2499360000</v>
      </c>
      <c r="AI876">
        <v>3485440000</v>
      </c>
      <c r="AJ876">
        <v>2699990000</v>
      </c>
      <c r="AK876">
        <v>1.0463075077837812E-7</v>
      </c>
      <c r="AL876">
        <v>8.4974180342315034E-2</v>
      </c>
    </row>
    <row r="877" spans="2:38">
      <c r="B877">
        <v>2.5432204600657256E-2</v>
      </c>
      <c r="C877">
        <v>35</v>
      </c>
      <c r="D877">
        <v>34.71</v>
      </c>
      <c r="E877">
        <v>8.320183617845334E-3</v>
      </c>
      <c r="F877">
        <v>253073</v>
      </c>
      <c r="G877">
        <v>354090000</v>
      </c>
      <c r="H877">
        <v>8799348.2100000009</v>
      </c>
      <c r="I877">
        <v>173450000</v>
      </c>
      <c r="J877">
        <v>1.4590544825598155E-3</v>
      </c>
      <c r="K877">
        <v>78628.81</v>
      </c>
      <c r="L877">
        <v>0.19489999999999999</v>
      </c>
      <c r="M877">
        <v>37896810000</v>
      </c>
      <c r="N877">
        <v>5279880000</v>
      </c>
      <c r="O877">
        <v>1903740000</v>
      </c>
      <c r="P877">
        <v>6296540000</v>
      </c>
      <c r="Q877">
        <v>2959950000</v>
      </c>
      <c r="R877">
        <v>6.4995585341446345E-10</v>
      </c>
      <c r="S877">
        <v>7.8105518643917529E-2</v>
      </c>
      <c r="U877">
        <v>4.3843744849184053E-2</v>
      </c>
      <c r="V877">
        <v>91.49</v>
      </c>
      <c r="W877">
        <v>91</v>
      </c>
      <c r="X877">
        <f t="shared" si="14"/>
        <v>5.3701572688913896E-3</v>
      </c>
      <c r="Y877">
        <v>4646</v>
      </c>
      <c r="Z877">
        <v>372080000</v>
      </c>
      <c r="AA877">
        <v>418186.46</v>
      </c>
      <c r="AB877">
        <v>145570000</v>
      </c>
      <c r="AC877">
        <v>3.1915916741086765E-5</v>
      </c>
      <c r="AD877">
        <v>81459.289999999994</v>
      </c>
      <c r="AE877">
        <v>0.1741</v>
      </c>
      <c r="AF877">
        <v>31774240000</v>
      </c>
      <c r="AG877">
        <v>3830410000</v>
      </c>
      <c r="AH877">
        <v>2499360000</v>
      </c>
      <c r="AI877">
        <v>3485440000</v>
      </c>
      <c r="AJ877">
        <v>2699990000</v>
      </c>
      <c r="AK877">
        <v>6.8388583879802363E-8</v>
      </c>
      <c r="AL877">
        <v>8.4974180342315034E-2</v>
      </c>
    </row>
    <row r="878" spans="2:38">
      <c r="B878">
        <v>4.0816326530612207E-2</v>
      </c>
      <c r="C878">
        <v>34.979999999999997</v>
      </c>
      <c r="D878">
        <v>34.799999999999997</v>
      </c>
      <c r="E878">
        <v>5.159071367153904E-3</v>
      </c>
      <c r="F878">
        <v>2120135</v>
      </c>
      <c r="G878">
        <v>354090000</v>
      </c>
      <c r="H878">
        <v>74141120.950000003</v>
      </c>
      <c r="I878">
        <v>173450000</v>
      </c>
      <c r="J878">
        <v>1.2223320841741136E-2</v>
      </c>
      <c r="K878">
        <v>78827.740000000005</v>
      </c>
      <c r="L878">
        <v>0.19489999999999999</v>
      </c>
      <c r="M878">
        <v>37896810000</v>
      </c>
      <c r="N878">
        <v>5279880000</v>
      </c>
      <c r="O878">
        <v>1903740000</v>
      </c>
      <c r="P878">
        <v>6296540000</v>
      </c>
      <c r="Q878">
        <v>2959950000</v>
      </c>
      <c r="R878">
        <v>3.6442785363842955E-10</v>
      </c>
      <c r="S878">
        <v>7.8105518643917529E-2</v>
      </c>
      <c r="U878">
        <v>5.9945504087193457E-2</v>
      </c>
      <c r="V878">
        <v>92.99</v>
      </c>
      <c r="W878">
        <v>92</v>
      </c>
      <c r="X878">
        <f t="shared" si="14"/>
        <v>1.0703281258446346E-2</v>
      </c>
      <c r="Y878">
        <v>151620</v>
      </c>
      <c r="Z878">
        <v>372080000</v>
      </c>
      <c r="AA878">
        <v>14049109.199999999</v>
      </c>
      <c r="AB878">
        <v>145570000</v>
      </c>
      <c r="AC878">
        <v>1.0415607611458406E-3</v>
      </c>
      <c r="AD878">
        <v>80461.34</v>
      </c>
      <c r="AE878">
        <v>0.1741</v>
      </c>
      <c r="AF878">
        <v>31774240000</v>
      </c>
      <c r="AG878">
        <v>3830410000</v>
      </c>
      <c r="AH878">
        <v>2499360000</v>
      </c>
      <c r="AI878">
        <v>3485440000</v>
      </c>
      <c r="AJ878">
        <v>2699990000</v>
      </c>
      <c r="AK878">
        <v>2.927131885743898E-9</v>
      </c>
      <c r="AL878">
        <v>8.4974180342315034E-2</v>
      </c>
    </row>
    <row r="879" spans="2:38">
      <c r="B879">
        <v>6.0308757755013806E-2</v>
      </c>
      <c r="C879">
        <v>33.99</v>
      </c>
      <c r="D879">
        <v>33.909999999999997</v>
      </c>
      <c r="E879">
        <v>2.3564064801179794E-3</v>
      </c>
      <c r="F879">
        <v>1868094</v>
      </c>
      <c r="G879">
        <v>354090000</v>
      </c>
      <c r="H879">
        <v>63608600.699999996</v>
      </c>
      <c r="I879">
        <v>173450000</v>
      </c>
      <c r="J879">
        <v>1.0770216200634189E-2</v>
      </c>
      <c r="K879">
        <v>78029.509999999995</v>
      </c>
      <c r="L879">
        <v>0.19489999999999999</v>
      </c>
      <c r="M879">
        <v>37896810000</v>
      </c>
      <c r="N879">
        <v>5279880000</v>
      </c>
      <c r="O879">
        <v>1903740000</v>
      </c>
      <c r="P879">
        <v>6296540000</v>
      </c>
      <c r="Q879">
        <v>2959950000</v>
      </c>
      <c r="R879">
        <v>7.9351007970670846E-10</v>
      </c>
      <c r="S879">
        <v>7.8105518643917529E-2</v>
      </c>
      <c r="U879">
        <v>2.2222222222222223E-2</v>
      </c>
      <c r="V879">
        <v>89.4</v>
      </c>
      <c r="W879">
        <v>89.39</v>
      </c>
      <c r="X879">
        <f t="shared" si="14"/>
        <v>1.1186307959063834E-4</v>
      </c>
      <c r="Y879">
        <v>5329</v>
      </c>
      <c r="Z879">
        <v>372080000</v>
      </c>
      <c r="AA879">
        <v>474281</v>
      </c>
      <c r="AB879">
        <v>145570000</v>
      </c>
      <c r="AC879">
        <v>3.6607817544823794E-5</v>
      </c>
      <c r="AD879">
        <v>79491.14</v>
      </c>
      <c r="AE879">
        <v>0.1741</v>
      </c>
      <c r="AF879">
        <v>31774240000</v>
      </c>
      <c r="AG879">
        <v>3830410000</v>
      </c>
      <c r="AH879">
        <v>2499360000</v>
      </c>
      <c r="AI879">
        <v>3485440000</v>
      </c>
      <c r="AJ879">
        <v>2699990000</v>
      </c>
      <c r="AK879">
        <v>9.4719438116427241E-10</v>
      </c>
      <c r="AL879">
        <v>8.4974180342315034E-2</v>
      </c>
    </row>
    <row r="880" spans="2:38">
      <c r="B880">
        <v>6.812853399531095E-2</v>
      </c>
      <c r="C880">
        <v>35.4</v>
      </c>
      <c r="D880">
        <v>35.26</v>
      </c>
      <c r="E880">
        <v>3.9626379847155554E-3</v>
      </c>
      <c r="F880">
        <v>331919</v>
      </c>
      <c r="G880">
        <v>354090000</v>
      </c>
      <c r="H880">
        <v>11902615.34</v>
      </c>
      <c r="I880">
        <v>173450000</v>
      </c>
      <c r="J880">
        <v>1.9136292879792446E-3</v>
      </c>
      <c r="K880">
        <v>78469.33</v>
      </c>
      <c r="L880">
        <v>0.19489999999999999</v>
      </c>
      <c r="M880">
        <v>37896810000</v>
      </c>
      <c r="N880">
        <v>5279880000</v>
      </c>
      <c r="O880">
        <v>1903740000</v>
      </c>
      <c r="P880">
        <v>6296540000</v>
      </c>
      <c r="Q880">
        <v>2959950000</v>
      </c>
      <c r="R880">
        <v>2.5445366890096228E-9</v>
      </c>
      <c r="S880">
        <v>7.8105518643917529E-2</v>
      </c>
      <c r="U880">
        <v>6.3638836007614843E-2</v>
      </c>
      <c r="V880">
        <v>90.9</v>
      </c>
      <c r="W880">
        <v>90</v>
      </c>
      <c r="X880">
        <f t="shared" si="14"/>
        <v>9.9502487562189677E-3</v>
      </c>
      <c r="Y880">
        <v>1291</v>
      </c>
      <c r="Z880">
        <v>372080000</v>
      </c>
      <c r="AA880">
        <v>114950.64000000001</v>
      </c>
      <c r="AB880">
        <v>145570000</v>
      </c>
      <c r="AC880">
        <v>8.8685855602115814E-6</v>
      </c>
      <c r="AD880">
        <v>79333.06</v>
      </c>
      <c r="AE880">
        <v>0.1741</v>
      </c>
      <c r="AF880">
        <v>31774240000</v>
      </c>
      <c r="AG880">
        <v>3830410000</v>
      </c>
      <c r="AH880">
        <v>2499360000</v>
      </c>
      <c r="AI880">
        <v>3485440000</v>
      </c>
      <c r="AJ880">
        <v>2699990000</v>
      </c>
      <c r="AK880">
        <v>3.1152680758178647E-8</v>
      </c>
      <c r="AL880">
        <v>8.4974180342315034E-2</v>
      </c>
    </row>
    <row r="881" spans="2:38">
      <c r="B881">
        <v>2.5730367193781849E-2</v>
      </c>
      <c r="C881">
        <v>37</v>
      </c>
      <c r="D881">
        <v>36.9</v>
      </c>
      <c r="E881">
        <v>2.7063599458728394E-3</v>
      </c>
      <c r="F881">
        <v>215033</v>
      </c>
      <c r="G881">
        <v>354090000</v>
      </c>
      <c r="H881">
        <v>7951920.3399999989</v>
      </c>
      <c r="I881">
        <v>173450000</v>
      </c>
      <c r="J881">
        <v>1.2397405592389737E-3</v>
      </c>
      <c r="K881">
        <v>79397.009999999995</v>
      </c>
      <c r="L881">
        <v>0.19489999999999999</v>
      </c>
      <c r="M881">
        <v>37896810000</v>
      </c>
      <c r="N881">
        <v>5279880000</v>
      </c>
      <c r="O881">
        <v>1903740000</v>
      </c>
      <c r="P881">
        <v>6296540000</v>
      </c>
      <c r="Q881">
        <v>2959950000</v>
      </c>
      <c r="R881">
        <v>3.0531483205118992E-10</v>
      </c>
      <c r="S881">
        <v>7.8105518643917529E-2</v>
      </c>
      <c r="U881">
        <v>3.3149171270718231E-2</v>
      </c>
      <c r="V881">
        <v>90</v>
      </c>
      <c r="W881">
        <v>89</v>
      </c>
      <c r="X881">
        <f t="shared" si="14"/>
        <v>1.11731843575419E-2</v>
      </c>
      <c r="Y881">
        <v>19417</v>
      </c>
      <c r="Z881">
        <v>372080000</v>
      </c>
      <c r="AA881">
        <v>1735103.1199999999</v>
      </c>
      <c r="AB881">
        <v>145570000</v>
      </c>
      <c r="AC881">
        <v>1.3338599986260905E-4</v>
      </c>
      <c r="AD881">
        <v>79017.62</v>
      </c>
      <c r="AE881">
        <v>0.1741</v>
      </c>
      <c r="AF881">
        <v>31774240000</v>
      </c>
      <c r="AG881">
        <v>3830410000</v>
      </c>
      <c r="AH881">
        <v>2499360000</v>
      </c>
      <c r="AI881">
        <v>3485440000</v>
      </c>
      <c r="AJ881">
        <v>2699990000</v>
      </c>
      <c r="AK881">
        <v>3.1777198667170158E-9</v>
      </c>
      <c r="AL881">
        <v>8.4974180342315034E-2</v>
      </c>
    </row>
    <row r="882" spans="2:38">
      <c r="B882">
        <v>3.2345013477089027E-2</v>
      </c>
      <c r="C882">
        <v>37.4</v>
      </c>
      <c r="D882">
        <v>37.35</v>
      </c>
      <c r="E882">
        <v>1.3377926421403923E-3</v>
      </c>
      <c r="F882">
        <v>239867</v>
      </c>
      <c r="G882">
        <v>354090000</v>
      </c>
      <c r="H882">
        <v>8891869.6899999995</v>
      </c>
      <c r="I882">
        <v>173450000</v>
      </c>
      <c r="J882">
        <v>1.3829172672239838E-3</v>
      </c>
      <c r="K882">
        <v>78987.09</v>
      </c>
      <c r="L882">
        <v>0.19489999999999999</v>
      </c>
      <c r="M882">
        <v>37896810000</v>
      </c>
      <c r="N882">
        <v>5279880000</v>
      </c>
      <c r="O882">
        <v>1903740000</v>
      </c>
      <c r="P882">
        <v>6296540000</v>
      </c>
      <c r="Q882">
        <v>2959950000</v>
      </c>
      <c r="R882">
        <v>5.1811893685778373E-10</v>
      </c>
      <c r="S882">
        <v>7.8105518643917529E-2</v>
      </c>
      <c r="U882">
        <v>2.4471635150166881E-2</v>
      </c>
      <c r="V882">
        <v>89.69</v>
      </c>
      <c r="W882">
        <v>88.82</v>
      </c>
      <c r="X882">
        <f t="shared" si="14"/>
        <v>9.7473530894628263E-3</v>
      </c>
      <c r="Y882">
        <v>40062</v>
      </c>
      <c r="Z882">
        <v>372080000</v>
      </c>
      <c r="AA882">
        <v>3560309.9400000004</v>
      </c>
      <c r="AB882">
        <v>145570000</v>
      </c>
      <c r="AC882">
        <v>2.7520780380572919E-4</v>
      </c>
      <c r="AD882">
        <v>78651.8</v>
      </c>
      <c r="AE882">
        <v>0.1741</v>
      </c>
      <c r="AF882">
        <v>31774240000</v>
      </c>
      <c r="AG882">
        <v>3830410000</v>
      </c>
      <c r="AH882">
        <v>2499360000</v>
      </c>
      <c r="AI882">
        <v>3485440000</v>
      </c>
      <c r="AJ882">
        <v>2699990000</v>
      </c>
      <c r="AK882">
        <v>7.2880321845247358E-10</v>
      </c>
      <c r="AL882">
        <v>8.4974180342315034E-2</v>
      </c>
    </row>
    <row r="883" spans="2:38">
      <c r="B883">
        <v>3.7533512064343126E-2</v>
      </c>
      <c r="C883">
        <v>37.049999999999997</v>
      </c>
      <c r="D883">
        <v>37.020000000000003</v>
      </c>
      <c r="E883">
        <v>8.100445524502237E-4</v>
      </c>
      <c r="F883">
        <v>482501</v>
      </c>
      <c r="G883">
        <v>354090000</v>
      </c>
      <c r="H883">
        <v>17804286.899999999</v>
      </c>
      <c r="I883">
        <v>173450000</v>
      </c>
      <c r="J883">
        <v>2.7817872585759584E-3</v>
      </c>
      <c r="K883">
        <v>78539.19</v>
      </c>
      <c r="L883">
        <v>0.19489999999999999</v>
      </c>
      <c r="M883">
        <v>37896810000</v>
      </c>
      <c r="N883">
        <v>5279880000</v>
      </c>
      <c r="O883">
        <v>1903740000</v>
      </c>
      <c r="P883">
        <v>6296540000</v>
      </c>
      <c r="Q883">
        <v>2959950000</v>
      </c>
      <c r="R883">
        <v>0</v>
      </c>
      <c r="S883">
        <v>7.8105518643917529E-2</v>
      </c>
      <c r="U883">
        <v>4.4444444444444446E-2</v>
      </c>
      <c r="V883">
        <v>89.5</v>
      </c>
      <c r="W883">
        <v>88.26</v>
      </c>
      <c r="X883">
        <f t="shared" si="14"/>
        <v>1.3951395139513895E-2</v>
      </c>
      <c r="Y883">
        <v>5710</v>
      </c>
      <c r="Z883">
        <v>372080000</v>
      </c>
      <c r="AA883">
        <v>506134.4</v>
      </c>
      <c r="AB883">
        <v>145570000</v>
      </c>
      <c r="AC883">
        <v>3.9225115064917221E-5</v>
      </c>
      <c r="AD883">
        <v>79286.740000000005</v>
      </c>
      <c r="AE883">
        <v>0.1741</v>
      </c>
      <c r="AF883">
        <v>31774240000</v>
      </c>
      <c r="AG883">
        <v>3830410000</v>
      </c>
      <c r="AH883">
        <v>2499360000</v>
      </c>
      <c r="AI883">
        <v>3485440000</v>
      </c>
      <c r="AJ883">
        <v>2699990000</v>
      </c>
      <c r="AK883">
        <v>1.8766295993516385E-8</v>
      </c>
      <c r="AL883">
        <v>8.4974180342315034E-2</v>
      </c>
    </row>
    <row r="884" spans="2:38">
      <c r="B884">
        <v>0</v>
      </c>
      <c r="C884">
        <v>0</v>
      </c>
      <c r="D884">
        <v>0</v>
      </c>
      <c r="E884">
        <v>0</v>
      </c>
      <c r="F884">
        <v>0</v>
      </c>
      <c r="G884">
        <v>0</v>
      </c>
      <c r="H884">
        <v>0</v>
      </c>
      <c r="I884">
        <v>0</v>
      </c>
      <c r="J884">
        <v>0</v>
      </c>
      <c r="K884">
        <v>0</v>
      </c>
      <c r="L884">
        <v>0</v>
      </c>
      <c r="M884">
        <v>0</v>
      </c>
      <c r="N884">
        <v>0</v>
      </c>
      <c r="O884">
        <v>0</v>
      </c>
      <c r="P884">
        <v>0</v>
      </c>
      <c r="Q884">
        <v>0</v>
      </c>
      <c r="R884">
        <v>0</v>
      </c>
      <c r="S884">
        <v>0</v>
      </c>
      <c r="U884">
        <v>4.3195824773749378E-2</v>
      </c>
      <c r="V884">
        <v>91.3</v>
      </c>
      <c r="W884">
        <v>88.25</v>
      </c>
      <c r="X884">
        <f t="shared" si="14"/>
        <v>3.3973823447507621E-2</v>
      </c>
      <c r="Y884">
        <v>277</v>
      </c>
      <c r="Z884">
        <v>372080000</v>
      </c>
      <c r="AA884">
        <v>24788.73</v>
      </c>
      <c r="AB884">
        <v>145570000</v>
      </c>
      <c r="AC884">
        <v>1.9028646012227795E-6</v>
      </c>
      <c r="AD884">
        <v>78615</v>
      </c>
      <c r="AE884">
        <v>0.1741</v>
      </c>
      <c r="AF884">
        <v>31774240000</v>
      </c>
      <c r="AG884">
        <v>3830410000</v>
      </c>
      <c r="AH884">
        <v>2499360000</v>
      </c>
      <c r="AI884">
        <v>3485440000</v>
      </c>
      <c r="AJ884">
        <v>2699990000</v>
      </c>
      <c r="AK884">
        <v>0</v>
      </c>
      <c r="AL884">
        <v>8.4974180342315034E-2</v>
      </c>
    </row>
    <row r="885" spans="2:38">
      <c r="B885" t="str">
        <v>Relative high-low price</v>
      </c>
      <c r="C885" t="str">
        <v>Ask price</v>
      </c>
      <c r="D885" t="str">
        <v xml:space="preserve">Bid price </v>
      </c>
      <c r="E885" t="str">
        <v xml:space="preserve">Relative Bid-Ask Spread </v>
      </c>
      <c r="F885" t="str">
        <v>daily trading volume</v>
      </c>
      <c r="G885" t="str">
        <v>Common shares outstanding</v>
      </c>
      <c r="H885" t="str">
        <v xml:space="preserve"> Trading value </v>
      </c>
      <c r="I885" t="str">
        <v>Free Float Shares</v>
      </c>
      <c r="J885" t="str">
        <v>Turnover</v>
      </c>
      <c r="K885" t="str">
        <v>Daily kse-100 index</v>
      </c>
      <c r="L885" t="str">
        <v xml:space="preserve">Risk free rate </v>
      </c>
      <c r="M885" t="str">
        <v xml:space="preserve">Total assets </v>
      </c>
      <c r="N885" t="str">
        <v xml:space="preserve">Total Liabilities </v>
      </c>
      <c r="O885" t="str">
        <v>EBITDA</v>
      </c>
      <c r="P885" t="str">
        <v>Cash and cash equivalents</v>
      </c>
      <c r="Q885" t="str">
        <v xml:space="preserve">Total Debt </v>
      </c>
      <c r="R885" t="str">
        <v>Amihud illiquidity ratio</v>
      </c>
      <c r="S885" t="str">
        <v>Leverage ratio</v>
      </c>
      <c r="U885">
        <v>5.4173576561636322E-2</v>
      </c>
      <c r="V885">
        <v>92.5</v>
      </c>
      <c r="W885">
        <v>90</v>
      </c>
      <c r="X885">
        <f t="shared" si="14"/>
        <v>2.7397260273972601E-2</v>
      </c>
      <c r="Y885">
        <v>6665</v>
      </c>
      <c r="Z885">
        <v>372080000</v>
      </c>
      <c r="AA885">
        <v>596450.85</v>
      </c>
      <c r="AB885">
        <v>145570000</v>
      </c>
      <c r="AC885">
        <v>4.5785532733392871E-5</v>
      </c>
      <c r="AD885">
        <v>78897.73</v>
      </c>
      <c r="AE885">
        <v>0.1741</v>
      </c>
      <c r="AF885">
        <v>31774240000</v>
      </c>
      <c r="AG885">
        <v>3830410000</v>
      </c>
      <c r="AH885">
        <v>2499360000</v>
      </c>
      <c r="AI885">
        <v>3485440000</v>
      </c>
      <c r="AJ885">
        <v>2699990000</v>
      </c>
      <c r="AK885">
        <v>1.5774811473901759E-8</v>
      </c>
      <c r="AL885">
        <v>8.4974180342315034E-2</v>
      </c>
    </row>
    <row r="886" spans="2:38">
      <c r="B886">
        <v>2.7397260273972601E-2</v>
      </c>
      <c r="C886">
        <v>90.99</v>
      </c>
      <c r="D886">
        <v>88.51</v>
      </c>
      <c r="E886">
        <v>2.7632311977715762E-2</v>
      </c>
      <c r="F886">
        <v>1328</v>
      </c>
      <c r="G886">
        <v>372080000</v>
      </c>
      <c r="H886">
        <v>121047.20000000001</v>
      </c>
      <c r="I886">
        <v>145570000</v>
      </c>
      <c r="J886">
        <v>9.1227588101944089E-6</v>
      </c>
      <c r="K886">
        <v>82074.45</v>
      </c>
      <c r="L886">
        <v>0.1741</v>
      </c>
      <c r="M886">
        <v>31774240000</v>
      </c>
      <c r="N886">
        <v>3830410000</v>
      </c>
      <c r="O886">
        <v>2499360000</v>
      </c>
      <c r="P886">
        <v>3485440000</v>
      </c>
      <c r="Q886">
        <v>2699990000</v>
      </c>
      <c r="R886">
        <v>1.0463075077837812E-7</v>
      </c>
      <c r="S886">
        <v>8.4974180342315034E-2</v>
      </c>
      <c r="U886">
        <v>6.2404870624048654E-2</v>
      </c>
      <c r="V886">
        <v>92.5</v>
      </c>
      <c r="W886">
        <v>90.1</v>
      </c>
      <c r="X886">
        <f t="shared" si="14"/>
        <v>2.6286966046002253E-2</v>
      </c>
      <c r="Y886">
        <v>1962</v>
      </c>
      <c r="Z886">
        <v>372080000</v>
      </c>
      <c r="AA886">
        <v>177247.08000000002</v>
      </c>
      <c r="AB886">
        <v>145570000</v>
      </c>
      <c r="AC886">
        <v>1.3478051796386618E-5</v>
      </c>
      <c r="AD886">
        <v>78863.34</v>
      </c>
      <c r="AE886">
        <v>0.1741</v>
      </c>
      <c r="AF886">
        <v>31774240000</v>
      </c>
      <c r="AG886">
        <v>3830410000</v>
      </c>
      <c r="AH886">
        <v>2499360000</v>
      </c>
      <c r="AI886">
        <v>3485440000</v>
      </c>
      <c r="AJ886">
        <v>2699990000</v>
      </c>
      <c r="AK886">
        <v>7.5175263216766211E-8</v>
      </c>
      <c r="AL886">
        <v>8.4974180342315034E-2</v>
      </c>
    </row>
    <row r="887" spans="2:38">
      <c r="B887">
        <v>4.3843744849184053E-2</v>
      </c>
      <c r="C887">
        <v>91.49</v>
      </c>
      <c r="D887">
        <v>91</v>
      </c>
      <c r="E887">
        <v>5.3701572688913896E-3</v>
      </c>
      <c r="F887">
        <v>4646</v>
      </c>
      <c r="G887">
        <v>372080000</v>
      </c>
      <c r="H887">
        <v>418186.46</v>
      </c>
      <c r="I887">
        <v>145570000</v>
      </c>
      <c r="J887">
        <v>3.1915916741086765E-5</v>
      </c>
      <c r="K887">
        <v>81459.289999999994</v>
      </c>
      <c r="L887">
        <v>0.1741</v>
      </c>
      <c r="M887">
        <v>31774240000</v>
      </c>
      <c r="N887">
        <v>3830410000</v>
      </c>
      <c r="O887">
        <v>2499360000</v>
      </c>
      <c r="P887">
        <v>3485440000</v>
      </c>
      <c r="Q887">
        <v>2699990000</v>
      </c>
      <c r="R887">
        <v>6.8388583879802363E-8</v>
      </c>
      <c r="S887">
        <v>8.4974180342315034E-2</v>
      </c>
      <c r="U887">
        <v>3.1493452676943569E-2</v>
      </c>
      <c r="V887">
        <v>91.92</v>
      </c>
      <c r="W887">
        <v>89.5</v>
      </c>
      <c r="X887">
        <f t="shared" si="14"/>
        <v>2.6678425752397768E-2</v>
      </c>
      <c r="Y887">
        <v>2200</v>
      </c>
      <c r="Z887">
        <v>372080000</v>
      </c>
      <c r="AA887">
        <v>201432</v>
      </c>
      <c r="AB887">
        <v>145570000</v>
      </c>
      <c r="AC887">
        <v>1.5113004053032906E-5</v>
      </c>
      <c r="AD887">
        <v>78848.009999999995</v>
      </c>
      <c r="AE887">
        <v>0.1741</v>
      </c>
      <c r="AF887">
        <v>31774240000</v>
      </c>
      <c r="AG887">
        <v>3830410000</v>
      </c>
      <c r="AH887">
        <v>2499360000</v>
      </c>
      <c r="AI887">
        <v>3485440000</v>
      </c>
      <c r="AJ887">
        <v>2699990000</v>
      </c>
      <c r="AK887">
        <v>6.2035094454107541E-8</v>
      </c>
      <c r="AL887">
        <v>8.4974180342315034E-2</v>
      </c>
    </row>
    <row r="888" spans="2:38">
      <c r="B888">
        <v>5.9945504087193457E-2</v>
      </c>
      <c r="C888">
        <v>92.99</v>
      </c>
      <c r="D888">
        <v>92</v>
      </c>
      <c r="E888">
        <v>1.0703281258446346E-2</v>
      </c>
      <c r="F888">
        <v>151620</v>
      </c>
      <c r="G888">
        <v>372080000</v>
      </c>
      <c r="H888">
        <v>14049109.199999999</v>
      </c>
      <c r="I888">
        <v>145570000</v>
      </c>
      <c r="J888">
        <v>1.0415607611458406E-3</v>
      </c>
      <c r="K888">
        <v>80461.34</v>
      </c>
      <c r="L888">
        <v>0.1741</v>
      </c>
      <c r="M888">
        <v>31774240000</v>
      </c>
      <c r="N888">
        <v>3830410000</v>
      </c>
      <c r="O888">
        <v>2499360000</v>
      </c>
      <c r="P888">
        <v>3485440000</v>
      </c>
      <c r="Q888">
        <v>2699990000</v>
      </c>
      <c r="R888">
        <v>2.927131885743898E-9</v>
      </c>
      <c r="S888">
        <v>8.4974180342315034E-2</v>
      </c>
      <c r="U888">
        <v>1.8479349883112509E-2</v>
      </c>
      <c r="V888">
        <v>89.9</v>
      </c>
      <c r="W888">
        <v>89.06</v>
      </c>
      <c r="X888">
        <f t="shared" si="14"/>
        <v>9.387572641931196E-3</v>
      </c>
      <c r="Y888">
        <v>1077</v>
      </c>
      <c r="Z888">
        <v>372080000</v>
      </c>
      <c r="AA888">
        <v>97393.11</v>
      </c>
      <c r="AB888">
        <v>145570000</v>
      </c>
      <c r="AC888">
        <v>7.3985024386892901E-6</v>
      </c>
      <c r="AD888">
        <v>78356.320000000007</v>
      </c>
      <c r="AE888">
        <v>0.17469999999999999</v>
      </c>
      <c r="AF888">
        <v>31774240000</v>
      </c>
      <c r="AG888">
        <v>3830410000</v>
      </c>
      <c r="AH888">
        <v>2499360000</v>
      </c>
      <c r="AI888">
        <v>3485440000</v>
      </c>
      <c r="AJ888">
        <v>2699990000</v>
      </c>
      <c r="AK888">
        <v>4.9056630163857116E-8</v>
      </c>
      <c r="AL888">
        <v>8.4974180342315034E-2</v>
      </c>
    </row>
    <row r="889" spans="2:38">
      <c r="B889">
        <v>2.2222222222222223E-2</v>
      </c>
      <c r="C889">
        <v>89.4</v>
      </c>
      <c r="D889">
        <v>89.39</v>
      </c>
      <c r="E889">
        <v>1.1186307959063834E-4</v>
      </c>
      <c r="F889">
        <v>5329</v>
      </c>
      <c r="G889">
        <v>372080000</v>
      </c>
      <c r="H889">
        <v>474281</v>
      </c>
      <c r="I889">
        <v>145570000</v>
      </c>
      <c r="J889">
        <v>3.6607817544823794E-5</v>
      </c>
      <c r="K889">
        <v>79491.14</v>
      </c>
      <c r="L889">
        <v>0.1741</v>
      </c>
      <c r="M889">
        <v>31774240000</v>
      </c>
      <c r="N889">
        <v>3830410000</v>
      </c>
      <c r="O889">
        <v>2499360000</v>
      </c>
      <c r="P889">
        <v>3485440000</v>
      </c>
      <c r="Q889">
        <v>2699990000</v>
      </c>
      <c r="R889">
        <v>9.4719438116427241E-10</v>
      </c>
      <c r="S889">
        <v>8.4974180342315034E-2</v>
      </c>
      <c r="U889">
        <v>4.3956043956043959E-2</v>
      </c>
      <c r="V889">
        <v>90.43</v>
      </c>
      <c r="W889">
        <v>90</v>
      </c>
      <c r="X889">
        <f t="shared" si="14"/>
        <v>4.7663913983262965E-3</v>
      </c>
      <c r="Y889">
        <v>16651</v>
      </c>
      <c r="Z889">
        <v>372080000</v>
      </c>
      <c r="AA889">
        <v>1498590</v>
      </c>
      <c r="AB889">
        <v>145570000</v>
      </c>
      <c r="AC889">
        <v>1.143848320395686E-4</v>
      </c>
      <c r="AD889">
        <v>78283.3</v>
      </c>
      <c r="AE889">
        <v>0.17469999999999999</v>
      </c>
      <c r="AF889">
        <v>31774240000</v>
      </c>
      <c r="AG889">
        <v>3830410000</v>
      </c>
      <c r="AH889">
        <v>2499360000</v>
      </c>
      <c r="AI889">
        <v>3485440000</v>
      </c>
      <c r="AJ889">
        <v>2699990000</v>
      </c>
      <c r="AK889">
        <v>7.1945436437114746E-9</v>
      </c>
      <c r="AL889">
        <v>8.4974180342315034E-2</v>
      </c>
    </row>
    <row r="890" spans="2:38">
      <c r="B890">
        <v>6.3638836007614843E-2</v>
      </c>
      <c r="C890">
        <v>90.9</v>
      </c>
      <c r="D890">
        <v>90</v>
      </c>
      <c r="E890">
        <v>9.9502487562189677E-3</v>
      </c>
      <c r="F890">
        <v>1291</v>
      </c>
      <c r="G890">
        <v>372080000</v>
      </c>
      <c r="H890">
        <v>114950.64000000001</v>
      </c>
      <c r="I890">
        <v>145570000</v>
      </c>
      <c r="J890">
        <v>8.8685855602115814E-6</v>
      </c>
      <c r="K890">
        <v>79333.06</v>
      </c>
      <c r="L890">
        <v>0.1741</v>
      </c>
      <c r="M890">
        <v>31774240000</v>
      </c>
      <c r="N890">
        <v>3830410000</v>
      </c>
      <c r="O890">
        <v>2499360000</v>
      </c>
      <c r="P890">
        <v>3485440000</v>
      </c>
      <c r="Q890">
        <v>2699990000</v>
      </c>
      <c r="R890">
        <v>3.1152680758178647E-8</v>
      </c>
      <c r="S890">
        <v>8.4974180342315034E-2</v>
      </c>
      <c r="U890">
        <v>1.006148686416999E-2</v>
      </c>
      <c r="V890">
        <v>89.9</v>
      </c>
      <c r="W890">
        <v>89.01</v>
      </c>
      <c r="X890">
        <f t="shared" si="14"/>
        <v>9.9491364373148553E-3</v>
      </c>
      <c r="Y890">
        <v>9302</v>
      </c>
      <c r="Z890">
        <v>372080000</v>
      </c>
      <c r="AA890">
        <v>828250.08000000007</v>
      </c>
      <c r="AB890">
        <v>145570000</v>
      </c>
      <c r="AC890">
        <v>6.3900528955141862E-5</v>
      </c>
      <c r="AD890">
        <v>78488.22</v>
      </c>
      <c r="AE890">
        <v>0.17469999999999999</v>
      </c>
      <c r="AF890">
        <v>31774240000</v>
      </c>
      <c r="AG890">
        <v>3830410000</v>
      </c>
      <c r="AH890">
        <v>2499360000</v>
      </c>
      <c r="AI890">
        <v>3485440000</v>
      </c>
      <c r="AJ890">
        <v>2699990000</v>
      </c>
      <c r="AK890">
        <v>4.0665705942404117E-10</v>
      </c>
      <c r="AL890">
        <v>8.4974180342315034E-2</v>
      </c>
    </row>
    <row r="891" spans="2:38">
      <c r="B891">
        <v>3.3149171270718231E-2</v>
      </c>
      <c r="C891">
        <v>90</v>
      </c>
      <c r="D891">
        <v>89</v>
      </c>
      <c r="E891">
        <v>1.11731843575419E-2</v>
      </c>
      <c r="F891">
        <v>19417</v>
      </c>
      <c r="G891">
        <v>372080000</v>
      </c>
      <c r="H891">
        <v>1735103.1199999999</v>
      </c>
      <c r="I891">
        <v>145570000</v>
      </c>
      <c r="J891">
        <v>1.3338599986260905E-4</v>
      </c>
      <c r="K891">
        <v>79017.62</v>
      </c>
      <c r="L891">
        <v>0.1741</v>
      </c>
      <c r="M891">
        <v>31774240000</v>
      </c>
      <c r="N891">
        <v>3830410000</v>
      </c>
      <c r="O891">
        <v>2499360000</v>
      </c>
      <c r="P891">
        <v>3485440000</v>
      </c>
      <c r="Q891">
        <v>2699990000</v>
      </c>
      <c r="R891">
        <v>3.1777198667170158E-9</v>
      </c>
      <c r="S891">
        <v>8.4974180342315034E-2</v>
      </c>
      <c r="U891">
        <v>2.1122846025569825E-2</v>
      </c>
      <c r="V891">
        <v>90.5</v>
      </c>
      <c r="W891">
        <v>89.07</v>
      </c>
      <c r="X891">
        <f t="shared" si="14"/>
        <v>1.5926936570696743E-2</v>
      </c>
      <c r="Y891">
        <v>14060</v>
      </c>
      <c r="Z891">
        <v>372080000</v>
      </c>
      <c r="AA891">
        <v>1252324.2</v>
      </c>
      <c r="AB891">
        <v>145570000</v>
      </c>
      <c r="AC891">
        <v>9.6585834993473925E-5</v>
      </c>
      <c r="AD891">
        <v>78349.66</v>
      </c>
      <c r="AE891">
        <v>0.17469999999999999</v>
      </c>
      <c r="AF891">
        <v>31774240000</v>
      </c>
      <c r="AG891">
        <v>3830410000</v>
      </c>
      <c r="AH891">
        <v>2499360000</v>
      </c>
      <c r="AI891">
        <v>3485440000</v>
      </c>
      <c r="AJ891">
        <v>2699990000</v>
      </c>
      <c r="AK891">
        <v>6.6676291970829929E-9</v>
      </c>
      <c r="AL891">
        <v>8.4974180342315034E-2</v>
      </c>
    </row>
    <row r="892" spans="2:38">
      <c r="B892">
        <v>2.4471635150166881E-2</v>
      </c>
      <c r="C892">
        <v>89.69</v>
      </c>
      <c r="D892">
        <v>88.82</v>
      </c>
      <c r="E892">
        <v>9.7473530894628263E-3</v>
      </c>
      <c r="F892">
        <v>40062</v>
      </c>
      <c r="G892">
        <v>372080000</v>
      </c>
      <c r="H892">
        <v>3560309.9400000004</v>
      </c>
      <c r="I892">
        <v>145570000</v>
      </c>
      <c r="J892">
        <v>2.7520780380572919E-4</v>
      </c>
      <c r="K892">
        <v>78651.8</v>
      </c>
      <c r="L892">
        <v>0.1741</v>
      </c>
      <c r="M892">
        <v>31774240000</v>
      </c>
      <c r="N892">
        <v>3830410000</v>
      </c>
      <c r="O892">
        <v>2499360000</v>
      </c>
      <c r="P892">
        <v>3485440000</v>
      </c>
      <c r="Q892">
        <v>2699990000</v>
      </c>
      <c r="R892">
        <v>7.2880321845247358E-10</v>
      </c>
      <c r="S892">
        <v>8.4974180342315034E-2</v>
      </c>
      <c r="U892">
        <v>3.3519553072625698E-2</v>
      </c>
      <c r="V892">
        <v>90.3</v>
      </c>
      <c r="W892">
        <v>89.1</v>
      </c>
      <c r="X892">
        <f t="shared" si="14"/>
        <v>1.3377926421404715E-2</v>
      </c>
      <c r="Y892">
        <v>19519</v>
      </c>
      <c r="Z892">
        <v>372080000</v>
      </c>
      <c r="AA892">
        <v>1753196.5799999998</v>
      </c>
      <c r="AB892">
        <v>145570000</v>
      </c>
      <c r="AC892">
        <v>1.3408669368688604E-4</v>
      </c>
      <c r="AD892">
        <v>77992.789999999994</v>
      </c>
      <c r="AE892">
        <v>0.17469999999999999</v>
      </c>
      <c r="AF892">
        <v>31774240000</v>
      </c>
      <c r="AG892">
        <v>3830410000</v>
      </c>
      <c r="AH892">
        <v>2499360000</v>
      </c>
      <c r="AI892">
        <v>3485440000</v>
      </c>
      <c r="AJ892">
        <v>2699990000</v>
      </c>
      <c r="AK892">
        <v>9.4246782734505365E-9</v>
      </c>
      <c r="AL892">
        <v>8.4974180342315034E-2</v>
      </c>
    </row>
    <row r="893" spans="2:38">
      <c r="B893">
        <v>4.4444444444444446E-2</v>
      </c>
      <c r="C893">
        <v>89.5</v>
      </c>
      <c r="D893">
        <v>88.26</v>
      </c>
      <c r="E893">
        <v>1.3951395139513895E-2</v>
      </c>
      <c r="F893">
        <v>5710</v>
      </c>
      <c r="G893">
        <v>372080000</v>
      </c>
      <c r="H893">
        <v>506134.4</v>
      </c>
      <c r="I893">
        <v>145570000</v>
      </c>
      <c r="J893">
        <v>3.9225115064917221E-5</v>
      </c>
      <c r="K893">
        <v>79286.740000000005</v>
      </c>
      <c r="L893">
        <v>0.1741</v>
      </c>
      <c r="M893">
        <v>31774240000</v>
      </c>
      <c r="N893">
        <v>3830410000</v>
      </c>
      <c r="O893">
        <v>2499360000</v>
      </c>
      <c r="P893">
        <v>3485440000</v>
      </c>
      <c r="Q893">
        <v>2699990000</v>
      </c>
      <c r="R893">
        <v>1.8766295993516385E-8</v>
      </c>
      <c r="S893">
        <v>8.4974180342315034E-2</v>
      </c>
      <c r="U893">
        <v>5.6657223796033997E-3</v>
      </c>
      <c r="V893">
        <v>89.99</v>
      </c>
      <c r="W893">
        <v>89.5</v>
      </c>
      <c r="X893">
        <f t="shared" si="14"/>
        <v>5.4599142013482069E-3</v>
      </c>
      <c r="Y893">
        <v>3711</v>
      </c>
      <c r="Z893">
        <v>372080000</v>
      </c>
      <c r="AA893">
        <v>327903.96000000002</v>
      </c>
      <c r="AB893">
        <v>145570000</v>
      </c>
      <c r="AC893">
        <v>2.5492890018547779E-5</v>
      </c>
      <c r="AD893">
        <v>78084.240000000005</v>
      </c>
      <c r="AE893">
        <v>0.17469999999999999</v>
      </c>
      <c r="AF893">
        <v>31774240000</v>
      </c>
      <c r="AG893">
        <v>3830410000</v>
      </c>
      <c r="AH893">
        <v>2499360000</v>
      </c>
      <c r="AI893">
        <v>3485440000</v>
      </c>
      <c r="AJ893">
        <v>2699990000</v>
      </c>
      <c r="AK893">
        <v>4.455305247749859E-8</v>
      </c>
      <c r="AL893">
        <v>8.4974180342315034E-2</v>
      </c>
    </row>
    <row r="894" spans="2:38">
      <c r="B894">
        <v>4.3195824773749378E-2</v>
      </c>
      <c r="C894">
        <v>91.3</v>
      </c>
      <c r="D894">
        <v>88.25</v>
      </c>
      <c r="E894">
        <v>3.3973823447507621E-2</v>
      </c>
      <c r="F894">
        <v>277</v>
      </c>
      <c r="G894">
        <v>372080000</v>
      </c>
      <c r="H894">
        <v>24788.73</v>
      </c>
      <c r="I894">
        <v>145570000</v>
      </c>
      <c r="J894">
        <v>1.9028646012227795E-6</v>
      </c>
      <c r="K894">
        <v>78615</v>
      </c>
      <c r="L894">
        <v>0.1741</v>
      </c>
      <c r="M894">
        <v>31774240000</v>
      </c>
      <c r="N894">
        <v>3830410000</v>
      </c>
      <c r="O894">
        <v>2499360000</v>
      </c>
      <c r="P894">
        <v>3485440000</v>
      </c>
      <c r="Q894">
        <v>2699990000</v>
      </c>
      <c r="R894">
        <v>0</v>
      </c>
      <c r="S894">
        <v>8.4974180342315034E-2</v>
      </c>
      <c r="U894">
        <v>4.4227136348483208E-2</v>
      </c>
      <c r="V894">
        <v>89.95</v>
      </c>
      <c r="W894">
        <v>89.5</v>
      </c>
      <c r="X894">
        <f t="shared" si="14"/>
        <v>5.0153246029535012E-3</v>
      </c>
      <c r="Y894">
        <v>3076</v>
      </c>
      <c r="Z894">
        <v>372080000</v>
      </c>
      <c r="AA894">
        <v>275824.92</v>
      </c>
      <c r="AB894">
        <v>145570000</v>
      </c>
      <c r="AC894">
        <v>2.1130727485058735E-5</v>
      </c>
      <c r="AD894">
        <v>78571.06</v>
      </c>
      <c r="AE894">
        <v>0.17469999999999999</v>
      </c>
      <c r="AF894">
        <v>31774240000</v>
      </c>
      <c r="AG894">
        <v>3830410000</v>
      </c>
      <c r="AH894">
        <v>2499360000</v>
      </c>
      <c r="AI894">
        <v>3485440000</v>
      </c>
      <c r="AJ894">
        <v>2699990000</v>
      </c>
      <c r="AK894">
        <v>6.6704042325072842E-8</v>
      </c>
      <c r="AL894">
        <v>8.4974180342315034E-2</v>
      </c>
    </row>
    <row r="895" spans="2:38">
      <c r="B895">
        <v>5.4173576561636322E-2</v>
      </c>
      <c r="C895">
        <v>92.5</v>
      </c>
      <c r="D895">
        <v>90</v>
      </c>
      <c r="E895">
        <v>2.7397260273972601E-2</v>
      </c>
      <c r="F895">
        <v>6665</v>
      </c>
      <c r="G895">
        <v>372080000</v>
      </c>
      <c r="H895">
        <v>596450.85</v>
      </c>
      <c r="I895">
        <v>145570000</v>
      </c>
      <c r="J895">
        <v>4.5785532733392871E-5</v>
      </c>
      <c r="K895">
        <v>78897.73</v>
      </c>
      <c r="L895">
        <v>0.1741</v>
      </c>
      <c r="M895">
        <v>31774240000</v>
      </c>
      <c r="N895">
        <v>3830410000</v>
      </c>
      <c r="O895">
        <v>2499360000</v>
      </c>
      <c r="P895">
        <v>3485440000</v>
      </c>
      <c r="Q895">
        <v>2699990000</v>
      </c>
      <c r="R895">
        <v>1.5774811473901759E-8</v>
      </c>
      <c r="S895">
        <v>8.4974180342315034E-2</v>
      </c>
      <c r="U895">
        <v>6.5820559309927973E-2</v>
      </c>
      <c r="V895">
        <v>88.5</v>
      </c>
      <c r="W895">
        <v>88.49</v>
      </c>
      <c r="X895">
        <f t="shared" si="14"/>
        <v>1.1300073450483209E-4</v>
      </c>
      <c r="Y895">
        <v>1238</v>
      </c>
      <c r="Z895">
        <v>372080000</v>
      </c>
      <c r="AA895">
        <v>109005.9</v>
      </c>
      <c r="AB895">
        <v>145570000</v>
      </c>
      <c r="AC895">
        <v>8.5044995534794258E-6</v>
      </c>
      <c r="AD895">
        <v>78801.429999999993</v>
      </c>
      <c r="AE895">
        <v>0.17469999999999999</v>
      </c>
      <c r="AF895">
        <v>31774240000</v>
      </c>
      <c r="AG895">
        <v>3830410000</v>
      </c>
      <c r="AH895">
        <v>2499360000</v>
      </c>
      <c r="AI895">
        <v>3485440000</v>
      </c>
      <c r="AJ895">
        <v>2699990000</v>
      </c>
      <c r="AK895">
        <v>1.9876599951623444E-7</v>
      </c>
      <c r="AL895">
        <v>8.4974180342315034E-2</v>
      </c>
    </row>
    <row r="896" spans="2:38">
      <c r="B896">
        <v>6.2404870624048654E-2</v>
      </c>
      <c r="C896">
        <v>92.5</v>
      </c>
      <c r="D896">
        <v>90.1</v>
      </c>
      <c r="E896">
        <v>2.6286966046002253E-2</v>
      </c>
      <c r="F896">
        <v>1962</v>
      </c>
      <c r="G896">
        <v>372080000</v>
      </c>
      <c r="H896">
        <v>177247.08000000002</v>
      </c>
      <c r="I896">
        <v>145570000</v>
      </c>
      <c r="J896">
        <v>1.3478051796386618E-5</v>
      </c>
      <c r="K896">
        <v>78863.34</v>
      </c>
      <c r="L896">
        <v>0.1741</v>
      </c>
      <c r="M896">
        <v>31774240000</v>
      </c>
      <c r="N896">
        <v>3830410000</v>
      </c>
      <c r="O896">
        <v>2499360000</v>
      </c>
      <c r="P896">
        <v>3485440000</v>
      </c>
      <c r="Q896">
        <v>2699990000</v>
      </c>
      <c r="R896">
        <v>7.5175263216766211E-8</v>
      </c>
      <c r="S896">
        <v>8.4974180342315034E-2</v>
      </c>
      <c r="U896">
        <v>8.4769708957332587E-3</v>
      </c>
      <c r="V896">
        <v>88.81</v>
      </c>
      <c r="W896">
        <v>88.11</v>
      </c>
      <c r="X896">
        <f t="shared" si="14"/>
        <v>7.9131810988017498E-3</v>
      </c>
      <c r="Y896">
        <v>197</v>
      </c>
      <c r="Z896">
        <v>372080000</v>
      </c>
      <c r="AA896">
        <v>17730</v>
      </c>
      <c r="AB896">
        <v>145570000</v>
      </c>
      <c r="AC896">
        <v>1.3533008174761284E-6</v>
      </c>
      <c r="AD896">
        <v>78793.41</v>
      </c>
      <c r="AE896">
        <v>0.17469999999999999</v>
      </c>
      <c r="AF896">
        <v>31774240000</v>
      </c>
      <c r="AG896">
        <v>3830410000</v>
      </c>
      <c r="AH896">
        <v>2499360000</v>
      </c>
      <c r="AI896">
        <v>3485440000</v>
      </c>
      <c r="AJ896">
        <v>2699990000</v>
      </c>
      <c r="AK896">
        <v>0</v>
      </c>
      <c r="AL896">
        <v>8.4974180342315034E-2</v>
      </c>
    </row>
    <row r="897" spans="2:38">
      <c r="B897">
        <v>3.1493452676943569E-2</v>
      </c>
      <c r="C897">
        <v>91.92</v>
      </c>
      <c r="D897">
        <v>89.5</v>
      </c>
      <c r="E897">
        <v>2.6678425752397768E-2</v>
      </c>
      <c r="F897">
        <v>2200</v>
      </c>
      <c r="G897">
        <v>372080000</v>
      </c>
      <c r="H897">
        <v>201432</v>
      </c>
      <c r="I897">
        <v>145570000</v>
      </c>
      <c r="J897">
        <v>1.5113004053032906E-5</v>
      </c>
      <c r="K897">
        <v>78848.009999999995</v>
      </c>
      <c r="L897">
        <v>0.1741</v>
      </c>
      <c r="M897">
        <v>31774240000</v>
      </c>
      <c r="N897">
        <v>3830410000</v>
      </c>
      <c r="O897">
        <v>2499360000</v>
      </c>
      <c r="P897">
        <v>3485440000</v>
      </c>
      <c r="Q897">
        <v>2699990000</v>
      </c>
      <c r="R897">
        <v>6.2035094454107541E-8</v>
      </c>
      <c r="S897">
        <v>8.4974180342315034E-2</v>
      </c>
      <c r="U897">
        <v>1.0170240990493053E-2</v>
      </c>
      <c r="V897">
        <v>90.85</v>
      </c>
      <c r="W897">
        <v>88.51</v>
      </c>
      <c r="X897">
        <f t="shared" si="14"/>
        <v>2.6092774308652866E-2</v>
      </c>
      <c r="Y897">
        <v>502</v>
      </c>
      <c r="Z897">
        <v>372080000</v>
      </c>
      <c r="AA897">
        <v>45180</v>
      </c>
      <c r="AB897">
        <v>145570000</v>
      </c>
      <c r="AC897">
        <v>3.4485127430102358E-6</v>
      </c>
      <c r="AD897">
        <v>78260.86</v>
      </c>
      <c r="AE897">
        <v>0.17469999999999999</v>
      </c>
      <c r="AF897">
        <v>31774240000</v>
      </c>
      <c r="AG897">
        <v>3830410000</v>
      </c>
      <c r="AH897">
        <v>2499360000</v>
      </c>
      <c r="AI897">
        <v>3485440000</v>
      </c>
      <c r="AJ897">
        <v>2699990000</v>
      </c>
      <c r="AK897">
        <v>4.9532391594338028E-7</v>
      </c>
      <c r="AL897">
        <v>8.4974180342315034E-2</v>
      </c>
    </row>
    <row r="898" spans="2:38">
      <c r="B898">
        <v>1.8479349883112509E-2</v>
      </c>
      <c r="C898">
        <v>89.9</v>
      </c>
      <c r="D898">
        <v>89.06</v>
      </c>
      <c r="E898">
        <v>9.387572641931196E-3</v>
      </c>
      <c r="F898">
        <v>1077</v>
      </c>
      <c r="G898">
        <v>372080000</v>
      </c>
      <c r="H898">
        <v>97393.11</v>
      </c>
      <c r="I898">
        <v>145570000</v>
      </c>
      <c r="J898">
        <v>7.3985024386892901E-6</v>
      </c>
      <c r="K898">
        <v>78356.320000000007</v>
      </c>
      <c r="L898">
        <v>0.17469999999999999</v>
      </c>
      <c r="M898">
        <v>31774240000</v>
      </c>
      <c r="N898">
        <v>3830410000</v>
      </c>
      <c r="O898">
        <v>2499360000</v>
      </c>
      <c r="P898">
        <v>3485440000</v>
      </c>
      <c r="Q898">
        <v>2699990000</v>
      </c>
      <c r="R898">
        <v>4.9056630163857116E-8</v>
      </c>
      <c r="S898">
        <v>8.4974180342315034E-2</v>
      </c>
      <c r="U898">
        <v>4.4335796433135115E-2</v>
      </c>
      <c r="V898">
        <v>89</v>
      </c>
      <c r="W898">
        <v>88.99</v>
      </c>
      <c r="X898">
        <f t="shared" si="14"/>
        <v>1.1236586325080191E-4</v>
      </c>
      <c r="Y898">
        <v>1145</v>
      </c>
      <c r="Z898">
        <v>372080000</v>
      </c>
      <c r="AA898">
        <v>100794.35</v>
      </c>
      <c r="AB898">
        <v>145570000</v>
      </c>
      <c r="AC898">
        <v>7.8656316548739444E-6</v>
      </c>
      <c r="AD898">
        <v>77745.52</v>
      </c>
      <c r="AE898">
        <v>0.189</v>
      </c>
      <c r="AF898">
        <v>31774240000</v>
      </c>
      <c r="AG898">
        <v>3830410000</v>
      </c>
      <c r="AH898">
        <v>2499360000</v>
      </c>
      <c r="AI898">
        <v>3485440000</v>
      </c>
      <c r="AJ898">
        <v>2699990000</v>
      </c>
      <c r="AK898">
        <v>2.5989452555832765E-8</v>
      </c>
      <c r="AL898">
        <v>8.4974180342315034E-2</v>
      </c>
    </row>
    <row r="899" spans="2:38">
      <c r="B899">
        <v>4.3956043956043959E-2</v>
      </c>
      <c r="C899">
        <v>90.43</v>
      </c>
      <c r="D899">
        <v>90</v>
      </c>
      <c r="E899">
        <v>4.7663913983262965E-3</v>
      </c>
      <c r="F899">
        <v>16651</v>
      </c>
      <c r="G899">
        <v>372080000</v>
      </c>
      <c r="H899">
        <v>1498590</v>
      </c>
      <c r="I899">
        <v>145570000</v>
      </c>
      <c r="J899">
        <v>1.143848320395686E-4</v>
      </c>
      <c r="K899">
        <v>78283.3</v>
      </c>
      <c r="L899">
        <v>0.17469999999999999</v>
      </c>
      <c r="M899">
        <v>31774240000</v>
      </c>
      <c r="N899">
        <v>3830410000</v>
      </c>
      <c r="O899">
        <v>2499360000</v>
      </c>
      <c r="P899">
        <v>3485440000</v>
      </c>
      <c r="Q899">
        <v>2699990000</v>
      </c>
      <c r="R899">
        <v>7.1945436437114746E-9</v>
      </c>
      <c r="S899">
        <v>8.4974180342315034E-2</v>
      </c>
      <c r="U899">
        <v>5.0880626223091939E-2</v>
      </c>
      <c r="V899">
        <v>88.9</v>
      </c>
      <c r="W899">
        <v>88</v>
      </c>
      <c r="X899">
        <f t="shared" si="14"/>
        <v>1.0175240248728158E-2</v>
      </c>
      <c r="Y899">
        <v>6062</v>
      </c>
      <c r="Z899">
        <v>372080000</v>
      </c>
      <c r="AA899">
        <v>532243.6</v>
      </c>
      <c r="AB899">
        <v>145570000</v>
      </c>
      <c r="AC899">
        <v>4.1643195713402489E-5</v>
      </c>
      <c r="AD899">
        <v>77830.34</v>
      </c>
      <c r="AE899">
        <v>0.189</v>
      </c>
      <c r="AF899">
        <v>31774240000</v>
      </c>
      <c r="AG899">
        <v>3830410000</v>
      </c>
      <c r="AH899">
        <v>2499360000</v>
      </c>
      <c r="AI899">
        <v>3485440000</v>
      </c>
      <c r="AJ899">
        <v>2699990000</v>
      </c>
      <c r="AK899">
        <v>4.5927174031673613E-8</v>
      </c>
      <c r="AL899">
        <v>8.4974180342315034E-2</v>
      </c>
    </row>
    <row r="900" spans="2:38">
      <c r="B900">
        <v>1.006148686416999E-2</v>
      </c>
      <c r="C900">
        <v>89.9</v>
      </c>
      <c r="D900">
        <v>89.01</v>
      </c>
      <c r="E900">
        <v>9.9491364373148553E-3</v>
      </c>
      <c r="F900">
        <v>9302</v>
      </c>
      <c r="G900">
        <v>372080000</v>
      </c>
      <c r="H900">
        <v>828250.08000000007</v>
      </c>
      <c r="I900">
        <v>145570000</v>
      </c>
      <c r="J900">
        <v>6.3900528955141862E-5</v>
      </c>
      <c r="K900">
        <v>78488.22</v>
      </c>
      <c r="L900">
        <v>0.17469999999999999</v>
      </c>
      <c r="M900">
        <v>31774240000</v>
      </c>
      <c r="N900">
        <v>3830410000</v>
      </c>
      <c r="O900">
        <v>2499360000</v>
      </c>
      <c r="P900">
        <v>3485440000</v>
      </c>
      <c r="Q900">
        <v>2699990000</v>
      </c>
      <c r="R900">
        <v>4.0665705942404117E-10</v>
      </c>
      <c r="S900">
        <v>8.4974180342315034E-2</v>
      </c>
      <c r="U900">
        <v>0.14904679376083196</v>
      </c>
      <c r="V900">
        <v>89.5</v>
      </c>
      <c r="W900">
        <v>88.01</v>
      </c>
      <c r="X900">
        <f t="shared" si="14"/>
        <v>1.6787786603571574E-2</v>
      </c>
      <c r="Y900">
        <v>26025</v>
      </c>
      <c r="Z900">
        <v>372080000</v>
      </c>
      <c r="AA900">
        <v>2342250</v>
      </c>
      <c r="AB900">
        <v>145570000</v>
      </c>
      <c r="AC900">
        <v>1.7877996840008243E-4</v>
      </c>
      <c r="AD900">
        <v>78045.31</v>
      </c>
      <c r="AE900">
        <v>0.189</v>
      </c>
      <c r="AF900">
        <v>31774240000</v>
      </c>
      <c r="AG900">
        <v>3830410000</v>
      </c>
      <c r="AH900">
        <v>2499360000</v>
      </c>
      <c r="AI900">
        <v>3485440000</v>
      </c>
      <c r="AJ900">
        <v>2699990000</v>
      </c>
      <c r="AK900">
        <v>9.7031797319981754E-9</v>
      </c>
      <c r="AL900">
        <v>8.4974180342315034E-2</v>
      </c>
    </row>
    <row r="901" spans="2:38">
      <c r="B901">
        <v>2.1122846025569825E-2</v>
      </c>
      <c r="C901">
        <v>90.5</v>
      </c>
      <c r="D901">
        <v>89.07</v>
      </c>
      <c r="E901">
        <v>1.5926936570696743E-2</v>
      </c>
      <c r="F901">
        <v>14060</v>
      </c>
      <c r="G901">
        <v>372080000</v>
      </c>
      <c r="H901">
        <v>1252324.2</v>
      </c>
      <c r="I901">
        <v>145570000</v>
      </c>
      <c r="J901">
        <v>9.6585834993473925E-5</v>
      </c>
      <c r="K901">
        <v>78349.66</v>
      </c>
      <c r="L901">
        <v>0.17469999999999999</v>
      </c>
      <c r="M901">
        <v>31774240000</v>
      </c>
      <c r="N901">
        <v>3830410000</v>
      </c>
      <c r="O901">
        <v>2499360000</v>
      </c>
      <c r="P901">
        <v>3485440000</v>
      </c>
      <c r="Q901">
        <v>2699990000</v>
      </c>
      <c r="R901">
        <v>6.6676291970829929E-9</v>
      </c>
      <c r="S901">
        <v>8.4974180342315034E-2</v>
      </c>
      <c r="U901">
        <v>1.6901408450704224E-2</v>
      </c>
      <c r="V901">
        <v>89.88</v>
      </c>
      <c r="W901">
        <v>88</v>
      </c>
      <c r="X901">
        <f t="shared" si="14"/>
        <v>2.1137845738700197E-2</v>
      </c>
      <c r="Y901">
        <v>306251</v>
      </c>
      <c r="Z901">
        <v>372080000</v>
      </c>
      <c r="AA901">
        <v>26950088</v>
      </c>
      <c r="AB901">
        <v>145570000</v>
      </c>
      <c r="AC901">
        <v>2.1038057292024456E-3</v>
      </c>
      <c r="AD901">
        <v>78105.98</v>
      </c>
      <c r="AE901">
        <v>0.189</v>
      </c>
      <c r="AF901">
        <v>31774240000</v>
      </c>
      <c r="AG901">
        <v>3830410000</v>
      </c>
      <c r="AH901">
        <v>2499360000</v>
      </c>
      <c r="AI901">
        <v>3485440000</v>
      </c>
      <c r="AJ901">
        <v>2699990000</v>
      </c>
      <c r="AK901">
        <v>1.265396051957219E-11</v>
      </c>
      <c r="AL901">
        <v>8.4974180342315034E-2</v>
      </c>
    </row>
    <row r="902" spans="2:38">
      <c r="B902">
        <v>3.3519553072625698E-2</v>
      </c>
      <c r="C902">
        <v>90.3</v>
      </c>
      <c r="D902">
        <v>89.1</v>
      </c>
      <c r="E902">
        <v>1.3377926421404715E-2</v>
      </c>
      <c r="F902">
        <v>19519</v>
      </c>
      <c r="G902">
        <v>372080000</v>
      </c>
      <c r="H902">
        <v>1753196.5799999998</v>
      </c>
      <c r="I902">
        <v>145570000</v>
      </c>
      <c r="J902">
        <v>1.3408669368688604E-4</v>
      </c>
      <c r="K902">
        <v>77992.789999999994</v>
      </c>
      <c r="L902">
        <v>0.17469999999999999</v>
      </c>
      <c r="M902">
        <v>31774240000</v>
      </c>
      <c r="N902">
        <v>3830410000</v>
      </c>
      <c r="O902">
        <v>2499360000</v>
      </c>
      <c r="P902">
        <v>3485440000</v>
      </c>
      <c r="Q902">
        <v>2699990000</v>
      </c>
      <c r="R902">
        <v>9.4246782734505365E-9</v>
      </c>
      <c r="S902">
        <v>8.4974180342315034E-2</v>
      </c>
      <c r="U902">
        <v>1.1428571428571429E-2</v>
      </c>
      <c r="V902">
        <v>88.35</v>
      </c>
      <c r="W902">
        <v>87.3</v>
      </c>
      <c r="X902">
        <f t="shared" si="14"/>
        <v>1.1955593509820636E-2</v>
      </c>
      <c r="Y902">
        <v>5536</v>
      </c>
      <c r="Z902">
        <v>372080000</v>
      </c>
      <c r="AA902">
        <v>487001.92</v>
      </c>
      <c r="AB902">
        <v>145570000</v>
      </c>
      <c r="AC902">
        <v>3.8029813835268258E-5</v>
      </c>
      <c r="AD902">
        <v>77877.42</v>
      </c>
      <c r="AE902">
        <v>0.189</v>
      </c>
      <c r="AF902">
        <v>31774240000</v>
      </c>
      <c r="AG902">
        <v>3830410000</v>
      </c>
      <c r="AH902">
        <v>2499360000</v>
      </c>
      <c r="AI902">
        <v>3485440000</v>
      </c>
      <c r="AJ902">
        <v>2699990000</v>
      </c>
      <c r="AK902">
        <v>1.3995546937780188E-9</v>
      </c>
      <c r="AL902">
        <v>8.4974180342315034E-2</v>
      </c>
    </row>
    <row r="903" spans="2:38">
      <c r="B903">
        <v>5.6657223796033997E-3</v>
      </c>
      <c r="C903">
        <v>89.99</v>
      </c>
      <c r="D903">
        <v>89.5</v>
      </c>
      <c r="E903">
        <v>5.4599142013482069E-3</v>
      </c>
      <c r="F903">
        <v>3711</v>
      </c>
      <c r="G903">
        <v>372080000</v>
      </c>
      <c r="H903">
        <v>327903.96000000002</v>
      </c>
      <c r="I903">
        <v>145570000</v>
      </c>
      <c r="J903">
        <v>2.5492890018547779E-5</v>
      </c>
      <c r="K903">
        <v>78084.240000000005</v>
      </c>
      <c r="L903">
        <v>0.17469999999999999</v>
      </c>
      <c r="M903">
        <v>31774240000</v>
      </c>
      <c r="N903">
        <v>3830410000</v>
      </c>
      <c r="O903">
        <v>2499360000</v>
      </c>
      <c r="P903">
        <v>3485440000</v>
      </c>
      <c r="Q903">
        <v>2699990000</v>
      </c>
      <c r="R903">
        <v>4.455305247749859E-8</v>
      </c>
      <c r="S903">
        <v>8.4974180342315034E-2</v>
      </c>
      <c r="U903">
        <v>6.8965517241379309E-2</v>
      </c>
      <c r="V903">
        <v>89</v>
      </c>
      <c r="W903">
        <v>88</v>
      </c>
      <c r="X903">
        <f t="shared" si="14"/>
        <v>1.1299435028248588E-2</v>
      </c>
      <c r="Y903">
        <v>3963</v>
      </c>
      <c r="Z903">
        <v>372080000</v>
      </c>
      <c r="AA903">
        <v>348862.89</v>
      </c>
      <c r="AB903">
        <v>145570000</v>
      </c>
      <c r="AC903">
        <v>2.7224015937349729E-5</v>
      </c>
      <c r="AD903">
        <v>77980.289999999994</v>
      </c>
      <c r="AE903">
        <v>0.189</v>
      </c>
      <c r="AF903">
        <v>31774240000</v>
      </c>
      <c r="AG903">
        <v>3830410000</v>
      </c>
      <c r="AH903">
        <v>2499360000</v>
      </c>
      <c r="AI903">
        <v>3485440000</v>
      </c>
      <c r="AJ903">
        <v>2699990000</v>
      </c>
      <c r="AK903">
        <v>2.9276101674326623E-9</v>
      </c>
      <c r="AL903">
        <v>8.4974180342315034E-2</v>
      </c>
    </row>
    <row r="904" spans="2:38">
      <c r="B904">
        <v>4.4227136348483208E-2</v>
      </c>
      <c r="C904">
        <v>89.95</v>
      </c>
      <c r="D904">
        <v>89.5</v>
      </c>
      <c r="E904">
        <v>5.0153246029535012E-3</v>
      </c>
      <c r="F904">
        <v>3076</v>
      </c>
      <c r="G904">
        <v>372080000</v>
      </c>
      <c r="H904">
        <v>275824.92</v>
      </c>
      <c r="I904">
        <v>145570000</v>
      </c>
      <c r="J904">
        <v>2.1130727485058735E-5</v>
      </c>
      <c r="K904">
        <v>78571.06</v>
      </c>
      <c r="L904">
        <v>0.17469999999999999</v>
      </c>
      <c r="M904">
        <v>31774240000</v>
      </c>
      <c r="N904">
        <v>3830410000</v>
      </c>
      <c r="O904">
        <v>2499360000</v>
      </c>
      <c r="P904">
        <v>3485440000</v>
      </c>
      <c r="Q904">
        <v>2699990000</v>
      </c>
      <c r="R904">
        <v>6.6704042325072842E-8</v>
      </c>
      <c r="S904">
        <v>8.4974180342315034E-2</v>
      </c>
      <c r="U904">
        <v>2.2612351570933414E-2</v>
      </c>
      <c r="V904">
        <v>88.99</v>
      </c>
      <c r="W904">
        <v>88</v>
      </c>
      <c r="X904">
        <f t="shared" si="14"/>
        <v>1.1187072715972595E-2</v>
      </c>
      <c r="Y904">
        <v>17094</v>
      </c>
      <c r="Z904">
        <v>372080000</v>
      </c>
      <c r="AA904">
        <v>1506323.28</v>
      </c>
      <c r="AB904">
        <v>145570000</v>
      </c>
      <c r="AC904">
        <v>1.1742804149206567E-4</v>
      </c>
      <c r="AD904">
        <v>78569.59</v>
      </c>
      <c r="AE904">
        <v>0.189</v>
      </c>
      <c r="AF904">
        <v>31774240000</v>
      </c>
      <c r="AG904">
        <v>3830410000</v>
      </c>
      <c r="AH904">
        <v>2499360000</v>
      </c>
      <c r="AI904">
        <v>3485440000</v>
      </c>
      <c r="AJ904">
        <v>2699990000</v>
      </c>
      <c r="AK904">
        <v>8.9189626154139978E-9</v>
      </c>
      <c r="AL904">
        <v>8.4974180342315034E-2</v>
      </c>
    </row>
    <row r="905" spans="2:38">
      <c r="B905">
        <v>6.5820559309927973E-2</v>
      </c>
      <c r="C905">
        <v>88.5</v>
      </c>
      <c r="D905">
        <v>88.49</v>
      </c>
      <c r="E905">
        <v>1.1300073450483209E-4</v>
      </c>
      <c r="F905">
        <v>1238</v>
      </c>
      <c r="G905">
        <v>372080000</v>
      </c>
      <c r="H905">
        <v>109005.9</v>
      </c>
      <c r="I905">
        <v>145570000</v>
      </c>
      <c r="J905">
        <v>8.5044995534794258E-6</v>
      </c>
      <c r="K905">
        <v>78801.429999999993</v>
      </c>
      <c r="L905">
        <v>0.17469999999999999</v>
      </c>
      <c r="M905">
        <v>31774240000</v>
      </c>
      <c r="N905">
        <v>3830410000</v>
      </c>
      <c r="O905">
        <v>2499360000</v>
      </c>
      <c r="P905">
        <v>3485440000</v>
      </c>
      <c r="Q905">
        <v>2699990000</v>
      </c>
      <c r="R905">
        <v>1.9876599951623444E-7</v>
      </c>
      <c r="S905">
        <v>8.4974180342315034E-2</v>
      </c>
      <c r="U905">
        <v>3.877005347593588E-2</v>
      </c>
      <c r="V905">
        <v>91.5</v>
      </c>
      <c r="W905">
        <v>88.5</v>
      </c>
      <c r="X905">
        <f t="shared" si="14"/>
        <v>3.3333333333333333E-2</v>
      </c>
      <c r="Y905">
        <v>796</v>
      </c>
      <c r="Z905">
        <v>372080000</v>
      </c>
      <c r="AA905">
        <v>71098.720000000001</v>
      </c>
      <c r="AB905">
        <v>145570000</v>
      </c>
      <c r="AC905">
        <v>5.4681596482791784E-6</v>
      </c>
      <c r="AD905">
        <v>77874.22</v>
      </c>
      <c r="AE905">
        <v>0.189</v>
      </c>
      <c r="AF905">
        <v>31774240000</v>
      </c>
      <c r="AG905">
        <v>3830410000</v>
      </c>
      <c r="AH905">
        <v>2499360000</v>
      </c>
      <c r="AI905">
        <v>3485440000</v>
      </c>
      <c r="AJ905">
        <v>2699990000</v>
      </c>
      <c r="AK905">
        <v>3.2909462879767295E-7</v>
      </c>
      <c r="AL905">
        <v>8.4974180342315034E-2</v>
      </c>
    </row>
    <row r="906" spans="2:38">
      <c r="B906">
        <v>8.4769708957332587E-3</v>
      </c>
      <c r="C906">
        <v>88.81</v>
      </c>
      <c r="D906">
        <v>88.11</v>
      </c>
      <c r="E906">
        <v>7.9131810988017498E-3</v>
      </c>
      <c r="F906">
        <v>197</v>
      </c>
      <c r="G906">
        <v>372080000</v>
      </c>
      <c r="H906">
        <v>17730</v>
      </c>
      <c r="I906">
        <v>145570000</v>
      </c>
      <c r="J906">
        <v>1.3533008174761284E-6</v>
      </c>
      <c r="K906">
        <v>78793.41</v>
      </c>
      <c r="L906">
        <v>0.17469999999999999</v>
      </c>
      <c r="M906">
        <v>31774240000</v>
      </c>
      <c r="N906">
        <v>3830410000</v>
      </c>
      <c r="O906">
        <v>2499360000</v>
      </c>
      <c r="P906">
        <v>3485440000</v>
      </c>
      <c r="Q906">
        <v>2699990000</v>
      </c>
      <c r="R906">
        <v>0</v>
      </c>
      <c r="S906">
        <v>8.4974180342315034E-2</v>
      </c>
      <c r="U906">
        <v>5.5141168020332552E-2</v>
      </c>
      <c r="V906">
        <v>92.49</v>
      </c>
      <c r="W906">
        <v>88.5</v>
      </c>
      <c r="X906">
        <f t="shared" si="14"/>
        <v>4.4090833747720812E-2</v>
      </c>
      <c r="Y906">
        <v>22447</v>
      </c>
      <c r="Z906">
        <v>372080000</v>
      </c>
      <c r="AA906">
        <v>2053002.6199999999</v>
      </c>
      <c r="AB906">
        <v>145570000</v>
      </c>
      <c r="AC906">
        <v>1.5420072817201347E-4</v>
      </c>
      <c r="AD906">
        <v>77114.490000000005</v>
      </c>
      <c r="AE906">
        <v>0.189</v>
      </c>
      <c r="AF906">
        <v>31774240000</v>
      </c>
      <c r="AG906">
        <v>3830410000</v>
      </c>
      <c r="AH906">
        <v>2499360000</v>
      </c>
      <c r="AI906">
        <v>3485440000</v>
      </c>
      <c r="AJ906">
        <v>2699990000</v>
      </c>
      <c r="AK906">
        <v>1.1000947074470111E-8</v>
      </c>
      <c r="AL906">
        <v>8.4974180342315034E-2</v>
      </c>
    </row>
    <row r="907" spans="2:38">
      <c r="B907">
        <v>1.0170240990493053E-2</v>
      </c>
      <c r="C907">
        <v>90.85</v>
      </c>
      <c r="D907">
        <v>88.51</v>
      </c>
      <c r="E907">
        <v>2.6092774308652866E-2</v>
      </c>
      <c r="F907">
        <v>502</v>
      </c>
      <c r="G907">
        <v>372080000</v>
      </c>
      <c r="H907">
        <v>45180</v>
      </c>
      <c r="I907">
        <v>145570000</v>
      </c>
      <c r="J907">
        <v>3.4485127430102358E-6</v>
      </c>
      <c r="K907">
        <v>78260.86</v>
      </c>
      <c r="L907">
        <v>0.17469999999999999</v>
      </c>
      <c r="M907">
        <v>31774240000</v>
      </c>
      <c r="N907">
        <v>3830410000</v>
      </c>
      <c r="O907">
        <v>2499360000</v>
      </c>
      <c r="P907">
        <v>3485440000</v>
      </c>
      <c r="Q907">
        <v>2699990000</v>
      </c>
      <c r="R907">
        <v>4.9532391594338028E-7</v>
      </c>
      <c r="S907">
        <v>8.4974180342315034E-2</v>
      </c>
      <c r="U907">
        <v>7.7051926298157519E-2</v>
      </c>
      <c r="V907">
        <v>90</v>
      </c>
      <c r="W907">
        <v>88.1</v>
      </c>
      <c r="X907">
        <f t="shared" si="14"/>
        <v>2.1336327905671037E-2</v>
      </c>
      <c r="Y907">
        <v>31131</v>
      </c>
      <c r="Z907">
        <v>372080000</v>
      </c>
      <c r="AA907">
        <v>2784356.64</v>
      </c>
      <c r="AB907">
        <v>145570000</v>
      </c>
      <c r="AC907">
        <v>2.1385587689771245E-4</v>
      </c>
      <c r="AD907">
        <v>77191.34</v>
      </c>
      <c r="AE907">
        <v>0.19489999999999999</v>
      </c>
      <c r="AF907">
        <v>31774240000</v>
      </c>
      <c r="AG907">
        <v>3830410000</v>
      </c>
      <c r="AH907">
        <v>2499360000</v>
      </c>
      <c r="AI907">
        <v>3485440000</v>
      </c>
      <c r="AJ907">
        <v>2699990000</v>
      </c>
      <c r="AK907">
        <v>1.2630280739105498E-8</v>
      </c>
      <c r="AL907">
        <v>8.4974180342315034E-2</v>
      </c>
    </row>
    <row r="908" spans="2:38">
      <c r="B908">
        <v>4.4335796433135115E-2</v>
      </c>
      <c r="C908">
        <v>89</v>
      </c>
      <c r="D908">
        <v>88.99</v>
      </c>
      <c r="E908">
        <v>1.1236586325080191E-4</v>
      </c>
      <c r="F908">
        <v>1145</v>
      </c>
      <c r="G908">
        <v>372080000</v>
      </c>
      <c r="H908">
        <v>100794.35</v>
      </c>
      <c r="I908">
        <v>145570000</v>
      </c>
      <c r="J908">
        <v>7.8656316548739444E-6</v>
      </c>
      <c r="K908">
        <v>77745.52</v>
      </c>
      <c r="L908">
        <v>0.189</v>
      </c>
      <c r="M908">
        <v>31774240000</v>
      </c>
      <c r="N908">
        <v>3830410000</v>
      </c>
      <c r="O908">
        <v>2499360000</v>
      </c>
      <c r="P908">
        <v>3485440000</v>
      </c>
      <c r="Q908">
        <v>2699990000</v>
      </c>
      <c r="R908">
        <v>2.5989452555832765E-8</v>
      </c>
      <c r="S908">
        <v>8.4974180342315034E-2</v>
      </c>
      <c r="U908">
        <v>7.2289156626505965E-2</v>
      </c>
      <c r="V908">
        <v>88.6</v>
      </c>
      <c r="W908">
        <v>88.51</v>
      </c>
      <c r="X908">
        <f t="shared" si="14"/>
        <v>1.0163175427699079E-3</v>
      </c>
      <c r="Y908">
        <v>18149</v>
      </c>
      <c r="Z908">
        <v>372080000</v>
      </c>
      <c r="AA908">
        <v>1682412.3</v>
      </c>
      <c r="AB908">
        <v>145570000</v>
      </c>
      <c r="AC908">
        <v>1.2467541389022465E-4</v>
      </c>
      <c r="AD908">
        <v>77084.490000000005</v>
      </c>
      <c r="AE908">
        <v>0.19489999999999999</v>
      </c>
      <c r="AF908">
        <v>31774240000</v>
      </c>
      <c r="AG908">
        <v>3830410000</v>
      </c>
      <c r="AH908">
        <v>2499360000</v>
      </c>
      <c r="AI908">
        <v>3485440000</v>
      </c>
      <c r="AJ908">
        <v>2699990000</v>
      </c>
      <c r="AK908">
        <v>4.6306708970319624E-8</v>
      </c>
      <c r="AL908">
        <v>8.4974180342315034E-2</v>
      </c>
    </row>
    <row r="909" spans="2:38">
      <c r="B909">
        <v>5.0880626223091939E-2</v>
      </c>
      <c r="C909">
        <v>88.9</v>
      </c>
      <c r="D909">
        <v>88</v>
      </c>
      <c r="E909">
        <v>1.0175240248728158E-2</v>
      </c>
      <c r="F909">
        <v>6062</v>
      </c>
      <c r="G909">
        <v>372080000</v>
      </c>
      <c r="H909">
        <v>532243.6</v>
      </c>
      <c r="I909">
        <v>145570000</v>
      </c>
      <c r="J909">
        <v>4.1643195713402489E-5</v>
      </c>
      <c r="K909">
        <v>77830.34</v>
      </c>
      <c r="L909">
        <v>0.189</v>
      </c>
      <c r="M909">
        <v>31774240000</v>
      </c>
      <c r="N909">
        <v>3830410000</v>
      </c>
      <c r="O909">
        <v>2499360000</v>
      </c>
      <c r="P909">
        <v>3485440000</v>
      </c>
      <c r="Q909">
        <v>2699990000</v>
      </c>
      <c r="R909">
        <v>4.5927174031673613E-8</v>
      </c>
      <c r="S909">
        <v>8.4974180342315034E-2</v>
      </c>
      <c r="U909">
        <v>5.7803468208092484E-2</v>
      </c>
      <c r="V909">
        <v>87.87</v>
      </c>
      <c r="W909">
        <v>86</v>
      </c>
      <c r="X909">
        <f t="shared" si="14"/>
        <v>2.1510323805141826E-2</v>
      </c>
      <c r="Y909">
        <v>2505</v>
      </c>
      <c r="Z909">
        <v>372080000</v>
      </c>
      <c r="AA909">
        <v>215430</v>
      </c>
      <c r="AB909">
        <v>145570000</v>
      </c>
      <c r="AC909">
        <v>1.7208215978567013E-5</v>
      </c>
      <c r="AD909">
        <v>78225.98</v>
      </c>
      <c r="AE909">
        <v>0.19489999999999999</v>
      </c>
      <c r="AF909">
        <v>31774240000</v>
      </c>
      <c r="AG909">
        <v>3830410000</v>
      </c>
      <c r="AH909">
        <v>2499360000</v>
      </c>
      <c r="AI909">
        <v>3485440000</v>
      </c>
      <c r="AJ909">
        <v>2699990000</v>
      </c>
      <c r="AK909">
        <v>0</v>
      </c>
      <c r="AL909">
        <v>8.4974180342315034E-2</v>
      </c>
    </row>
    <row r="910" spans="2:38">
      <c r="B910">
        <v>0.14904679376083196</v>
      </c>
      <c r="C910">
        <v>89.5</v>
      </c>
      <c r="D910">
        <v>88.01</v>
      </c>
      <c r="E910">
        <v>1.6787786603571574E-2</v>
      </c>
      <c r="F910">
        <v>26025</v>
      </c>
      <c r="G910">
        <v>372080000</v>
      </c>
      <c r="H910">
        <v>2342250</v>
      </c>
      <c r="I910">
        <v>145570000</v>
      </c>
      <c r="J910">
        <v>1.7877996840008243E-4</v>
      </c>
      <c r="K910">
        <v>78045.31</v>
      </c>
      <c r="L910">
        <v>0.189</v>
      </c>
      <c r="M910">
        <v>31774240000</v>
      </c>
      <c r="N910">
        <v>3830410000</v>
      </c>
      <c r="O910">
        <v>2499360000</v>
      </c>
      <c r="P910">
        <v>3485440000</v>
      </c>
      <c r="Q910">
        <v>2699990000</v>
      </c>
      <c r="R910">
        <v>9.7031797319981754E-9</v>
      </c>
      <c r="S910">
        <v>8.4974180342315034E-2</v>
      </c>
      <c r="U910">
        <v>4.0816326530612242E-2</v>
      </c>
      <c r="V910">
        <v>86.7</v>
      </c>
      <c r="W910">
        <v>86</v>
      </c>
      <c r="X910">
        <f t="shared" si="14"/>
        <v>8.1065431383903052E-3</v>
      </c>
      <c r="Y910">
        <v>12597</v>
      </c>
      <c r="Z910">
        <v>372080000</v>
      </c>
      <c r="AA910">
        <v>1083342</v>
      </c>
      <c r="AB910">
        <v>145570000</v>
      </c>
      <c r="AC910">
        <v>8.6535687298207046E-5</v>
      </c>
      <c r="AD910">
        <v>77740.31</v>
      </c>
      <c r="AE910">
        <v>0.19489999999999999</v>
      </c>
      <c r="AF910">
        <v>31774240000</v>
      </c>
      <c r="AG910">
        <v>3830410000</v>
      </c>
      <c r="AH910">
        <v>2499360000</v>
      </c>
      <c r="AI910">
        <v>3485440000</v>
      </c>
      <c r="AJ910">
        <v>2699990000</v>
      </c>
      <c r="AK910">
        <v>9.2144346182327351E-9</v>
      </c>
      <c r="AL910">
        <v>8.4974180342315034E-2</v>
      </c>
    </row>
    <row r="911" spans="2:38">
      <c r="B911">
        <v>1.6901408450704224E-2</v>
      </c>
      <c r="C911">
        <v>89.88</v>
      </c>
      <c r="D911">
        <v>88</v>
      </c>
      <c r="E911">
        <v>2.1137845738700197E-2</v>
      </c>
      <c r="F911">
        <v>306251</v>
      </c>
      <c r="G911">
        <v>372080000</v>
      </c>
      <c r="H911">
        <v>26950088</v>
      </c>
      <c r="I911">
        <v>145570000</v>
      </c>
      <c r="J911">
        <v>2.1038057292024456E-3</v>
      </c>
      <c r="K911">
        <v>78105.98</v>
      </c>
      <c r="L911">
        <v>0.189</v>
      </c>
      <c r="M911">
        <v>31774240000</v>
      </c>
      <c r="N911">
        <v>3830410000</v>
      </c>
      <c r="O911">
        <v>2499360000</v>
      </c>
      <c r="P911">
        <v>3485440000</v>
      </c>
      <c r="Q911">
        <v>2699990000</v>
      </c>
      <c r="R911">
        <v>1.265396051957219E-11</v>
      </c>
      <c r="S911">
        <v>8.4974180342315034E-2</v>
      </c>
      <c r="U911">
        <v>1.9801980198019837E-2</v>
      </c>
      <c r="V911">
        <v>86.68</v>
      </c>
      <c r="W911">
        <v>86</v>
      </c>
      <c r="X911">
        <f t="shared" si="14"/>
        <v>7.8758397034978788E-3</v>
      </c>
      <c r="Y911">
        <v>10466</v>
      </c>
      <c r="Z911">
        <v>372080000</v>
      </c>
      <c r="AA911">
        <v>891179.9</v>
      </c>
      <c r="AB911">
        <v>145570000</v>
      </c>
      <c r="AC911">
        <v>7.1896682008655636E-5</v>
      </c>
      <c r="AD911">
        <v>77886.990000000005</v>
      </c>
      <c r="AE911">
        <v>0.19489999999999999</v>
      </c>
      <c r="AF911">
        <v>31774240000</v>
      </c>
      <c r="AG911">
        <v>3830410000</v>
      </c>
      <c r="AH911">
        <v>2499360000</v>
      </c>
      <c r="AI911">
        <v>3485440000</v>
      </c>
      <c r="AJ911">
        <v>2699990000</v>
      </c>
      <c r="AK911">
        <v>3.0635570763202261E-8</v>
      </c>
      <c r="AL911">
        <v>8.4974180342315034E-2</v>
      </c>
    </row>
    <row r="912" spans="2:38">
      <c r="B912">
        <v>1.1428571428571429E-2</v>
      </c>
      <c r="C912">
        <v>88.35</v>
      </c>
      <c r="D912">
        <v>87.3</v>
      </c>
      <c r="E912">
        <v>1.1955593509820636E-2</v>
      </c>
      <c r="F912">
        <v>5536</v>
      </c>
      <c r="G912">
        <v>372080000</v>
      </c>
      <c r="H912">
        <v>487001.92</v>
      </c>
      <c r="I912">
        <v>145570000</v>
      </c>
      <c r="J912">
        <v>3.8029813835268258E-5</v>
      </c>
      <c r="K912">
        <v>77877.42</v>
      </c>
      <c r="L912">
        <v>0.189</v>
      </c>
      <c r="M912">
        <v>31774240000</v>
      </c>
      <c r="N912">
        <v>3830410000</v>
      </c>
      <c r="O912">
        <v>2499360000</v>
      </c>
      <c r="P912">
        <v>3485440000</v>
      </c>
      <c r="Q912">
        <v>2699990000</v>
      </c>
      <c r="R912">
        <v>1.3995546937780188E-9</v>
      </c>
      <c r="S912">
        <v>8.4974180342315034E-2</v>
      </c>
      <c r="U912">
        <v>2.6788258763180493E-2</v>
      </c>
      <c r="V912">
        <v>88</v>
      </c>
      <c r="W912">
        <v>87</v>
      </c>
      <c r="X912">
        <f t="shared" si="14"/>
        <v>1.1428571428571429E-2</v>
      </c>
      <c r="Y912">
        <v>2567</v>
      </c>
      <c r="Z912">
        <v>372080000</v>
      </c>
      <c r="AA912">
        <v>224715.18000000002</v>
      </c>
      <c r="AB912">
        <v>145570000</v>
      </c>
      <c r="AC912">
        <v>1.7634127910970669E-5</v>
      </c>
      <c r="AD912">
        <v>78628.81</v>
      </c>
      <c r="AE912">
        <v>0.19489999999999999</v>
      </c>
      <c r="AF912">
        <v>31774240000</v>
      </c>
      <c r="AG912">
        <v>3830410000</v>
      </c>
      <c r="AH912">
        <v>2499360000</v>
      </c>
      <c r="AI912">
        <v>3485440000</v>
      </c>
      <c r="AJ912">
        <v>2699990000</v>
      </c>
      <c r="AK912">
        <v>7.9687436977716047E-8</v>
      </c>
      <c r="AL912">
        <v>8.4974180342315034E-2</v>
      </c>
    </row>
    <row r="913" spans="2:38">
      <c r="B913">
        <v>6.8965517241379309E-2</v>
      </c>
      <c r="C913">
        <v>89</v>
      </c>
      <c r="D913">
        <v>88</v>
      </c>
      <c r="E913">
        <v>1.1299435028248588E-2</v>
      </c>
      <c r="F913">
        <v>3963</v>
      </c>
      <c r="G913">
        <v>372080000</v>
      </c>
      <c r="H913">
        <v>348862.89</v>
      </c>
      <c r="I913">
        <v>145570000</v>
      </c>
      <c r="J913">
        <v>2.7224015937349729E-5</v>
      </c>
      <c r="K913">
        <v>77980.289999999994</v>
      </c>
      <c r="L913">
        <v>0.189</v>
      </c>
      <c r="M913">
        <v>31774240000</v>
      </c>
      <c r="N913">
        <v>3830410000</v>
      </c>
      <c r="O913">
        <v>2499360000</v>
      </c>
      <c r="P913">
        <v>3485440000</v>
      </c>
      <c r="Q913">
        <v>2699990000</v>
      </c>
      <c r="R913">
        <v>2.9276101674326623E-9</v>
      </c>
      <c r="S913">
        <v>8.4974180342315034E-2</v>
      </c>
      <c r="U913">
        <v>6.0319337670017674E-2</v>
      </c>
      <c r="V913">
        <v>86.87</v>
      </c>
      <c r="W913">
        <v>84.5</v>
      </c>
      <c r="X913">
        <f t="shared" si="14"/>
        <v>2.765945031219005E-2</v>
      </c>
      <c r="Y913">
        <v>13738</v>
      </c>
      <c r="Z913">
        <v>372080000</v>
      </c>
      <c r="AA913">
        <v>1181468</v>
      </c>
      <c r="AB913">
        <v>145570000</v>
      </c>
      <c r="AC913">
        <v>9.4373840763893659E-5</v>
      </c>
      <c r="AD913">
        <v>78827.740000000005</v>
      </c>
      <c r="AE913">
        <v>0.19489999999999999</v>
      </c>
      <c r="AF913">
        <v>31774240000</v>
      </c>
      <c r="AG913">
        <v>3830410000</v>
      </c>
      <c r="AH913">
        <v>2499360000</v>
      </c>
      <c r="AI913">
        <v>3485440000</v>
      </c>
      <c r="AJ913">
        <v>2699990000</v>
      </c>
      <c r="AK913">
        <v>1.1977424184342232E-8</v>
      </c>
      <c r="AL913">
        <v>8.4974180342315034E-2</v>
      </c>
    </row>
    <row r="914" spans="2:38">
      <c r="B914">
        <v>2.2612351570933414E-2</v>
      </c>
      <c r="C914">
        <v>88.99</v>
      </c>
      <c r="D914">
        <v>88</v>
      </c>
      <c r="E914">
        <v>1.1187072715972595E-2</v>
      </c>
      <c r="F914">
        <v>17094</v>
      </c>
      <c r="G914">
        <v>372080000</v>
      </c>
      <c r="H914">
        <v>1506323.28</v>
      </c>
      <c r="I914">
        <v>145570000</v>
      </c>
      <c r="J914">
        <v>1.1742804149206567E-4</v>
      </c>
      <c r="K914">
        <v>78569.59</v>
      </c>
      <c r="L914">
        <v>0.189</v>
      </c>
      <c r="M914">
        <v>31774240000</v>
      </c>
      <c r="N914">
        <v>3830410000</v>
      </c>
      <c r="O914">
        <v>2499360000</v>
      </c>
      <c r="P914">
        <v>3485440000</v>
      </c>
      <c r="Q914">
        <v>2699990000</v>
      </c>
      <c r="R914">
        <v>8.9189626154139978E-9</v>
      </c>
      <c r="S914">
        <v>8.4974180342315034E-2</v>
      </c>
      <c r="U914">
        <v>2.3529411764705882E-2</v>
      </c>
      <c r="V914">
        <v>86</v>
      </c>
      <c r="W914">
        <v>84.05</v>
      </c>
      <c r="X914">
        <f t="shared" si="14"/>
        <v>2.2934431049691298E-2</v>
      </c>
      <c r="Y914">
        <v>13786</v>
      </c>
      <c r="Z914">
        <v>372080000</v>
      </c>
      <c r="AA914">
        <v>1169052.8</v>
      </c>
      <c r="AB914">
        <v>145570000</v>
      </c>
      <c r="AC914">
        <v>9.4703579034141657E-5</v>
      </c>
      <c r="AD914">
        <v>78029.509999999995</v>
      </c>
      <c r="AE914">
        <v>0.19489999999999999</v>
      </c>
      <c r="AF914">
        <v>31774240000</v>
      </c>
      <c r="AG914">
        <v>3830410000</v>
      </c>
      <c r="AH914">
        <v>2499360000</v>
      </c>
      <c r="AI914">
        <v>3485440000</v>
      </c>
      <c r="AJ914">
        <v>2699990000</v>
      </c>
      <c r="AK914">
        <v>9.4851057913934447E-9</v>
      </c>
      <c r="AL914">
        <v>8.4974180342315034E-2</v>
      </c>
    </row>
    <row r="915" spans="2:38">
      <c r="B915">
        <v>3.877005347593588E-2</v>
      </c>
      <c r="C915">
        <v>91.5</v>
      </c>
      <c r="D915">
        <v>88.5</v>
      </c>
      <c r="E915">
        <v>3.3333333333333333E-2</v>
      </c>
      <c r="F915">
        <v>796</v>
      </c>
      <c r="G915">
        <v>372080000</v>
      </c>
      <c r="H915">
        <v>71098.720000000001</v>
      </c>
      <c r="I915">
        <v>145570000</v>
      </c>
      <c r="J915">
        <v>5.4681596482791784E-6</v>
      </c>
      <c r="K915">
        <v>77874.22</v>
      </c>
      <c r="L915">
        <v>0.189</v>
      </c>
      <c r="M915">
        <v>31774240000</v>
      </c>
      <c r="N915">
        <v>3830410000</v>
      </c>
      <c r="O915">
        <v>2499360000</v>
      </c>
      <c r="P915">
        <v>3485440000</v>
      </c>
      <c r="Q915">
        <v>2699990000</v>
      </c>
      <c r="R915">
        <v>3.2909462879767295E-7</v>
      </c>
      <c r="S915">
        <v>8.4974180342315034E-2</v>
      </c>
      <c r="U915">
        <v>3.5502958579881658E-2</v>
      </c>
      <c r="V915">
        <v>83.9</v>
      </c>
      <c r="W915">
        <v>83.5</v>
      </c>
      <c r="X915">
        <f t="shared" si="14"/>
        <v>4.7789725209080721E-3</v>
      </c>
      <c r="Y915">
        <v>10782</v>
      </c>
      <c r="Z915">
        <v>372080000</v>
      </c>
      <c r="AA915">
        <v>904286.34000000008</v>
      </c>
      <c r="AB915">
        <v>145570000</v>
      </c>
      <c r="AC915">
        <v>7.4067458954454906E-5</v>
      </c>
      <c r="AD915">
        <v>78469.33</v>
      </c>
      <c r="AE915">
        <v>0.19489999999999999</v>
      </c>
      <c r="AF915">
        <v>31774240000</v>
      </c>
      <c r="AG915">
        <v>3830410000</v>
      </c>
      <c r="AH915">
        <v>2499360000</v>
      </c>
      <c r="AI915">
        <v>3485440000</v>
      </c>
      <c r="AJ915">
        <v>2699990000</v>
      </c>
      <c r="AK915">
        <v>1.7114258826678653E-9</v>
      </c>
      <c r="AL915">
        <v>8.4974180342315034E-2</v>
      </c>
    </row>
    <row r="916" spans="2:38">
      <c r="B916">
        <v>5.5141168020332552E-2</v>
      </c>
      <c r="C916">
        <v>92.49</v>
      </c>
      <c r="D916">
        <v>88.5</v>
      </c>
      <c r="E916">
        <v>4.4090833747720812E-2</v>
      </c>
      <c r="F916">
        <v>22447</v>
      </c>
      <c r="G916">
        <v>372080000</v>
      </c>
      <c r="H916">
        <v>2053002.6199999999</v>
      </c>
      <c r="I916">
        <v>145570000</v>
      </c>
      <c r="J916">
        <v>1.5420072817201347E-4</v>
      </c>
      <c r="K916">
        <v>77114.490000000005</v>
      </c>
      <c r="L916">
        <v>0.189</v>
      </c>
      <c r="M916">
        <v>31774240000</v>
      </c>
      <c r="N916">
        <v>3830410000</v>
      </c>
      <c r="O916">
        <v>2499360000</v>
      </c>
      <c r="P916">
        <v>3485440000</v>
      </c>
      <c r="Q916">
        <v>2699990000</v>
      </c>
      <c r="R916">
        <v>1.1000947074470111E-8</v>
      </c>
      <c r="S916">
        <v>8.4974180342315034E-2</v>
      </c>
      <c r="U916">
        <v>1.8018018018018018E-2</v>
      </c>
      <c r="V916">
        <v>84</v>
      </c>
      <c r="W916">
        <v>83.2</v>
      </c>
      <c r="X916">
        <f t="shared" si="14"/>
        <v>9.5693779904305887E-3</v>
      </c>
      <c r="Y916">
        <v>9091</v>
      </c>
      <c r="Z916">
        <v>372080000</v>
      </c>
      <c r="AA916">
        <v>763644</v>
      </c>
      <c r="AB916">
        <v>145570000</v>
      </c>
      <c r="AC916">
        <v>6.245105447551007E-5</v>
      </c>
      <c r="AD916">
        <v>79397.009999999995</v>
      </c>
      <c r="AE916">
        <v>0.19489999999999999</v>
      </c>
      <c r="AF916">
        <v>31774240000</v>
      </c>
      <c r="AG916">
        <v>3830410000</v>
      </c>
      <c r="AH916">
        <v>2499360000</v>
      </c>
      <c r="AI916">
        <v>3485440000</v>
      </c>
      <c r="AJ916">
        <v>2699990000</v>
      </c>
      <c r="AK916">
        <v>4.2227145932460811E-9</v>
      </c>
      <c r="AL916">
        <v>8.4974180342315034E-2</v>
      </c>
    </row>
    <row r="917" spans="2:38">
      <c r="B917">
        <v>7.7051926298157519E-2</v>
      </c>
      <c r="C917">
        <v>90</v>
      </c>
      <c r="D917">
        <v>88.1</v>
      </c>
      <c r="E917">
        <v>2.1336327905671037E-2</v>
      </c>
      <c r="F917">
        <v>31131</v>
      </c>
      <c r="G917">
        <v>372080000</v>
      </c>
      <c r="H917">
        <v>2784356.64</v>
      </c>
      <c r="I917">
        <v>145570000</v>
      </c>
      <c r="J917">
        <v>2.1385587689771245E-4</v>
      </c>
      <c r="K917">
        <v>77191.34</v>
      </c>
      <c r="L917">
        <v>0.19489999999999999</v>
      </c>
      <c r="M917">
        <v>31774240000</v>
      </c>
      <c r="N917">
        <v>3830410000</v>
      </c>
      <c r="O917">
        <v>2499360000</v>
      </c>
      <c r="P917">
        <v>3485440000</v>
      </c>
      <c r="Q917">
        <v>2699990000</v>
      </c>
      <c r="R917">
        <v>1.2630280739105498E-8</v>
      </c>
      <c r="S917">
        <v>8.4974180342315034E-2</v>
      </c>
      <c r="U917">
        <v>5.836598631498912E-2</v>
      </c>
      <c r="V917">
        <v>84</v>
      </c>
      <c r="W917">
        <v>83.73</v>
      </c>
      <c r="X917">
        <f t="shared" si="14"/>
        <v>3.2194598461813152E-3</v>
      </c>
      <c r="Y917">
        <v>22812</v>
      </c>
      <c r="Z917">
        <v>372080000</v>
      </c>
      <c r="AA917">
        <v>1910048.76</v>
      </c>
      <c r="AB917">
        <v>145570000</v>
      </c>
      <c r="AC917">
        <v>1.5670811293535755E-4</v>
      </c>
      <c r="AD917">
        <v>78987.09</v>
      </c>
      <c r="AE917">
        <v>0.19489999999999999</v>
      </c>
      <c r="AF917">
        <v>31774240000</v>
      </c>
      <c r="AG917">
        <v>3830410000</v>
      </c>
      <c r="AH917">
        <v>2499360000</v>
      </c>
      <c r="AI917">
        <v>3485440000</v>
      </c>
      <c r="AJ917">
        <v>2699990000</v>
      </c>
      <c r="AK917">
        <v>4.3806214526962027E-10</v>
      </c>
      <c r="AL917">
        <v>8.4974180342315034E-2</v>
      </c>
    </row>
    <row r="918" spans="2:38">
      <c r="B918">
        <v>7.2289156626505965E-2</v>
      </c>
      <c r="C918">
        <v>88.6</v>
      </c>
      <c r="D918">
        <v>88.51</v>
      </c>
      <c r="E918">
        <v>1.0163175427699079E-3</v>
      </c>
      <c r="F918">
        <v>18149</v>
      </c>
      <c r="G918">
        <v>372080000</v>
      </c>
      <c r="H918">
        <v>1682412.3</v>
      </c>
      <c r="I918">
        <v>145570000</v>
      </c>
      <c r="J918">
        <v>1.2467541389022465E-4</v>
      </c>
      <c r="K918">
        <v>77084.490000000005</v>
      </c>
      <c r="L918">
        <v>0.19489999999999999</v>
      </c>
      <c r="M918">
        <v>31774240000</v>
      </c>
      <c r="N918">
        <v>3830410000</v>
      </c>
      <c r="O918">
        <v>2499360000</v>
      </c>
      <c r="P918">
        <v>3485440000</v>
      </c>
      <c r="Q918">
        <v>2699990000</v>
      </c>
      <c r="R918">
        <v>4.6306708970319624E-8</v>
      </c>
      <c r="S918">
        <v>8.4974180342315034E-2</v>
      </c>
      <c r="U918">
        <v>7.2289156626506021E-2</v>
      </c>
      <c r="V918">
        <v>84</v>
      </c>
      <c r="W918">
        <v>82.5</v>
      </c>
      <c r="X918">
        <f t="shared" ref="X918:X981" si="15">(V918-W918)/AVERAGE(V918:W918)</f>
        <v>1.8018018018018018E-2</v>
      </c>
      <c r="Y918">
        <v>69508</v>
      </c>
      <c r="Z918">
        <v>372080000</v>
      </c>
      <c r="AA918">
        <v>5815039.2799999993</v>
      </c>
      <c r="AB918">
        <v>145570000</v>
      </c>
      <c r="AC918">
        <v>4.7748849350827779E-4</v>
      </c>
      <c r="AD918">
        <v>78539.19</v>
      </c>
      <c r="AE918">
        <v>0.19489999999999999</v>
      </c>
      <c r="AF918">
        <v>31774240000</v>
      </c>
      <c r="AG918">
        <v>3830410000</v>
      </c>
      <c r="AH918">
        <v>2499360000</v>
      </c>
      <c r="AI918">
        <v>3485440000</v>
      </c>
      <c r="AJ918">
        <v>2699990000</v>
      </c>
      <c r="AK918">
        <v>0</v>
      </c>
      <c r="AL918">
        <v>8.4974180342315034E-2</v>
      </c>
    </row>
    <row r="919" spans="2:38">
      <c r="B919">
        <v>5.7803468208092484E-2</v>
      </c>
      <c r="C919">
        <v>87.87</v>
      </c>
      <c r="D919">
        <v>86</v>
      </c>
      <c r="E919">
        <v>2.1510323805141826E-2</v>
      </c>
      <c r="F919">
        <v>2505</v>
      </c>
      <c r="G919">
        <v>372080000</v>
      </c>
      <c r="H919">
        <v>215430</v>
      </c>
      <c r="I919">
        <v>145570000</v>
      </c>
      <c r="J919">
        <v>1.7208215978567013E-5</v>
      </c>
      <c r="K919">
        <v>78225.98</v>
      </c>
      <c r="L919">
        <v>0.19489999999999999</v>
      </c>
      <c r="M919">
        <v>31774240000</v>
      </c>
      <c r="N919">
        <v>3830410000</v>
      </c>
      <c r="O919">
        <v>2499360000</v>
      </c>
      <c r="P919">
        <v>3485440000</v>
      </c>
      <c r="Q919">
        <v>2699990000</v>
      </c>
      <c r="R919">
        <v>0</v>
      </c>
      <c r="S919">
        <v>8.4974180342315034E-2</v>
      </c>
      <c r="U919">
        <v>6.8965517241379379E-2</v>
      </c>
      <c r="V919">
        <v>47</v>
      </c>
      <c r="W919">
        <v>44.8</v>
      </c>
      <c r="X919">
        <f t="shared" si="15"/>
        <v>4.7930283224400932E-2</v>
      </c>
      <c r="Y919">
        <v>2298965</v>
      </c>
      <c r="Z919">
        <v>1517696526</v>
      </c>
      <c r="AA919">
        <v>108534137.65000001</v>
      </c>
      <c r="AB919">
        <v>6850000</v>
      </c>
      <c r="AC919">
        <v>0.33561532846715331</v>
      </c>
      <c r="AD919">
        <v>82074.45</v>
      </c>
      <c r="AE919">
        <v>0.1741</v>
      </c>
      <c r="AF919">
        <v>1419399864</v>
      </c>
      <c r="AG919">
        <v>1325084816</v>
      </c>
      <c r="AH919">
        <v>15032458</v>
      </c>
      <c r="AI919">
        <v>95964851</v>
      </c>
      <c r="AJ919">
        <v>189365986</v>
      </c>
      <c r="AK919">
        <v>2.1366816858344916E-10</v>
      </c>
      <c r="AL919">
        <v>0.13341271251523806</v>
      </c>
    </row>
    <row r="920" spans="2:38">
      <c r="B920">
        <v>4.0816326530612242E-2</v>
      </c>
      <c r="C920">
        <v>86.7</v>
      </c>
      <c r="D920">
        <v>86</v>
      </c>
      <c r="E920">
        <v>8.1065431383903052E-3</v>
      </c>
      <c r="F920">
        <v>12597</v>
      </c>
      <c r="G920">
        <v>372080000</v>
      </c>
      <c r="H920">
        <v>1083342</v>
      </c>
      <c r="I920">
        <v>145570000</v>
      </c>
      <c r="J920">
        <v>8.6535687298207046E-5</v>
      </c>
      <c r="K920">
        <v>77740.31</v>
      </c>
      <c r="L920">
        <v>0.19489999999999999</v>
      </c>
      <c r="M920">
        <v>31774240000</v>
      </c>
      <c r="N920">
        <v>3830410000</v>
      </c>
      <c r="O920">
        <v>2499360000</v>
      </c>
      <c r="P920">
        <v>3485440000</v>
      </c>
      <c r="Q920">
        <v>2699990000</v>
      </c>
      <c r="R920">
        <v>9.2144346182327351E-9</v>
      </c>
      <c r="S920">
        <v>8.4974180342315034E-2</v>
      </c>
      <c r="U920">
        <v>2.8747433264887025E-2</v>
      </c>
      <c r="V920">
        <v>46.75</v>
      </c>
      <c r="W920">
        <v>46.67</v>
      </c>
      <c r="X920">
        <f t="shared" si="15"/>
        <v>1.7126953543138148E-3</v>
      </c>
      <c r="Y920">
        <v>2004345</v>
      </c>
      <c r="Z920">
        <v>1517696526</v>
      </c>
      <c r="AA920">
        <v>92480478.299999997</v>
      </c>
      <c r="AB920">
        <v>6850000</v>
      </c>
      <c r="AC920">
        <v>0.29260510948905111</v>
      </c>
      <c r="AD920">
        <v>81459.289999999994</v>
      </c>
      <c r="AE920">
        <v>0.1741</v>
      </c>
      <c r="AF920">
        <v>1419399864</v>
      </c>
      <c r="AG920">
        <v>1325084816</v>
      </c>
      <c r="AH920">
        <v>15032458</v>
      </c>
      <c r="AI920">
        <v>95964851</v>
      </c>
      <c r="AJ920">
        <v>189365986</v>
      </c>
      <c r="AK920">
        <v>1.2804978392026629E-10</v>
      </c>
      <c r="AL920">
        <v>0.13341271251523806</v>
      </c>
    </row>
    <row r="921" spans="2:38">
      <c r="B921">
        <v>1.9801980198019837E-2</v>
      </c>
      <c r="C921">
        <v>86.68</v>
      </c>
      <c r="D921">
        <v>86</v>
      </c>
      <c r="E921">
        <v>7.8758397034978788E-3</v>
      </c>
      <c r="F921">
        <v>10466</v>
      </c>
      <c r="G921">
        <v>372080000</v>
      </c>
      <c r="H921">
        <v>891179.9</v>
      </c>
      <c r="I921">
        <v>145570000</v>
      </c>
      <c r="J921">
        <v>7.1896682008655636E-5</v>
      </c>
      <c r="K921">
        <v>77886.990000000005</v>
      </c>
      <c r="L921">
        <v>0.19489999999999999</v>
      </c>
      <c r="M921">
        <v>31774240000</v>
      </c>
      <c r="N921">
        <v>3830410000</v>
      </c>
      <c r="O921">
        <v>2499360000</v>
      </c>
      <c r="P921">
        <v>3485440000</v>
      </c>
      <c r="Q921">
        <v>2699990000</v>
      </c>
      <c r="R921">
        <v>3.0635570763202261E-8</v>
      </c>
      <c r="S921">
        <v>8.4974180342315034E-2</v>
      </c>
      <c r="U921">
        <v>3.3604336043360369E-2</v>
      </c>
      <c r="V921">
        <v>45.75</v>
      </c>
      <c r="W921">
        <v>45.74</v>
      </c>
      <c r="X921">
        <f t="shared" si="15"/>
        <v>2.1860312602465864E-4</v>
      </c>
      <c r="Y921">
        <v>1323500</v>
      </c>
      <c r="Z921">
        <v>1517696526</v>
      </c>
      <c r="AA921">
        <v>60351600</v>
      </c>
      <c r="AB921">
        <v>6850000</v>
      </c>
      <c r="AC921">
        <v>0.19321167883211679</v>
      </c>
      <c r="AD921">
        <v>80461.34</v>
      </c>
      <c r="AE921">
        <v>0.1741</v>
      </c>
      <c r="AF921">
        <v>1419399864</v>
      </c>
      <c r="AG921">
        <v>1325084816</v>
      </c>
      <c r="AH921">
        <v>15032458</v>
      </c>
      <c r="AI921">
        <v>95964851</v>
      </c>
      <c r="AJ921">
        <v>189365986</v>
      </c>
      <c r="AK921">
        <v>2.9970796627028191E-10</v>
      </c>
      <c r="AL921">
        <v>0.13341271251523806</v>
      </c>
    </row>
    <row r="922" spans="2:38">
      <c r="B922">
        <v>2.6788258763180493E-2</v>
      </c>
      <c r="C922">
        <v>88</v>
      </c>
      <c r="D922">
        <v>87</v>
      </c>
      <c r="E922">
        <v>1.1428571428571429E-2</v>
      </c>
      <c r="F922">
        <v>2567</v>
      </c>
      <c r="G922">
        <v>372080000</v>
      </c>
      <c r="H922">
        <v>224715.18000000002</v>
      </c>
      <c r="I922">
        <v>145570000</v>
      </c>
      <c r="J922">
        <v>1.7634127910970669E-5</v>
      </c>
      <c r="K922">
        <v>78628.81</v>
      </c>
      <c r="L922">
        <v>0.19489999999999999</v>
      </c>
      <c r="M922">
        <v>31774240000</v>
      </c>
      <c r="N922">
        <v>3830410000</v>
      </c>
      <c r="O922">
        <v>2499360000</v>
      </c>
      <c r="P922">
        <v>3485440000</v>
      </c>
      <c r="Q922">
        <v>2699990000</v>
      </c>
      <c r="R922">
        <v>7.9687436977716047E-8</v>
      </c>
      <c r="S922">
        <v>8.4974180342315034E-2</v>
      </c>
      <c r="U922">
        <v>2.3681377825618976E-2</v>
      </c>
      <c r="V922">
        <v>46.49</v>
      </c>
      <c r="W922">
        <v>46.39</v>
      </c>
      <c r="X922">
        <f t="shared" si="15"/>
        <v>2.1533161068045094E-3</v>
      </c>
      <c r="Y922">
        <v>538284</v>
      </c>
      <c r="Z922">
        <v>1517696526</v>
      </c>
      <c r="AA922">
        <v>24997908.959999997</v>
      </c>
      <c r="AB922">
        <v>6850000</v>
      </c>
      <c r="AC922">
        <v>7.8581605839416063E-2</v>
      </c>
      <c r="AD922">
        <v>79491.14</v>
      </c>
      <c r="AE922">
        <v>0.1741</v>
      </c>
      <c r="AF922">
        <v>1419399864</v>
      </c>
      <c r="AG922">
        <v>1325084816</v>
      </c>
      <c r="AH922">
        <v>15032458</v>
      </c>
      <c r="AI922">
        <v>95964851</v>
      </c>
      <c r="AJ922">
        <v>189365986</v>
      </c>
      <c r="AK922">
        <v>1.3830024526831202E-10</v>
      </c>
      <c r="AL922">
        <v>0.13341271251523806</v>
      </c>
    </row>
    <row r="923" spans="2:38">
      <c r="B923">
        <v>6.0319337670017674E-2</v>
      </c>
      <c r="C923">
        <v>86.87</v>
      </c>
      <c r="D923">
        <v>84.5</v>
      </c>
      <c r="E923">
        <v>2.765945031219005E-2</v>
      </c>
      <c r="F923">
        <v>13738</v>
      </c>
      <c r="G923">
        <v>372080000</v>
      </c>
      <c r="H923">
        <v>1181468</v>
      </c>
      <c r="I923">
        <v>145570000</v>
      </c>
      <c r="J923">
        <v>9.4373840763893659E-5</v>
      </c>
      <c r="K923">
        <v>78827.740000000005</v>
      </c>
      <c r="L923">
        <v>0.19489999999999999</v>
      </c>
      <c r="M923">
        <v>31774240000</v>
      </c>
      <c r="N923">
        <v>3830410000</v>
      </c>
      <c r="O923">
        <v>2499360000</v>
      </c>
      <c r="P923">
        <v>3485440000</v>
      </c>
      <c r="Q923">
        <v>2699990000</v>
      </c>
      <c r="R923">
        <v>1.1977424184342232E-8</v>
      </c>
      <c r="S923">
        <v>8.4974180342315034E-2</v>
      </c>
      <c r="U923">
        <v>3.9298990971853451E-2</v>
      </c>
      <c r="V923">
        <v>46.39</v>
      </c>
      <c r="W923">
        <v>46.21</v>
      </c>
      <c r="X923">
        <f t="shared" si="15"/>
        <v>3.8876889848812038E-3</v>
      </c>
      <c r="Y923">
        <v>1871038</v>
      </c>
      <c r="Z923">
        <v>1517696526</v>
      </c>
      <c r="AA923">
        <v>86591638.640000001</v>
      </c>
      <c r="AB923">
        <v>6850000</v>
      </c>
      <c r="AC923">
        <v>0.27314423357664236</v>
      </c>
      <c r="AD923">
        <v>79333.06</v>
      </c>
      <c r="AE923">
        <v>0.1741</v>
      </c>
      <c r="AF923">
        <v>1419399864</v>
      </c>
      <c r="AG923">
        <v>1325084816</v>
      </c>
      <c r="AH923">
        <v>15032458</v>
      </c>
      <c r="AI923">
        <v>95964851</v>
      </c>
      <c r="AJ923">
        <v>189365986</v>
      </c>
      <c r="AK923">
        <v>1.8174946315654212E-10</v>
      </c>
      <c r="AL923">
        <v>0.13341271251523806</v>
      </c>
    </row>
    <row r="924" spans="2:38">
      <c r="B924">
        <v>2.3529411764705882E-2</v>
      </c>
      <c r="C924">
        <v>86</v>
      </c>
      <c r="D924">
        <v>84.05</v>
      </c>
      <c r="E924">
        <v>2.2934431049691298E-2</v>
      </c>
      <c r="F924">
        <v>13786</v>
      </c>
      <c r="G924">
        <v>372080000</v>
      </c>
      <c r="H924">
        <v>1169052.8</v>
      </c>
      <c r="I924">
        <v>145570000</v>
      </c>
      <c r="J924">
        <v>9.4703579034141657E-5</v>
      </c>
      <c r="K924">
        <v>78029.509999999995</v>
      </c>
      <c r="L924">
        <v>0.19489999999999999</v>
      </c>
      <c r="M924">
        <v>31774240000</v>
      </c>
      <c r="N924">
        <v>3830410000</v>
      </c>
      <c r="O924">
        <v>2499360000</v>
      </c>
      <c r="P924">
        <v>3485440000</v>
      </c>
      <c r="Q924">
        <v>2699990000</v>
      </c>
      <c r="R924">
        <v>9.4851057913934447E-9</v>
      </c>
      <c r="S924">
        <v>8.4974180342315034E-2</v>
      </c>
      <c r="U924">
        <v>1.7090410380841761E-2</v>
      </c>
      <c r="V924">
        <v>47.15</v>
      </c>
      <c r="W924">
        <v>47.01</v>
      </c>
      <c r="X924">
        <f t="shared" si="15"/>
        <v>2.9736618521665373E-3</v>
      </c>
      <c r="Y924">
        <v>741357</v>
      </c>
      <c r="Z924">
        <v>1517696526</v>
      </c>
      <c r="AA924">
        <v>34858606.140000001</v>
      </c>
      <c r="AB924">
        <v>6850000</v>
      </c>
      <c r="AC924">
        <v>0.10822729927007299</v>
      </c>
      <c r="AD924">
        <v>79017.62</v>
      </c>
      <c r="AE924">
        <v>0.1741</v>
      </c>
      <c r="AF924">
        <v>1419399864</v>
      </c>
      <c r="AG924">
        <v>1325084816</v>
      </c>
      <c r="AH924">
        <v>15032458</v>
      </c>
      <c r="AI924">
        <v>95964851</v>
      </c>
      <c r="AJ924">
        <v>189365986</v>
      </c>
      <c r="AK924">
        <v>2.8989292105684493E-10</v>
      </c>
      <c r="AL924">
        <v>0.13341271251523806</v>
      </c>
    </row>
    <row r="925" spans="2:38">
      <c r="B925">
        <v>3.5502958579881658E-2</v>
      </c>
      <c r="C925">
        <v>83.9</v>
      </c>
      <c r="D925">
        <v>83.5</v>
      </c>
      <c r="E925">
        <v>4.7789725209080721E-3</v>
      </c>
      <c r="F925">
        <v>10782</v>
      </c>
      <c r="G925">
        <v>372080000</v>
      </c>
      <c r="H925">
        <v>904286.34000000008</v>
      </c>
      <c r="I925">
        <v>145570000</v>
      </c>
      <c r="J925">
        <v>7.4067458954454906E-5</v>
      </c>
      <c r="K925">
        <v>78469.33</v>
      </c>
      <c r="L925">
        <v>0.19489999999999999</v>
      </c>
      <c r="M925">
        <v>31774240000</v>
      </c>
      <c r="N925">
        <v>3830410000</v>
      </c>
      <c r="O925">
        <v>2499360000</v>
      </c>
      <c r="P925">
        <v>3485440000</v>
      </c>
      <c r="Q925">
        <v>2699990000</v>
      </c>
      <c r="R925">
        <v>1.7114258826678653E-9</v>
      </c>
      <c r="S925">
        <v>8.4974180342315034E-2</v>
      </c>
      <c r="U925">
        <v>2.5104602510460164E-2</v>
      </c>
      <c r="V925">
        <v>47.44</v>
      </c>
      <c r="W925">
        <v>47.41</v>
      </c>
      <c r="X925">
        <f t="shared" si="15"/>
        <v>6.3257775434899608E-4</v>
      </c>
      <c r="Y925">
        <v>1420249</v>
      </c>
      <c r="Z925">
        <v>1517696526</v>
      </c>
      <c r="AA925">
        <v>67461827.5</v>
      </c>
      <c r="AB925">
        <v>6850000</v>
      </c>
      <c r="AC925">
        <v>0.2073356204379562</v>
      </c>
      <c r="AD925">
        <v>78651.8</v>
      </c>
      <c r="AE925">
        <v>0.1741</v>
      </c>
      <c r="AF925">
        <v>1419399864</v>
      </c>
      <c r="AG925">
        <v>1325084816</v>
      </c>
      <c r="AH925">
        <v>15032458</v>
      </c>
      <c r="AI925">
        <v>95964851</v>
      </c>
      <c r="AJ925">
        <v>189365986</v>
      </c>
      <c r="AK925">
        <v>1.2493213322853128E-11</v>
      </c>
      <c r="AL925">
        <v>0.13341271251523806</v>
      </c>
    </row>
    <row r="926" spans="2:38">
      <c r="B926">
        <v>1.8018018018018018E-2</v>
      </c>
      <c r="C926">
        <v>84</v>
      </c>
      <c r="D926">
        <v>83.2</v>
      </c>
      <c r="E926">
        <v>9.5693779904305887E-3</v>
      </c>
      <c r="F926">
        <v>9091</v>
      </c>
      <c r="G926">
        <v>372080000</v>
      </c>
      <c r="H926">
        <v>763644</v>
      </c>
      <c r="I926">
        <v>145570000</v>
      </c>
      <c r="J926">
        <v>6.245105447551007E-5</v>
      </c>
      <c r="K926">
        <v>79397.009999999995</v>
      </c>
      <c r="L926">
        <v>0.19489999999999999</v>
      </c>
      <c r="M926">
        <v>31774240000</v>
      </c>
      <c r="N926">
        <v>3830410000</v>
      </c>
      <c r="O926">
        <v>2499360000</v>
      </c>
      <c r="P926">
        <v>3485440000</v>
      </c>
      <c r="Q926">
        <v>2699990000</v>
      </c>
      <c r="R926">
        <v>4.2227145932460811E-9</v>
      </c>
      <c r="S926">
        <v>8.4974180342315034E-2</v>
      </c>
      <c r="U926">
        <v>1.5831134564643801E-2</v>
      </c>
      <c r="V926">
        <v>47.5</v>
      </c>
      <c r="W926">
        <v>47.25</v>
      </c>
      <c r="X926">
        <f t="shared" si="15"/>
        <v>5.2770448548812663E-3</v>
      </c>
      <c r="Y926">
        <v>626542</v>
      </c>
      <c r="Z926">
        <v>1517696526</v>
      </c>
      <c r="AA926">
        <v>29735683.32</v>
      </c>
      <c r="AB926">
        <v>6850000</v>
      </c>
      <c r="AC926">
        <v>9.1465985401459851E-2</v>
      </c>
      <c r="AD926">
        <v>79286.740000000005</v>
      </c>
      <c r="AE926">
        <v>0.1741</v>
      </c>
      <c r="AF926">
        <v>1419399864</v>
      </c>
      <c r="AG926">
        <v>1325084816</v>
      </c>
      <c r="AH926">
        <v>15032458</v>
      </c>
      <c r="AI926">
        <v>95964851</v>
      </c>
      <c r="AJ926">
        <v>189365986</v>
      </c>
      <c r="AK926">
        <v>7.0709901310884403E-11</v>
      </c>
      <c r="AL926">
        <v>0.13341271251523806</v>
      </c>
    </row>
    <row r="927" spans="2:38">
      <c r="B927">
        <v>5.836598631498912E-2</v>
      </c>
      <c r="C927">
        <v>84</v>
      </c>
      <c r="D927">
        <v>83.73</v>
      </c>
      <c r="E927">
        <v>3.2194598461813152E-3</v>
      </c>
      <c r="F927">
        <v>22812</v>
      </c>
      <c r="G927">
        <v>372080000</v>
      </c>
      <c r="H927">
        <v>1910048.76</v>
      </c>
      <c r="I927">
        <v>145570000</v>
      </c>
      <c r="J927">
        <v>1.5670811293535755E-4</v>
      </c>
      <c r="K927">
        <v>78987.09</v>
      </c>
      <c r="L927">
        <v>0.19489999999999999</v>
      </c>
      <c r="M927">
        <v>31774240000</v>
      </c>
      <c r="N927">
        <v>3830410000</v>
      </c>
      <c r="O927">
        <v>2499360000</v>
      </c>
      <c r="P927">
        <v>3485440000</v>
      </c>
      <c r="Q927">
        <v>2699990000</v>
      </c>
      <c r="R927">
        <v>4.3806214526962027E-10</v>
      </c>
      <c r="S927">
        <v>8.4974180342315034E-2</v>
      </c>
      <c r="U927">
        <v>1.5665796344647518E-2</v>
      </c>
      <c r="V927">
        <v>47.6</v>
      </c>
      <c r="W927">
        <v>47.57</v>
      </c>
      <c r="X927">
        <f t="shared" si="15"/>
        <v>6.3045077230221996E-4</v>
      </c>
      <c r="Y927">
        <v>377479</v>
      </c>
      <c r="Z927">
        <v>1517696526</v>
      </c>
      <c r="AA927">
        <v>17952901.240000002</v>
      </c>
      <c r="AB927">
        <v>6850000</v>
      </c>
      <c r="AC927">
        <v>5.5106423357664233E-2</v>
      </c>
      <c r="AD927">
        <v>78615</v>
      </c>
      <c r="AE927">
        <v>0.1741</v>
      </c>
      <c r="AF927">
        <v>1419399864</v>
      </c>
      <c r="AG927">
        <v>1325084816</v>
      </c>
      <c r="AH927">
        <v>15032458</v>
      </c>
      <c r="AI927">
        <v>95964851</v>
      </c>
      <c r="AJ927">
        <v>189365986</v>
      </c>
      <c r="AK927">
        <v>9.3852238352853229E-11</v>
      </c>
      <c r="AL927">
        <v>0.13341271251523806</v>
      </c>
    </row>
    <row r="928" spans="2:38">
      <c r="B928">
        <v>7.2289156626506021E-2</v>
      </c>
      <c r="C928">
        <v>84</v>
      </c>
      <c r="D928">
        <v>82.5</v>
      </c>
      <c r="E928">
        <v>1.8018018018018018E-2</v>
      </c>
      <c r="F928">
        <v>69508</v>
      </c>
      <c r="G928">
        <v>372080000</v>
      </c>
      <c r="H928">
        <v>5815039.2799999993</v>
      </c>
      <c r="I928">
        <v>145570000</v>
      </c>
      <c r="J928">
        <v>4.7748849350827779E-4</v>
      </c>
      <c r="K928">
        <v>78539.19</v>
      </c>
      <c r="L928">
        <v>0.19489999999999999</v>
      </c>
      <c r="M928">
        <v>31774240000</v>
      </c>
      <c r="N928">
        <v>3830410000</v>
      </c>
      <c r="O928">
        <v>2499360000</v>
      </c>
      <c r="P928">
        <v>3485440000</v>
      </c>
      <c r="Q928">
        <v>2699990000</v>
      </c>
      <c r="R928">
        <v>0</v>
      </c>
      <c r="S928">
        <v>8.4974180342315034E-2</v>
      </c>
      <c r="U928">
        <v>6.25E-2</v>
      </c>
      <c r="V928">
        <v>48.5</v>
      </c>
      <c r="W928">
        <v>48.36</v>
      </c>
      <c r="X928">
        <f t="shared" si="15"/>
        <v>2.8907701837704021E-3</v>
      </c>
      <c r="Y928">
        <v>3475245</v>
      </c>
      <c r="Z928">
        <v>1517696526</v>
      </c>
      <c r="AA928">
        <v>165004632.59999999</v>
      </c>
      <c r="AB928">
        <v>6850000</v>
      </c>
      <c r="AC928">
        <v>0.50733503649635037</v>
      </c>
      <c r="AD928">
        <v>78897.73</v>
      </c>
      <c r="AE928">
        <v>0.1741</v>
      </c>
      <c r="AF928">
        <v>1419399864</v>
      </c>
      <c r="AG928">
        <v>1325084816</v>
      </c>
      <c r="AH928">
        <v>15032458</v>
      </c>
      <c r="AI928">
        <v>95964851</v>
      </c>
      <c r="AJ928">
        <v>189365986</v>
      </c>
      <c r="AK928">
        <v>4.2491892953508749E-10</v>
      </c>
      <c r="AL928">
        <v>0.13341271251523806</v>
      </c>
    </row>
    <row r="929" spans="2:38">
      <c r="B929">
        <v>0</v>
      </c>
      <c r="C929">
        <v>0</v>
      </c>
      <c r="D929">
        <v>0</v>
      </c>
      <c r="E929">
        <v>0</v>
      </c>
      <c r="F929">
        <v>0</v>
      </c>
      <c r="G929">
        <v>0</v>
      </c>
      <c r="H929">
        <v>0</v>
      </c>
      <c r="I929">
        <v>0</v>
      </c>
      <c r="J929">
        <v>0</v>
      </c>
      <c r="K929">
        <v>0</v>
      </c>
      <c r="L929">
        <v>0</v>
      </c>
      <c r="M929">
        <v>0</v>
      </c>
      <c r="N929">
        <v>0</v>
      </c>
      <c r="O929">
        <v>0</v>
      </c>
      <c r="P929">
        <v>0</v>
      </c>
      <c r="Q929">
        <v>0</v>
      </c>
      <c r="R929">
        <v>0</v>
      </c>
      <c r="S929">
        <v>0</v>
      </c>
      <c r="U929">
        <v>6.3367885781341726E-2</v>
      </c>
      <c r="V929">
        <v>51</v>
      </c>
      <c r="W929">
        <v>50.94</v>
      </c>
      <c r="X929">
        <f t="shared" si="15"/>
        <v>1.1771630370806803E-3</v>
      </c>
      <c r="Y929">
        <v>7614513</v>
      </c>
      <c r="Z929">
        <v>1517696526</v>
      </c>
      <c r="AA929">
        <v>388797033.78000003</v>
      </c>
      <c r="AB929">
        <v>6850000</v>
      </c>
      <c r="AC929">
        <v>1.1116077372262774</v>
      </c>
      <c r="AD929">
        <v>78863.34</v>
      </c>
      <c r="AE929">
        <v>0.1741</v>
      </c>
      <c r="AF929">
        <v>1419399864</v>
      </c>
      <c r="AG929">
        <v>1325084816</v>
      </c>
      <c r="AH929">
        <v>15032458</v>
      </c>
      <c r="AI929">
        <v>95964851</v>
      </c>
      <c r="AJ929">
        <v>189365986</v>
      </c>
      <c r="AK929">
        <v>8.3740709692005163E-11</v>
      </c>
      <c r="AL929">
        <v>0.13341271251523806</v>
      </c>
    </row>
    <row r="930" spans="2:38">
      <c r="B930" t="str">
        <v>Relative high-low price</v>
      </c>
      <c r="C930" t="str">
        <v>Ask price</v>
      </c>
      <c r="D930" t="str">
        <v xml:space="preserve">Bid price </v>
      </c>
      <c r="E930" t="str">
        <v xml:space="preserve">Relative Bid-Ask Spread </v>
      </c>
      <c r="F930" t="str">
        <v>daily trading volume</v>
      </c>
      <c r="G930" t="str">
        <v xml:space="preserve">Common shares outstanding </v>
      </c>
      <c r="H930" t="str">
        <v xml:space="preserve">Trading value </v>
      </c>
      <c r="I930" t="str">
        <v xml:space="preserve">free float shares </v>
      </c>
      <c r="J930" t="str">
        <v>Turnover</v>
      </c>
      <c r="K930" t="str">
        <v>Daily kse-100 index</v>
      </c>
      <c r="L930" t="str">
        <v xml:space="preserve">Risk free rate </v>
      </c>
      <c r="M930" t="str">
        <v xml:space="preserve">Total assets </v>
      </c>
      <c r="N930" t="str">
        <v xml:space="preserve">total liabilities </v>
      </c>
      <c r="O930" t="str">
        <v>EBITDA</v>
      </c>
      <c r="P930" t="str">
        <v xml:space="preserve">Cash and equivalents </v>
      </c>
      <c r="Q930" t="str">
        <v xml:space="preserve">total debt </v>
      </c>
      <c r="R930" t="str">
        <v>Amihud illiquidity ratio</v>
      </c>
      <c r="S930" t="str">
        <v>Leverage ratio</v>
      </c>
      <c r="U930">
        <v>1.0481757710139004E-2</v>
      </c>
      <c r="V930">
        <v>49.69</v>
      </c>
      <c r="W930">
        <v>49.6</v>
      </c>
      <c r="X930">
        <f t="shared" si="15"/>
        <v>1.8128713868465368E-3</v>
      </c>
      <c r="Y930">
        <v>742269</v>
      </c>
      <c r="Z930">
        <v>1517696526</v>
      </c>
      <c r="AA930">
        <v>36705202.050000004</v>
      </c>
      <c r="AB930">
        <v>6850000</v>
      </c>
      <c r="AC930">
        <v>0.10836043795620438</v>
      </c>
      <c r="AD930">
        <v>78848.009999999995</v>
      </c>
      <c r="AE930">
        <v>0.1741</v>
      </c>
      <c r="AF930">
        <v>1419399864</v>
      </c>
      <c r="AG930">
        <v>1325084816</v>
      </c>
      <c r="AH930">
        <v>15032458</v>
      </c>
      <c r="AI930">
        <v>95964851</v>
      </c>
      <c r="AJ930">
        <v>189365986</v>
      </c>
      <c r="AK930">
        <v>2.7574994618179481E-11</v>
      </c>
      <c r="AL930">
        <v>0.13341271251523806</v>
      </c>
    </row>
    <row r="931" spans="2:38">
      <c r="B931">
        <v>6.8965517241379379E-2</v>
      </c>
      <c r="C931">
        <v>47</v>
      </c>
      <c r="D931">
        <v>44.8</v>
      </c>
      <c r="E931">
        <v>4.7930283224400932E-2</v>
      </c>
      <c r="F931">
        <v>2298965</v>
      </c>
      <c r="G931">
        <v>1517696526</v>
      </c>
      <c r="H931">
        <v>108534137.65000001</v>
      </c>
      <c r="I931">
        <v>6850000</v>
      </c>
      <c r="J931">
        <v>0.33561532846715331</v>
      </c>
      <c r="K931">
        <v>82074.45</v>
      </c>
      <c r="L931">
        <v>0.1741</v>
      </c>
      <c r="M931">
        <v>1419399864000</v>
      </c>
      <c r="N931">
        <v>1325084816000</v>
      </c>
      <c r="O931">
        <v>15032458</v>
      </c>
      <c r="P931">
        <v>95964851</v>
      </c>
      <c r="Q931">
        <v>189365986</v>
      </c>
      <c r="R931">
        <v>2.1366816858344916E-10</v>
      </c>
      <c r="S931">
        <v>1.3341271251523807E-4</v>
      </c>
      <c r="U931">
        <v>1.9981834695731192E-2</v>
      </c>
      <c r="V931">
        <v>49.49</v>
      </c>
      <c r="W931">
        <v>49.4</v>
      </c>
      <c r="X931">
        <f t="shared" si="15"/>
        <v>1.8202042673678513E-3</v>
      </c>
      <c r="Y931">
        <v>1034569</v>
      </c>
      <c r="Z931">
        <v>1517696526</v>
      </c>
      <c r="AA931">
        <v>51107708.600000001</v>
      </c>
      <c r="AB931">
        <v>6850000</v>
      </c>
      <c r="AC931">
        <v>0.15103197080291972</v>
      </c>
      <c r="AD931">
        <v>78356.320000000007</v>
      </c>
      <c r="AE931">
        <v>0.17469999999999999</v>
      </c>
      <c r="AF931">
        <v>1419399864</v>
      </c>
      <c r="AG931">
        <v>1325084816</v>
      </c>
      <c r="AH931">
        <v>15032458</v>
      </c>
      <c r="AI931">
        <v>95964851</v>
      </c>
      <c r="AJ931">
        <v>189365986</v>
      </c>
      <c r="AK931">
        <v>7.924876448581609E-12</v>
      </c>
      <c r="AL931">
        <v>0.13341271251523806</v>
      </c>
    </row>
    <row r="932" spans="2:38">
      <c r="B932">
        <v>2.8747433264887025E-2</v>
      </c>
      <c r="C932">
        <v>46.75</v>
      </c>
      <c r="D932">
        <v>46.67</v>
      </c>
      <c r="E932">
        <v>1.7126953543138148E-3</v>
      </c>
      <c r="F932">
        <v>2004345</v>
      </c>
      <c r="G932">
        <v>1517696526</v>
      </c>
      <c r="H932">
        <v>92480478.299999997</v>
      </c>
      <c r="I932">
        <v>6850000</v>
      </c>
      <c r="J932">
        <v>0.29260510948905111</v>
      </c>
      <c r="K932">
        <v>81459.289999999994</v>
      </c>
      <c r="L932">
        <v>0.1741</v>
      </c>
      <c r="M932">
        <v>1419399864</v>
      </c>
      <c r="N932">
        <v>1325084816</v>
      </c>
      <c r="O932">
        <v>15032458</v>
      </c>
      <c r="P932">
        <v>95964851</v>
      </c>
      <c r="Q932">
        <v>189365986</v>
      </c>
      <c r="R932">
        <v>1.2804978392026629E-10</v>
      </c>
      <c r="S932">
        <v>0.13341271251523806</v>
      </c>
      <c r="U932">
        <v>3.1438935912938233E-2</v>
      </c>
      <c r="V932">
        <v>49.45</v>
      </c>
      <c r="W932">
        <v>49.4</v>
      </c>
      <c r="X932">
        <f t="shared" si="15"/>
        <v>1.0116337885686245E-3</v>
      </c>
      <c r="Y932">
        <v>1245931</v>
      </c>
      <c r="Z932">
        <v>1517696526</v>
      </c>
      <c r="AA932">
        <v>61524072.780000001</v>
      </c>
      <c r="AB932">
        <v>6850000</v>
      </c>
      <c r="AC932">
        <v>0.18188773722627738</v>
      </c>
      <c r="AD932">
        <v>78283.3</v>
      </c>
      <c r="AE932">
        <v>0.17469999999999999</v>
      </c>
      <c r="AF932">
        <v>1419399864</v>
      </c>
      <c r="AG932">
        <v>1325084816</v>
      </c>
      <c r="AH932">
        <v>15032458</v>
      </c>
      <c r="AI932">
        <v>95964851</v>
      </c>
      <c r="AJ932">
        <v>189365986</v>
      </c>
      <c r="AK932">
        <v>1.3708024450716361E-10</v>
      </c>
      <c r="AL932">
        <v>0.13341271251523806</v>
      </c>
    </row>
    <row r="933" spans="2:38">
      <c r="B933">
        <v>3.3604336043360369E-2</v>
      </c>
      <c r="C933">
        <v>45.75</v>
      </c>
      <c r="D933">
        <v>45.74</v>
      </c>
      <c r="E933">
        <v>2.1860312602465864E-4</v>
      </c>
      <c r="F933">
        <v>1323500</v>
      </c>
      <c r="G933">
        <v>1517696526</v>
      </c>
      <c r="H933">
        <v>60351600</v>
      </c>
      <c r="I933">
        <v>6850000</v>
      </c>
      <c r="J933">
        <v>0.19321167883211679</v>
      </c>
      <c r="K933">
        <v>80461.34</v>
      </c>
      <c r="L933">
        <v>0.1741</v>
      </c>
      <c r="M933">
        <v>1419399864</v>
      </c>
      <c r="N933">
        <v>1325084816</v>
      </c>
      <c r="O933">
        <v>15032458</v>
      </c>
      <c r="P933">
        <v>95964851</v>
      </c>
      <c r="Q933">
        <v>189365986</v>
      </c>
      <c r="R933">
        <v>2.9970796627028191E-10</v>
      </c>
      <c r="S933">
        <v>0.13341271251523806</v>
      </c>
      <c r="U933">
        <v>2.0905923344947678E-2</v>
      </c>
      <c r="V933">
        <v>49.7</v>
      </c>
      <c r="W933">
        <v>49.69</v>
      </c>
      <c r="X933">
        <f t="shared" si="15"/>
        <v>2.0122748767491933E-4</v>
      </c>
      <c r="Y933">
        <v>2821940</v>
      </c>
      <c r="Z933">
        <v>1517696526</v>
      </c>
      <c r="AA933">
        <v>140532612</v>
      </c>
      <c r="AB933">
        <v>6850000</v>
      </c>
      <c r="AC933">
        <v>0.41196204379562046</v>
      </c>
      <c r="AD933">
        <v>78488.22</v>
      </c>
      <c r="AE933">
        <v>0.17469999999999999</v>
      </c>
      <c r="AF933">
        <v>1419399864</v>
      </c>
      <c r="AG933">
        <v>1325084816</v>
      </c>
      <c r="AH933">
        <v>15032458</v>
      </c>
      <c r="AI933">
        <v>95964851</v>
      </c>
      <c r="AJ933">
        <v>189365986</v>
      </c>
      <c r="AK933">
        <v>2.9880325343746004E-11</v>
      </c>
      <c r="AL933">
        <v>0.13341271251523806</v>
      </c>
    </row>
    <row r="934" spans="2:38">
      <c r="B934">
        <v>2.3681377825618976E-2</v>
      </c>
      <c r="C934">
        <v>46.49</v>
      </c>
      <c r="D934">
        <v>46.39</v>
      </c>
      <c r="E934">
        <v>2.1533161068045094E-3</v>
      </c>
      <c r="F934">
        <v>538284</v>
      </c>
      <c r="G934">
        <v>1517696526</v>
      </c>
      <c r="H934">
        <v>24997908.959999997</v>
      </c>
      <c r="I934">
        <v>6850000</v>
      </c>
      <c r="J934">
        <v>7.8581605839416063E-2</v>
      </c>
      <c r="K934">
        <v>79491.14</v>
      </c>
      <c r="L934">
        <v>0.1741</v>
      </c>
      <c r="M934">
        <v>1419399864</v>
      </c>
      <c r="N934">
        <v>1325084816</v>
      </c>
      <c r="O934">
        <v>15032458</v>
      </c>
      <c r="P934">
        <v>95964851</v>
      </c>
      <c r="Q934">
        <v>189365986</v>
      </c>
      <c r="R934">
        <v>1.3830024526831202E-10</v>
      </c>
      <c r="S934">
        <v>0.13341271251523806</v>
      </c>
      <c r="U934">
        <v>1.7748529265131131E-2</v>
      </c>
      <c r="V934">
        <v>50.49</v>
      </c>
      <c r="W934">
        <v>50.41</v>
      </c>
      <c r="X934">
        <f t="shared" si="15"/>
        <v>1.5857284440040714E-3</v>
      </c>
      <c r="Y934">
        <v>4012390</v>
      </c>
      <c r="Z934">
        <v>1517696526</v>
      </c>
      <c r="AA934">
        <v>200659623.90000001</v>
      </c>
      <c r="AB934">
        <v>6850000</v>
      </c>
      <c r="AC934">
        <v>0.58575036496350363</v>
      </c>
      <c r="AD934">
        <v>78349.66</v>
      </c>
      <c r="AE934">
        <v>0.17469999999999999</v>
      </c>
      <c r="AF934">
        <v>1419399864</v>
      </c>
      <c r="AG934">
        <v>1325084816</v>
      </c>
      <c r="AH934">
        <v>15032458</v>
      </c>
      <c r="AI934">
        <v>95964851</v>
      </c>
      <c r="AJ934">
        <v>189365986</v>
      </c>
      <c r="AK934">
        <v>2.4031650930308592E-11</v>
      </c>
      <c r="AL934">
        <v>0.13341271251523806</v>
      </c>
    </row>
    <row r="935" spans="2:38">
      <c r="B935">
        <v>3.9298990971853451E-2</v>
      </c>
      <c r="C935">
        <v>46.39</v>
      </c>
      <c r="D935">
        <v>46.21</v>
      </c>
      <c r="E935">
        <v>3.8876889848812038E-3</v>
      </c>
      <c r="F935">
        <v>1871038</v>
      </c>
      <c r="G935">
        <v>1517696526</v>
      </c>
      <c r="H935">
        <v>86591638.640000001</v>
      </c>
      <c r="I935">
        <v>6850000</v>
      </c>
      <c r="J935">
        <v>0.27314423357664236</v>
      </c>
      <c r="K935">
        <v>79333.06</v>
      </c>
      <c r="L935">
        <v>0.1741</v>
      </c>
      <c r="M935">
        <v>1419399864</v>
      </c>
      <c r="N935">
        <v>1325084816</v>
      </c>
      <c r="O935">
        <v>15032458</v>
      </c>
      <c r="P935">
        <v>95964851</v>
      </c>
      <c r="Q935">
        <v>189365986</v>
      </c>
      <c r="R935">
        <v>1.8174946315654212E-10</v>
      </c>
      <c r="S935">
        <v>0.13341271251523806</v>
      </c>
      <c r="U935">
        <v>5.0055281937883236E-2</v>
      </c>
      <c r="V935">
        <v>49.85</v>
      </c>
      <c r="W935">
        <v>49.81</v>
      </c>
      <c r="X935">
        <f t="shared" si="15"/>
        <v>8.0272927955045447E-4</v>
      </c>
      <c r="Y935">
        <v>10899708</v>
      </c>
      <c r="Z935">
        <v>1517696526</v>
      </c>
      <c r="AA935">
        <v>542478467.16000009</v>
      </c>
      <c r="AB935">
        <v>6850000</v>
      </c>
      <c r="AC935">
        <v>1.5911982481751825</v>
      </c>
      <c r="AD935">
        <v>77992.789999999994</v>
      </c>
      <c r="AE935">
        <v>0.17469999999999999</v>
      </c>
      <c r="AF935">
        <v>1419399864</v>
      </c>
      <c r="AG935">
        <v>1325084816</v>
      </c>
      <c r="AH935">
        <v>15032458</v>
      </c>
      <c r="AI935">
        <v>95964851</v>
      </c>
      <c r="AJ935">
        <v>189365986</v>
      </c>
      <c r="AK935">
        <v>3.202948628361568E-11</v>
      </c>
      <c r="AL935">
        <v>0.13341271251523806</v>
      </c>
    </row>
    <row r="936" spans="2:38">
      <c r="B936">
        <v>1.7090410380841761E-2</v>
      </c>
      <c r="C936">
        <v>47.15</v>
      </c>
      <c r="D936">
        <v>47.01</v>
      </c>
      <c r="E936">
        <v>2.9736618521665373E-3</v>
      </c>
      <c r="F936">
        <v>741357</v>
      </c>
      <c r="G936">
        <v>1517696526</v>
      </c>
      <c r="H936">
        <v>34858606.140000001</v>
      </c>
      <c r="I936">
        <v>6850000</v>
      </c>
      <c r="J936">
        <v>0.10822729927007299</v>
      </c>
      <c r="K936">
        <v>79017.62</v>
      </c>
      <c r="L936">
        <v>0.1741</v>
      </c>
      <c r="M936">
        <v>1419399864</v>
      </c>
      <c r="N936">
        <v>1325084816</v>
      </c>
      <c r="O936">
        <v>15032458</v>
      </c>
      <c r="P936">
        <v>95964851</v>
      </c>
      <c r="Q936">
        <v>189365986</v>
      </c>
      <c r="R936">
        <v>2.8989292105684493E-10</v>
      </c>
      <c r="S936">
        <v>0.13341271251523806</v>
      </c>
      <c r="U936">
        <v>1.8537590113285245E-2</v>
      </c>
      <c r="V936">
        <v>48.99</v>
      </c>
      <c r="W936">
        <v>48.88</v>
      </c>
      <c r="X936">
        <f t="shared" si="15"/>
        <v>2.2478798406048721E-3</v>
      </c>
      <c r="Y936">
        <v>540662</v>
      </c>
      <c r="Z936">
        <v>1517696526</v>
      </c>
      <c r="AA936">
        <v>26449185.039999999</v>
      </c>
      <c r="AB936">
        <v>6850000</v>
      </c>
      <c r="AC936">
        <v>7.8928759124087589E-2</v>
      </c>
      <c r="AD936">
        <v>78084.240000000005</v>
      </c>
      <c r="AE936">
        <v>0.17469999999999999</v>
      </c>
      <c r="AF936">
        <v>1419399864</v>
      </c>
      <c r="AG936">
        <v>1325084816</v>
      </c>
      <c r="AH936">
        <v>15032458</v>
      </c>
      <c r="AI936">
        <v>95964851</v>
      </c>
      <c r="AJ936">
        <v>189365986</v>
      </c>
      <c r="AK936">
        <v>1.7079746661139258E-10</v>
      </c>
      <c r="AL936">
        <v>0.13341271251523806</v>
      </c>
    </row>
    <row r="937" spans="2:38">
      <c r="B937">
        <v>2.5104602510460164E-2</v>
      </c>
      <c r="C937">
        <v>47.44</v>
      </c>
      <c r="D937">
        <v>47.41</v>
      </c>
      <c r="E937">
        <v>6.3257775434899608E-4</v>
      </c>
      <c r="F937">
        <v>1420249</v>
      </c>
      <c r="G937">
        <v>1517696526</v>
      </c>
      <c r="H937">
        <v>67461827.5</v>
      </c>
      <c r="I937">
        <v>6850000</v>
      </c>
      <c r="J937">
        <v>0.2073356204379562</v>
      </c>
      <c r="K937">
        <v>78651.8</v>
      </c>
      <c r="L937">
        <v>0.1741</v>
      </c>
      <c r="M937">
        <v>1419399864</v>
      </c>
      <c r="N937">
        <v>1325084816</v>
      </c>
      <c r="O937">
        <v>15032458</v>
      </c>
      <c r="P937">
        <v>95964851</v>
      </c>
      <c r="Q937">
        <v>189365986</v>
      </c>
      <c r="R937">
        <v>1.2493213322853128E-11</v>
      </c>
      <c r="S937">
        <v>0.13341271251523806</v>
      </c>
      <c r="U937">
        <v>3.7151702786377798E-2</v>
      </c>
      <c r="V937">
        <v>48.79</v>
      </c>
      <c r="W937">
        <v>48.66</v>
      </c>
      <c r="X937">
        <f t="shared" si="15"/>
        <v>2.668034889687072E-3</v>
      </c>
      <c r="Y937">
        <v>1294382</v>
      </c>
      <c r="Z937">
        <v>1517696526</v>
      </c>
      <c r="AA937">
        <v>63036403.400000006</v>
      </c>
      <c r="AB937">
        <v>6850000</v>
      </c>
      <c r="AC937">
        <v>0.18896087591240876</v>
      </c>
      <c r="AD937">
        <v>78571.06</v>
      </c>
      <c r="AE937">
        <v>0.17469999999999999</v>
      </c>
      <c r="AF937">
        <v>1419399864</v>
      </c>
      <c r="AG937">
        <v>1325084816</v>
      </c>
      <c r="AH937">
        <v>15032458</v>
      </c>
      <c r="AI937">
        <v>95964851</v>
      </c>
      <c r="AJ937">
        <v>189365986</v>
      </c>
      <c r="AK937">
        <v>6.5122533814897931E-12</v>
      </c>
      <c r="AL937">
        <v>0.13341271251523806</v>
      </c>
    </row>
    <row r="938" spans="2:38">
      <c r="B938">
        <v>1.5831134564643801E-2</v>
      </c>
      <c r="C938">
        <v>47.5</v>
      </c>
      <c r="D938">
        <v>47.25</v>
      </c>
      <c r="E938">
        <v>5.2770448548812663E-3</v>
      </c>
      <c r="F938">
        <v>626542</v>
      </c>
      <c r="G938">
        <v>1517696526</v>
      </c>
      <c r="H938">
        <v>29735683.32</v>
      </c>
      <c r="I938">
        <v>6850000</v>
      </c>
      <c r="J938">
        <v>9.1465985401459851E-2</v>
      </c>
      <c r="K938">
        <v>79286.740000000005</v>
      </c>
      <c r="L938">
        <v>0.1741</v>
      </c>
      <c r="M938">
        <v>1419399864</v>
      </c>
      <c r="N938">
        <v>1325084816</v>
      </c>
      <c r="O938">
        <v>15032458</v>
      </c>
      <c r="P938">
        <v>95964851</v>
      </c>
      <c r="Q938">
        <v>189365986</v>
      </c>
      <c r="R938">
        <v>7.0709901310884403E-11</v>
      </c>
      <c r="S938">
        <v>0.13341271251523806</v>
      </c>
      <c r="U938">
        <v>2.5239161408508081E-2</v>
      </c>
      <c r="V938">
        <v>48.72</v>
      </c>
      <c r="W938">
        <v>48.71</v>
      </c>
      <c r="X938">
        <f t="shared" si="15"/>
        <v>2.0527558246942441E-4</v>
      </c>
      <c r="Y938">
        <v>938175</v>
      </c>
      <c r="Z938">
        <v>1517696526</v>
      </c>
      <c r="AA938">
        <v>45707886</v>
      </c>
      <c r="AB938">
        <v>6850000</v>
      </c>
      <c r="AC938">
        <v>0.13695985401459854</v>
      </c>
      <c r="AD938">
        <v>78801.429999999993</v>
      </c>
      <c r="AE938">
        <v>0.17469999999999999</v>
      </c>
      <c r="AF938">
        <v>1419399864</v>
      </c>
      <c r="AG938">
        <v>1325084816</v>
      </c>
      <c r="AH938">
        <v>15032458</v>
      </c>
      <c r="AI938">
        <v>95964851</v>
      </c>
      <c r="AJ938">
        <v>189365986</v>
      </c>
      <c r="AK938">
        <v>6.7151819496785721E-11</v>
      </c>
      <c r="AL938">
        <v>0.13341271251523806</v>
      </c>
    </row>
    <row r="939" spans="2:38">
      <c r="B939">
        <v>1.5665796344647518E-2</v>
      </c>
      <c r="C939">
        <v>47.6</v>
      </c>
      <c r="D939">
        <v>47.57</v>
      </c>
      <c r="E939">
        <v>6.3045077230221996E-4</v>
      </c>
      <c r="F939">
        <v>377479</v>
      </c>
      <c r="G939">
        <v>1517696526</v>
      </c>
      <c r="H939">
        <v>17952901.240000002</v>
      </c>
      <c r="I939">
        <v>6850000</v>
      </c>
      <c r="J939">
        <v>5.5106423357664233E-2</v>
      </c>
      <c r="K939">
        <v>78615</v>
      </c>
      <c r="L939">
        <v>0.1741</v>
      </c>
      <c r="M939">
        <v>1419399864</v>
      </c>
      <c r="N939">
        <v>1325084816</v>
      </c>
      <c r="O939">
        <v>15032458</v>
      </c>
      <c r="P939">
        <v>95964851</v>
      </c>
      <c r="Q939">
        <v>189365986</v>
      </c>
      <c r="R939">
        <v>9.3852238352853229E-11</v>
      </c>
      <c r="S939">
        <v>0.13341271251523806</v>
      </c>
      <c r="U939">
        <v>2.1103896103896087E-2</v>
      </c>
      <c r="V939">
        <v>48.8</v>
      </c>
      <c r="W939">
        <v>48.78</v>
      </c>
      <c r="X939">
        <f t="shared" si="15"/>
        <v>4.0992006558712897E-4</v>
      </c>
      <c r="Y939">
        <v>773142</v>
      </c>
      <c r="Z939">
        <v>1517696526</v>
      </c>
      <c r="AA939">
        <v>37783449.539999999</v>
      </c>
      <c r="AB939">
        <v>6850000</v>
      </c>
      <c r="AC939">
        <v>0.11286744525547446</v>
      </c>
      <c r="AD939">
        <v>78793.41</v>
      </c>
      <c r="AE939">
        <v>0.17469999999999999</v>
      </c>
      <c r="AF939">
        <v>1419399864</v>
      </c>
      <c r="AG939">
        <v>1325084816</v>
      </c>
      <c r="AH939">
        <v>15032458</v>
      </c>
      <c r="AI939">
        <v>95964851</v>
      </c>
      <c r="AJ939">
        <v>189365986</v>
      </c>
      <c r="AK939">
        <v>3.6321489359809142E-10</v>
      </c>
      <c r="AL939">
        <v>0.13341271251523806</v>
      </c>
    </row>
    <row r="940" spans="2:38">
      <c r="B940">
        <v>6.25E-2</v>
      </c>
      <c r="C940">
        <v>48.5</v>
      </c>
      <c r="D940">
        <v>48.36</v>
      </c>
      <c r="E940">
        <v>2.8907701837704021E-3</v>
      </c>
      <c r="F940">
        <v>3475245</v>
      </c>
      <c r="G940">
        <v>1517696526</v>
      </c>
      <c r="H940">
        <v>165004632.59999999</v>
      </c>
      <c r="I940">
        <v>6850000</v>
      </c>
      <c r="J940">
        <v>0.50733503649635037</v>
      </c>
      <c r="K940">
        <v>78897.73</v>
      </c>
      <c r="L940">
        <v>0.1741</v>
      </c>
      <c r="M940">
        <v>1419399864</v>
      </c>
      <c r="N940">
        <v>1325084816</v>
      </c>
      <c r="O940">
        <v>15032458</v>
      </c>
      <c r="P940">
        <v>95964851</v>
      </c>
      <c r="Q940">
        <v>189365986</v>
      </c>
      <c r="R940">
        <v>4.2491892953508749E-10</v>
      </c>
      <c r="S940">
        <v>0.13341271251523806</v>
      </c>
      <c r="U940">
        <v>3.9573820395738264E-2</v>
      </c>
      <c r="V940">
        <v>49.6</v>
      </c>
      <c r="W940">
        <v>49.59</v>
      </c>
      <c r="X940">
        <f t="shared" si="15"/>
        <v>2.0163322915612482E-4</v>
      </c>
      <c r="Y940">
        <v>3563055</v>
      </c>
      <c r="Z940">
        <v>1517696526</v>
      </c>
      <c r="AA940">
        <v>176549375.25</v>
      </c>
      <c r="AB940">
        <v>6850000</v>
      </c>
      <c r="AC940">
        <v>0.52015401459854016</v>
      </c>
      <c r="AD940">
        <v>78260.86</v>
      </c>
      <c r="AE940">
        <v>0.17469999999999999</v>
      </c>
      <c r="AF940">
        <v>1419399864</v>
      </c>
      <c r="AG940">
        <v>1325084816</v>
      </c>
      <c r="AH940">
        <v>15032458</v>
      </c>
      <c r="AI940">
        <v>95964851</v>
      </c>
      <c r="AJ940">
        <v>189365986</v>
      </c>
      <c r="AK940">
        <v>1.4177920577337487E-10</v>
      </c>
      <c r="AL940">
        <v>0.13341271251523806</v>
      </c>
    </row>
    <row r="941" spans="2:38">
      <c r="B941">
        <v>6.3367885781341726E-2</v>
      </c>
      <c r="C941">
        <v>51</v>
      </c>
      <c r="D941">
        <v>50.94</v>
      </c>
      <c r="E941">
        <v>1.1771630370806803E-3</v>
      </c>
      <c r="F941">
        <v>7614513</v>
      </c>
      <c r="G941">
        <v>1517696526</v>
      </c>
      <c r="H941">
        <v>388797033.78000003</v>
      </c>
      <c r="I941">
        <v>6850000</v>
      </c>
      <c r="J941">
        <v>1.1116077372262774</v>
      </c>
      <c r="K941">
        <v>78863.34</v>
      </c>
      <c r="L941">
        <v>0.1741</v>
      </c>
      <c r="M941">
        <v>1419399864</v>
      </c>
      <c r="N941">
        <v>1325084816</v>
      </c>
      <c r="O941">
        <v>15032458</v>
      </c>
      <c r="P941">
        <v>95964851</v>
      </c>
      <c r="Q941">
        <v>189365986</v>
      </c>
      <c r="R941">
        <v>8.3740709692005163E-11</v>
      </c>
      <c r="S941">
        <v>0.13341271251523806</v>
      </c>
      <c r="U941">
        <v>2.6998961578400774E-2</v>
      </c>
      <c r="V941">
        <v>48.23</v>
      </c>
      <c r="W941">
        <v>48.16</v>
      </c>
      <c r="X941">
        <f t="shared" si="15"/>
        <v>1.4524328249818507E-3</v>
      </c>
      <c r="Y941">
        <v>2043066</v>
      </c>
      <c r="Z941">
        <v>1517696526</v>
      </c>
      <c r="AA941">
        <v>98761810.440000013</v>
      </c>
      <c r="AB941">
        <v>6850000</v>
      </c>
      <c r="AC941">
        <v>0.29825781021897813</v>
      </c>
      <c r="AD941">
        <v>77745.52</v>
      </c>
      <c r="AE941">
        <v>0.189</v>
      </c>
      <c r="AF941">
        <v>1419399864</v>
      </c>
      <c r="AG941">
        <v>1325084816</v>
      </c>
      <c r="AH941">
        <v>15032458</v>
      </c>
      <c r="AI941">
        <v>95964851</v>
      </c>
      <c r="AJ941">
        <v>189365986</v>
      </c>
      <c r="AK941">
        <v>1.2940449375735239E-10</v>
      </c>
      <c r="AL941">
        <v>0.13341271251523806</v>
      </c>
    </row>
    <row r="942" spans="2:38">
      <c r="B942">
        <v>1.0481757710139004E-2</v>
      </c>
      <c r="C942">
        <v>49.69</v>
      </c>
      <c r="D942">
        <v>49.6</v>
      </c>
      <c r="E942">
        <v>1.8128713868465368E-3</v>
      </c>
      <c r="F942">
        <v>742269</v>
      </c>
      <c r="G942">
        <v>1517696526</v>
      </c>
      <c r="H942">
        <v>36705202.050000004</v>
      </c>
      <c r="I942">
        <v>6850000</v>
      </c>
      <c r="J942">
        <v>0.10836043795620438</v>
      </c>
      <c r="K942">
        <v>78848.009999999995</v>
      </c>
      <c r="L942">
        <v>0.1741</v>
      </c>
      <c r="M942">
        <v>1419399864</v>
      </c>
      <c r="N942">
        <v>1325084816</v>
      </c>
      <c r="O942">
        <v>15032458</v>
      </c>
      <c r="P942">
        <v>95964851</v>
      </c>
      <c r="Q942">
        <v>189365986</v>
      </c>
      <c r="R942">
        <v>2.7574994618179481E-11</v>
      </c>
      <c r="S942">
        <v>0.13341271251523806</v>
      </c>
      <c r="U942">
        <v>3.5480464625131991E-2</v>
      </c>
      <c r="V942">
        <v>47.98</v>
      </c>
      <c r="W942">
        <v>47.7</v>
      </c>
      <c r="X942">
        <f t="shared" si="15"/>
        <v>5.8528428093644232E-3</v>
      </c>
      <c r="Y942">
        <v>853506</v>
      </c>
      <c r="Z942">
        <v>1517696526</v>
      </c>
      <c r="AA942">
        <v>40737841.379999995</v>
      </c>
      <c r="AB942">
        <v>6850000</v>
      </c>
      <c r="AC942">
        <v>0.12459941605839416</v>
      </c>
      <c r="AD942">
        <v>77830.34</v>
      </c>
      <c r="AE942">
        <v>0.189</v>
      </c>
      <c r="AF942">
        <v>1419399864</v>
      </c>
      <c r="AG942">
        <v>1325084816</v>
      </c>
      <c r="AH942">
        <v>15032458</v>
      </c>
      <c r="AI942">
        <v>95964851</v>
      </c>
      <c r="AJ942">
        <v>189365986</v>
      </c>
      <c r="AK942">
        <v>4.9314745429014103E-10</v>
      </c>
      <c r="AL942">
        <v>0.13341271251523806</v>
      </c>
    </row>
    <row r="943" spans="2:38">
      <c r="B943">
        <v>1.9981834695731192E-2</v>
      </c>
      <c r="C943">
        <v>49.49</v>
      </c>
      <c r="D943">
        <v>49.4</v>
      </c>
      <c r="E943">
        <v>1.8202042673678513E-3</v>
      </c>
      <c r="F943">
        <v>1034569</v>
      </c>
      <c r="G943">
        <v>1517696526</v>
      </c>
      <c r="H943">
        <v>51107708.600000001</v>
      </c>
      <c r="I943">
        <v>6850000</v>
      </c>
      <c r="J943">
        <v>0.15103197080291972</v>
      </c>
      <c r="K943">
        <v>78356.320000000007</v>
      </c>
      <c r="L943">
        <v>0.17469999999999999</v>
      </c>
      <c r="M943">
        <v>1419399864</v>
      </c>
      <c r="N943">
        <v>1325084816</v>
      </c>
      <c r="O943">
        <v>15032458</v>
      </c>
      <c r="P943">
        <v>95964851</v>
      </c>
      <c r="Q943">
        <v>189365986</v>
      </c>
      <c r="R943">
        <v>7.924876448581609E-12</v>
      </c>
      <c r="S943">
        <v>0.13341271251523806</v>
      </c>
      <c r="U943">
        <v>2.5369978858350864E-2</v>
      </c>
      <c r="V943">
        <v>47.07</v>
      </c>
      <c r="W943">
        <v>47</v>
      </c>
      <c r="X943">
        <f t="shared" si="15"/>
        <v>1.488253428298082E-3</v>
      </c>
      <c r="Y943">
        <v>1301674</v>
      </c>
      <c r="Z943">
        <v>1517696526</v>
      </c>
      <c r="AA943">
        <v>60905326.460000001</v>
      </c>
      <c r="AB943">
        <v>6850000</v>
      </c>
      <c r="AC943">
        <v>0.19002540145985403</v>
      </c>
      <c r="AD943">
        <v>78045.31</v>
      </c>
      <c r="AE943">
        <v>0.189</v>
      </c>
      <c r="AF943">
        <v>1419399864</v>
      </c>
      <c r="AG943">
        <v>1325084816</v>
      </c>
      <c r="AH943">
        <v>15032458</v>
      </c>
      <c r="AI943">
        <v>95964851</v>
      </c>
      <c r="AJ943">
        <v>189365986</v>
      </c>
      <c r="AK943">
        <v>2.8278762175376642E-10</v>
      </c>
      <c r="AL943">
        <v>0.13341271251523806</v>
      </c>
    </row>
    <row r="944" spans="2:38">
      <c r="B944">
        <v>3.1438935912938233E-2</v>
      </c>
      <c r="C944">
        <v>49.45</v>
      </c>
      <c r="D944">
        <v>49.4</v>
      </c>
      <c r="E944">
        <v>1.0116337885686245E-3</v>
      </c>
      <c r="F944">
        <v>1245931</v>
      </c>
      <c r="G944">
        <v>1517696526</v>
      </c>
      <c r="H944">
        <v>61524072.780000001</v>
      </c>
      <c r="I944">
        <v>6850000</v>
      </c>
      <c r="J944">
        <v>0.18188773722627738</v>
      </c>
      <c r="K944">
        <v>78283.3</v>
      </c>
      <c r="L944">
        <v>0.17469999999999999</v>
      </c>
      <c r="M944">
        <v>1419399864</v>
      </c>
      <c r="N944">
        <v>1325084816</v>
      </c>
      <c r="O944">
        <v>15032458</v>
      </c>
      <c r="P944">
        <v>95964851</v>
      </c>
      <c r="Q944">
        <v>189365986</v>
      </c>
      <c r="R944">
        <v>1.3708024450716361E-10</v>
      </c>
      <c r="S944">
        <v>0.13341271251523806</v>
      </c>
      <c r="U944">
        <v>2.6998961578400774E-2</v>
      </c>
      <c r="V944">
        <v>47.69</v>
      </c>
      <c r="W944">
        <v>47.6</v>
      </c>
      <c r="X944">
        <f t="shared" si="15"/>
        <v>1.8889705110713886E-3</v>
      </c>
      <c r="Y944">
        <v>1194126</v>
      </c>
      <c r="Z944">
        <v>1517696526</v>
      </c>
      <c r="AA944">
        <v>56852338.859999999</v>
      </c>
      <c r="AB944">
        <v>6850000</v>
      </c>
      <c r="AC944">
        <v>0.17432496350364962</v>
      </c>
      <c r="AD944">
        <v>78105.98</v>
      </c>
      <c r="AE944">
        <v>0.189</v>
      </c>
      <c r="AF944">
        <v>1419399864</v>
      </c>
      <c r="AG944">
        <v>1325084816</v>
      </c>
      <c r="AH944">
        <v>15032458</v>
      </c>
      <c r="AI944">
        <v>95964851</v>
      </c>
      <c r="AJ944">
        <v>189365986</v>
      </c>
      <c r="AK944">
        <v>2.3331051933196096E-10</v>
      </c>
      <c r="AL944">
        <v>0.13341271251523806</v>
      </c>
    </row>
    <row r="945" spans="2:38">
      <c r="B945">
        <v>2.0905923344947678E-2</v>
      </c>
      <c r="C945">
        <v>49.7</v>
      </c>
      <c r="D945">
        <v>49.69</v>
      </c>
      <c r="E945">
        <v>2.0122748767491933E-4</v>
      </c>
      <c r="F945">
        <v>2821940</v>
      </c>
      <c r="G945">
        <v>1517696526</v>
      </c>
      <c r="H945">
        <v>140532612</v>
      </c>
      <c r="I945">
        <v>6850000</v>
      </c>
      <c r="J945">
        <v>0.41196204379562046</v>
      </c>
      <c r="K945">
        <v>78488.22</v>
      </c>
      <c r="L945">
        <v>0.17469999999999999</v>
      </c>
      <c r="M945">
        <v>1419399864</v>
      </c>
      <c r="N945">
        <v>1325084816</v>
      </c>
      <c r="O945">
        <v>15032458</v>
      </c>
      <c r="P945">
        <v>95964851</v>
      </c>
      <c r="Q945">
        <v>189365986</v>
      </c>
      <c r="R945">
        <v>2.9880325343746004E-11</v>
      </c>
      <c r="S945">
        <v>0.13341271251523806</v>
      </c>
      <c r="U945">
        <v>1.5295576684580448E-2</v>
      </c>
      <c r="V945">
        <v>48.29</v>
      </c>
      <c r="W945">
        <v>48.1</v>
      </c>
      <c r="X945">
        <f t="shared" si="15"/>
        <v>3.9423176678078167E-3</v>
      </c>
      <c r="Y945">
        <v>515099</v>
      </c>
      <c r="Z945">
        <v>1517696526</v>
      </c>
      <c r="AA945">
        <v>24853526.75</v>
      </c>
      <c r="AB945">
        <v>6850000</v>
      </c>
      <c r="AC945">
        <v>7.5196934306569346E-2</v>
      </c>
      <c r="AD945">
        <v>77877.42</v>
      </c>
      <c r="AE945">
        <v>0.189</v>
      </c>
      <c r="AF945">
        <v>1419399864</v>
      </c>
      <c r="AG945">
        <v>1325084816</v>
      </c>
      <c r="AH945">
        <v>15032458</v>
      </c>
      <c r="AI945">
        <v>95964851</v>
      </c>
      <c r="AJ945">
        <v>189365986</v>
      </c>
      <c r="AK945">
        <v>5.1045954148299125E-10</v>
      </c>
      <c r="AL945">
        <v>0.13341271251523806</v>
      </c>
    </row>
    <row r="946" spans="2:38">
      <c r="B946">
        <v>1.7748529265131131E-2</v>
      </c>
      <c r="C946">
        <v>50.49</v>
      </c>
      <c r="D946">
        <v>50.41</v>
      </c>
      <c r="E946">
        <v>1.5857284440040714E-3</v>
      </c>
      <c r="F946">
        <v>4012390</v>
      </c>
      <c r="G946">
        <v>1517696526</v>
      </c>
      <c r="H946">
        <v>200659623.90000001</v>
      </c>
      <c r="I946">
        <v>6850000</v>
      </c>
      <c r="J946">
        <v>0.58575036496350363</v>
      </c>
      <c r="K946">
        <v>78349.66</v>
      </c>
      <c r="L946">
        <v>0.17469999999999999</v>
      </c>
      <c r="M946">
        <v>1419399864</v>
      </c>
      <c r="N946">
        <v>1325084816</v>
      </c>
      <c r="O946">
        <v>15032458</v>
      </c>
      <c r="P946">
        <v>95964851</v>
      </c>
      <c r="Q946">
        <v>189365986</v>
      </c>
      <c r="R946">
        <v>2.4031650930308592E-11</v>
      </c>
      <c r="S946">
        <v>0.13341271251523806</v>
      </c>
      <c r="U946">
        <v>2.9250457038391322E-2</v>
      </c>
      <c r="V946">
        <v>48.83</v>
      </c>
      <c r="W946">
        <v>48.77</v>
      </c>
      <c r="X946">
        <f t="shared" si="15"/>
        <v>1.2295081967212125E-3</v>
      </c>
      <c r="Y946">
        <v>1006447</v>
      </c>
      <c r="Z946">
        <v>1517696526</v>
      </c>
      <c r="AA946">
        <v>49185064.890000001</v>
      </c>
      <c r="AB946">
        <v>6850000</v>
      </c>
      <c r="AC946">
        <v>0.14692656934306569</v>
      </c>
      <c r="AD946">
        <v>77980.289999999994</v>
      </c>
      <c r="AE946">
        <v>0.189</v>
      </c>
      <c r="AF946">
        <v>1419399864</v>
      </c>
      <c r="AG946">
        <v>1325084816</v>
      </c>
      <c r="AH946">
        <v>15032458</v>
      </c>
      <c r="AI946">
        <v>95964851</v>
      </c>
      <c r="AJ946">
        <v>189365986</v>
      </c>
      <c r="AK946">
        <v>1.4047282075064302E-10</v>
      </c>
      <c r="AL946">
        <v>0.13341271251523806</v>
      </c>
    </row>
    <row r="947" spans="2:38">
      <c r="B947">
        <v>5.0055281937883236E-2</v>
      </c>
      <c r="C947">
        <v>49.85</v>
      </c>
      <c r="D947">
        <v>49.81</v>
      </c>
      <c r="E947">
        <v>8.0272927955045447E-4</v>
      </c>
      <c r="F947">
        <v>10899708</v>
      </c>
      <c r="G947">
        <v>1517696526</v>
      </c>
      <c r="H947">
        <v>542478467.16000009</v>
      </c>
      <c r="I947">
        <v>6850000</v>
      </c>
      <c r="J947">
        <v>1.5911982481751825</v>
      </c>
      <c r="K947">
        <v>77992.789999999994</v>
      </c>
      <c r="L947">
        <v>0.17469999999999999</v>
      </c>
      <c r="M947">
        <v>1419399864</v>
      </c>
      <c r="N947">
        <v>1325084816</v>
      </c>
      <c r="O947">
        <v>15032458</v>
      </c>
      <c r="P947">
        <v>95964851</v>
      </c>
      <c r="Q947">
        <v>189365986</v>
      </c>
      <c r="R947">
        <v>3.202948628361568E-11</v>
      </c>
      <c r="S947">
        <v>0.13341271251523806</v>
      </c>
      <c r="U947">
        <v>1.8831629037157023E-2</v>
      </c>
      <c r="V947">
        <v>49.25</v>
      </c>
      <c r="W947">
        <v>49.21</v>
      </c>
      <c r="X947">
        <f t="shared" si="15"/>
        <v>8.1251269551085002E-4</v>
      </c>
      <c r="Y947">
        <v>1113717</v>
      </c>
      <c r="Z947">
        <v>1517696526</v>
      </c>
      <c r="AA947">
        <v>54806013.57</v>
      </c>
      <c r="AB947">
        <v>6850000</v>
      </c>
      <c r="AC947">
        <v>0.16258642335766424</v>
      </c>
      <c r="AD947">
        <v>78569.59</v>
      </c>
      <c r="AE947">
        <v>0.189</v>
      </c>
      <c r="AF947">
        <v>1419399864</v>
      </c>
      <c r="AG947">
        <v>1325084816</v>
      </c>
      <c r="AH947">
        <v>15032458</v>
      </c>
      <c r="AI947">
        <v>95964851</v>
      </c>
      <c r="AJ947">
        <v>189365986</v>
      </c>
      <c r="AK947">
        <v>4.460258197123251E-11</v>
      </c>
      <c r="AL947">
        <v>0.13341271251523806</v>
      </c>
    </row>
    <row r="948" spans="2:38">
      <c r="B948">
        <v>1.8537590113285245E-2</v>
      </c>
      <c r="C948">
        <v>48.99</v>
      </c>
      <c r="D948">
        <v>48.88</v>
      </c>
      <c r="E948">
        <v>2.2478798406048721E-3</v>
      </c>
      <c r="F948">
        <v>540662</v>
      </c>
      <c r="G948">
        <v>1517696526</v>
      </c>
      <c r="H948">
        <v>26449185.039999999</v>
      </c>
      <c r="I948">
        <v>6850000</v>
      </c>
      <c r="J948">
        <v>7.8928759124087589E-2</v>
      </c>
      <c r="K948">
        <v>78084.240000000005</v>
      </c>
      <c r="L948">
        <v>0.17469999999999999</v>
      </c>
      <c r="M948">
        <v>1419399864</v>
      </c>
      <c r="N948">
        <v>1325084816</v>
      </c>
      <c r="O948">
        <v>15032458</v>
      </c>
      <c r="P948">
        <v>95964851</v>
      </c>
      <c r="Q948">
        <v>189365986</v>
      </c>
      <c r="R948">
        <v>1.7079746661139258E-10</v>
      </c>
      <c r="S948">
        <v>0.13341271251523806</v>
      </c>
      <c r="U948">
        <v>2.9844685818698584E-2</v>
      </c>
      <c r="V948">
        <v>49.4</v>
      </c>
      <c r="W948">
        <v>49.38</v>
      </c>
      <c r="X948">
        <f t="shared" si="15"/>
        <v>4.049402713099012E-4</v>
      </c>
      <c r="Y948">
        <v>1959563</v>
      </c>
      <c r="Z948">
        <v>1517696526</v>
      </c>
      <c r="AA948">
        <v>96194947.670000002</v>
      </c>
      <c r="AB948">
        <v>6850000</v>
      </c>
      <c r="AC948">
        <v>0.28606759124087588</v>
      </c>
      <c r="AD948">
        <v>77874.22</v>
      </c>
      <c r="AE948">
        <v>0.189</v>
      </c>
      <c r="AF948">
        <v>1419399864</v>
      </c>
      <c r="AG948">
        <v>1325084816</v>
      </c>
      <c r="AH948">
        <v>15032458</v>
      </c>
      <c r="AI948">
        <v>95964851</v>
      </c>
      <c r="AJ948">
        <v>189365986</v>
      </c>
      <c r="AK948">
        <v>7.1504939555343653E-11</v>
      </c>
      <c r="AL948">
        <v>0.13341271251523806</v>
      </c>
    </row>
    <row r="949" spans="2:38">
      <c r="B949">
        <v>3.7151702786377798E-2</v>
      </c>
      <c r="C949">
        <v>48.79</v>
      </c>
      <c r="D949">
        <v>48.66</v>
      </c>
      <c r="E949">
        <v>2.668034889687072E-3</v>
      </c>
      <c r="F949">
        <v>1294382</v>
      </c>
      <c r="G949">
        <v>1517696526</v>
      </c>
      <c r="H949">
        <v>63036403.400000006</v>
      </c>
      <c r="I949">
        <v>6850000</v>
      </c>
      <c r="J949">
        <v>0.18896087591240876</v>
      </c>
      <c r="K949">
        <v>78571.06</v>
      </c>
      <c r="L949">
        <v>0.17469999999999999</v>
      </c>
      <c r="M949">
        <v>1419399864</v>
      </c>
      <c r="N949">
        <v>1325084816</v>
      </c>
      <c r="O949">
        <v>15032458</v>
      </c>
      <c r="P949">
        <v>95964851</v>
      </c>
      <c r="Q949">
        <v>189365986</v>
      </c>
      <c r="R949">
        <v>6.5122533814897931E-12</v>
      </c>
      <c r="S949">
        <v>0.13341271251523806</v>
      </c>
      <c r="U949">
        <v>3.3207700926963339E-2</v>
      </c>
      <c r="V949">
        <v>49.35</v>
      </c>
      <c r="W949">
        <v>49.3</v>
      </c>
      <c r="X949">
        <f t="shared" si="15"/>
        <v>1.0136847440446884E-3</v>
      </c>
      <c r="Y949">
        <v>1540062</v>
      </c>
      <c r="Z949">
        <v>1517696526</v>
      </c>
      <c r="AA949">
        <v>76125264.659999996</v>
      </c>
      <c r="AB949">
        <v>6850000</v>
      </c>
      <c r="AC949">
        <v>0.22482656934306569</v>
      </c>
      <c r="AD949">
        <v>77114.490000000005</v>
      </c>
      <c r="AE949">
        <v>0.189</v>
      </c>
      <c r="AF949">
        <v>1419399864</v>
      </c>
      <c r="AG949">
        <v>1325084816</v>
      </c>
      <c r="AH949">
        <v>15032458</v>
      </c>
      <c r="AI949">
        <v>95964851</v>
      </c>
      <c r="AJ949">
        <v>189365986</v>
      </c>
      <c r="AK949">
        <v>1.8323375309126895E-10</v>
      </c>
      <c r="AL949">
        <v>0.13341271251523806</v>
      </c>
    </row>
    <row r="950" spans="2:38">
      <c r="B950">
        <v>2.5239161408508081E-2</v>
      </c>
      <c r="C950">
        <v>48.72</v>
      </c>
      <c r="D950">
        <v>48.71</v>
      </c>
      <c r="E950">
        <v>2.0527558246942441E-4</v>
      </c>
      <c r="F950">
        <v>938175</v>
      </c>
      <c r="G950">
        <v>1517696526</v>
      </c>
      <c r="H950">
        <v>45707886</v>
      </c>
      <c r="I950">
        <v>6850000</v>
      </c>
      <c r="J950">
        <v>0.13695985401459854</v>
      </c>
      <c r="K950">
        <v>78801.429999999993</v>
      </c>
      <c r="L950">
        <v>0.17469999999999999</v>
      </c>
      <c r="M950">
        <v>1419399864</v>
      </c>
      <c r="N950">
        <v>1325084816</v>
      </c>
      <c r="O950">
        <v>15032458</v>
      </c>
      <c r="P950">
        <v>95964851</v>
      </c>
      <c r="Q950">
        <v>189365986</v>
      </c>
      <c r="R950">
        <v>6.7151819496785721E-11</v>
      </c>
      <c r="S950">
        <v>0.13341271251523806</v>
      </c>
      <c r="U950">
        <v>2.2265345725666498E-2</v>
      </c>
      <c r="V950">
        <v>48.5</v>
      </c>
      <c r="W950">
        <v>48.49</v>
      </c>
      <c r="X950">
        <f t="shared" si="15"/>
        <v>2.0620682544588123E-4</v>
      </c>
      <c r="Y950">
        <v>1275716</v>
      </c>
      <c r="Z950">
        <v>1517696526</v>
      </c>
      <c r="AA950">
        <v>62191155</v>
      </c>
      <c r="AB950">
        <v>6850000</v>
      </c>
      <c r="AC950">
        <v>0.18623591240875911</v>
      </c>
      <c r="AD950">
        <v>77191.34</v>
      </c>
      <c r="AE950">
        <v>0.19489999999999999</v>
      </c>
      <c r="AF950">
        <v>1419399864</v>
      </c>
      <c r="AG950">
        <v>1325084816</v>
      </c>
      <c r="AH950">
        <v>15032458</v>
      </c>
      <c r="AI950">
        <v>95964851</v>
      </c>
      <c r="AJ950">
        <v>189365986</v>
      </c>
      <c r="AK950">
        <v>3.9483012788575773E-11</v>
      </c>
      <c r="AL950">
        <v>0.13341271251523806</v>
      </c>
    </row>
    <row r="951" spans="2:38">
      <c r="B951">
        <v>2.1103896103896087E-2</v>
      </c>
      <c r="C951">
        <v>48.8</v>
      </c>
      <c r="D951">
        <v>48.78</v>
      </c>
      <c r="E951">
        <v>4.0992006558712897E-4</v>
      </c>
      <c r="F951">
        <v>773142</v>
      </c>
      <c r="G951">
        <v>1517696526</v>
      </c>
      <c r="H951">
        <v>37783449.539999999</v>
      </c>
      <c r="I951">
        <v>6850000</v>
      </c>
      <c r="J951">
        <v>0.11286744525547446</v>
      </c>
      <c r="K951">
        <v>78793.41</v>
      </c>
      <c r="L951">
        <v>0.17469999999999999</v>
      </c>
      <c r="M951">
        <v>1419399864</v>
      </c>
      <c r="N951">
        <v>1325084816</v>
      </c>
      <c r="O951">
        <v>15032458</v>
      </c>
      <c r="P951">
        <v>95964851</v>
      </c>
      <c r="Q951">
        <v>189365986</v>
      </c>
      <c r="R951">
        <v>3.6321489359809142E-10</v>
      </c>
      <c r="S951">
        <v>0.13341271251523806</v>
      </c>
      <c r="U951">
        <v>4.4014808720691086E-2</v>
      </c>
      <c r="V951">
        <v>48.65</v>
      </c>
      <c r="W951">
        <v>48.64</v>
      </c>
      <c r="X951">
        <f t="shared" si="15"/>
        <v>2.0557097337851806E-4</v>
      </c>
      <c r="Y951">
        <v>2325807</v>
      </c>
      <c r="Z951">
        <v>1517696526</v>
      </c>
      <c r="AA951">
        <v>113662188.08999999</v>
      </c>
      <c r="AB951">
        <v>6850000</v>
      </c>
      <c r="AC951">
        <v>0.33953386861313867</v>
      </c>
      <c r="AD951">
        <v>77084.490000000005</v>
      </c>
      <c r="AE951">
        <v>0.19489999999999999</v>
      </c>
      <c r="AF951">
        <v>1419399864</v>
      </c>
      <c r="AG951">
        <v>1325084816</v>
      </c>
      <c r="AH951">
        <v>15032458</v>
      </c>
      <c r="AI951">
        <v>95964851</v>
      </c>
      <c r="AJ951">
        <v>189365986</v>
      </c>
      <c r="AK951">
        <v>6.4336384707001429E-11</v>
      </c>
      <c r="AL951">
        <v>0.13341271251523806</v>
      </c>
    </row>
    <row r="952" spans="2:38">
      <c r="B952">
        <v>3.9573820395738264E-2</v>
      </c>
      <c r="C952">
        <v>49.6</v>
      </c>
      <c r="D952">
        <v>49.59</v>
      </c>
      <c r="E952">
        <v>2.0163322915612482E-4</v>
      </c>
      <c r="F952">
        <v>3563055</v>
      </c>
      <c r="G952">
        <v>1517696526</v>
      </c>
      <c r="H952">
        <v>176549375.25</v>
      </c>
      <c r="I952">
        <v>6850000</v>
      </c>
      <c r="J952">
        <v>0.52015401459854016</v>
      </c>
      <c r="K952">
        <v>78260.86</v>
      </c>
      <c r="L952">
        <v>0.17469999999999999</v>
      </c>
      <c r="M952">
        <v>1419399864</v>
      </c>
      <c r="N952">
        <v>1325084816</v>
      </c>
      <c r="O952">
        <v>15032458</v>
      </c>
      <c r="P952">
        <v>95964851</v>
      </c>
      <c r="Q952">
        <v>189365986</v>
      </c>
      <c r="R952">
        <v>1.4177920577337487E-10</v>
      </c>
      <c r="S952">
        <v>0.13341271251523806</v>
      </c>
      <c r="U952">
        <v>2.7970620786799488E-2</v>
      </c>
      <c r="V952">
        <v>49.37</v>
      </c>
      <c r="W952">
        <v>49.25</v>
      </c>
      <c r="X952">
        <f t="shared" si="15"/>
        <v>2.4335834516324771E-3</v>
      </c>
      <c r="Y952">
        <v>1713702</v>
      </c>
      <c r="Z952">
        <v>1517696526</v>
      </c>
      <c r="AA952">
        <v>84365549.459999993</v>
      </c>
      <c r="AB952">
        <v>6850000</v>
      </c>
      <c r="AC952">
        <v>0.25017547445255472</v>
      </c>
      <c r="AD952">
        <v>78225.98</v>
      </c>
      <c r="AE952">
        <v>0.19489999999999999</v>
      </c>
      <c r="AF952">
        <v>1419399864</v>
      </c>
      <c r="AG952">
        <v>1325084816</v>
      </c>
      <c r="AH952">
        <v>15032458</v>
      </c>
      <c r="AI952">
        <v>95964851</v>
      </c>
      <c r="AJ952">
        <v>189365986</v>
      </c>
      <c r="AK952">
        <v>8.7316239291450247E-11</v>
      </c>
      <c r="AL952">
        <v>0.13341271251523806</v>
      </c>
    </row>
    <row r="953" spans="2:38">
      <c r="B953">
        <v>2.6998961578400774E-2</v>
      </c>
      <c r="C953">
        <v>48.23</v>
      </c>
      <c r="D953">
        <v>48.16</v>
      </c>
      <c r="E953">
        <v>1.4524328249818507E-3</v>
      </c>
      <c r="F953">
        <v>2043066</v>
      </c>
      <c r="G953">
        <v>1517696526</v>
      </c>
      <c r="H953">
        <v>98761810.440000013</v>
      </c>
      <c r="I953">
        <v>6850000</v>
      </c>
      <c r="J953">
        <v>0.29825781021897813</v>
      </c>
      <c r="K953">
        <v>77745.52</v>
      </c>
      <c r="L953">
        <v>0.189</v>
      </c>
      <c r="M953">
        <v>1419399864</v>
      </c>
      <c r="N953">
        <v>1325084816</v>
      </c>
      <c r="O953">
        <v>15032458</v>
      </c>
      <c r="P953">
        <v>95964851</v>
      </c>
      <c r="Q953">
        <v>189365986</v>
      </c>
      <c r="R953">
        <v>1.2940449375735239E-10</v>
      </c>
      <c r="S953">
        <v>0.13341271251523806</v>
      </c>
      <c r="U953">
        <v>4.3194374686087361E-2</v>
      </c>
      <c r="V953">
        <v>48.75</v>
      </c>
      <c r="W953">
        <v>48.73</v>
      </c>
      <c r="X953">
        <f t="shared" si="15"/>
        <v>4.1034058268369158E-4</v>
      </c>
      <c r="Y953">
        <v>1850813</v>
      </c>
      <c r="Z953">
        <v>1517696526</v>
      </c>
      <c r="AA953">
        <v>90449231.310000002</v>
      </c>
      <c r="AB953">
        <v>6850000</v>
      </c>
      <c r="AC953">
        <v>0.27019167883211681</v>
      </c>
      <c r="AD953">
        <v>77740.31</v>
      </c>
      <c r="AE953">
        <v>0.19489999999999999</v>
      </c>
      <c r="AF953">
        <v>1419399864</v>
      </c>
      <c r="AG953">
        <v>1325084816</v>
      </c>
      <c r="AH953">
        <v>15032458</v>
      </c>
      <c r="AI953">
        <v>95964851</v>
      </c>
      <c r="AJ953">
        <v>189365986</v>
      </c>
      <c r="AK953">
        <v>2.2169492500948857E-10</v>
      </c>
      <c r="AL953">
        <v>0.13341271251523806</v>
      </c>
    </row>
    <row r="954" spans="2:38">
      <c r="B954">
        <v>3.5480464625131991E-2</v>
      </c>
      <c r="C954">
        <v>47.98</v>
      </c>
      <c r="D954">
        <v>47.7</v>
      </c>
      <c r="E954">
        <v>5.8528428093644232E-3</v>
      </c>
      <c r="F954">
        <v>853506</v>
      </c>
      <c r="G954">
        <v>1517696526</v>
      </c>
      <c r="H954">
        <v>40737841.379999995</v>
      </c>
      <c r="I954">
        <v>6850000</v>
      </c>
      <c r="J954">
        <v>0.12459941605839416</v>
      </c>
      <c r="K954">
        <v>77830.34</v>
      </c>
      <c r="L954">
        <v>0.189</v>
      </c>
      <c r="M954">
        <v>1419399864</v>
      </c>
      <c r="N954">
        <v>1325084816</v>
      </c>
      <c r="O954">
        <v>15032458</v>
      </c>
      <c r="P954">
        <v>95964851</v>
      </c>
      <c r="Q954">
        <v>189365986</v>
      </c>
      <c r="R954">
        <v>4.9314745429014103E-10</v>
      </c>
      <c r="S954">
        <v>0.13341271251523806</v>
      </c>
      <c r="U954">
        <v>3.3287101248266289E-2</v>
      </c>
      <c r="V954">
        <v>50.18</v>
      </c>
      <c r="W954">
        <v>50.05</v>
      </c>
      <c r="X954">
        <f t="shared" si="15"/>
        <v>2.5940337224384432E-3</v>
      </c>
      <c r="Y954">
        <v>1455911</v>
      </c>
      <c r="Z954">
        <v>1517696526</v>
      </c>
      <c r="AA954">
        <v>72606281.569999993</v>
      </c>
      <c r="AB954">
        <v>6850000</v>
      </c>
      <c r="AC954">
        <v>0.21254175182481752</v>
      </c>
      <c r="AD954">
        <v>77886.990000000005</v>
      </c>
      <c r="AE954">
        <v>0.19489999999999999</v>
      </c>
      <c r="AF954">
        <v>1419399864</v>
      </c>
      <c r="AG954">
        <v>1325084816</v>
      </c>
      <c r="AH954">
        <v>15032458</v>
      </c>
      <c r="AI954">
        <v>95964851</v>
      </c>
      <c r="AJ954">
        <v>189365986</v>
      </c>
      <c r="AK954">
        <v>2.4811092290763158E-11</v>
      </c>
      <c r="AL954">
        <v>0.13341271251523806</v>
      </c>
    </row>
    <row r="955" spans="2:38">
      <c r="B955">
        <v>2.5369978858350864E-2</v>
      </c>
      <c r="C955">
        <v>47.07</v>
      </c>
      <c r="D955">
        <v>47</v>
      </c>
      <c r="E955">
        <v>1.488253428298082E-3</v>
      </c>
      <c r="F955">
        <v>1301674</v>
      </c>
      <c r="G955">
        <v>1517696526</v>
      </c>
      <c r="H955">
        <v>60905326.460000001</v>
      </c>
      <c r="I955">
        <v>6850000</v>
      </c>
      <c r="J955">
        <v>0.19002540145985403</v>
      </c>
      <c r="K955">
        <v>78045.31</v>
      </c>
      <c r="L955">
        <v>0.189</v>
      </c>
      <c r="M955">
        <v>1419399864</v>
      </c>
      <c r="N955">
        <v>1325084816</v>
      </c>
      <c r="O955">
        <v>15032458</v>
      </c>
      <c r="P955">
        <v>95964851</v>
      </c>
      <c r="Q955">
        <v>189365986</v>
      </c>
      <c r="R955">
        <v>2.8278762175376642E-10</v>
      </c>
      <c r="S955">
        <v>0.13341271251523806</v>
      </c>
      <c r="U955">
        <v>3.7750765885957042E-2</v>
      </c>
      <c r="V955">
        <v>49.8</v>
      </c>
      <c r="W955">
        <v>49.79</v>
      </c>
      <c r="X955">
        <f t="shared" si="15"/>
        <v>2.0082337584090791E-4</v>
      </c>
      <c r="Y955">
        <v>2587604</v>
      </c>
      <c r="Z955">
        <v>1517696526</v>
      </c>
      <c r="AA955">
        <v>129276695.84</v>
      </c>
      <c r="AB955">
        <v>6850000</v>
      </c>
      <c r="AC955">
        <v>0.37775240875912408</v>
      </c>
      <c r="AD955">
        <v>78628.81</v>
      </c>
      <c r="AE955">
        <v>0.19489999999999999</v>
      </c>
      <c r="AF955">
        <v>1419399864</v>
      </c>
      <c r="AG955">
        <v>1325084816</v>
      </c>
      <c r="AH955">
        <v>15032458</v>
      </c>
      <c r="AI955">
        <v>95964851</v>
      </c>
      <c r="AJ955">
        <v>189365986</v>
      </c>
      <c r="AK955">
        <v>2.049896892817538E-10</v>
      </c>
      <c r="AL955">
        <v>0.13341271251523806</v>
      </c>
    </row>
    <row r="956" spans="2:38">
      <c r="B956">
        <v>2.6998961578400774E-2</v>
      </c>
      <c r="C956">
        <v>47.69</v>
      </c>
      <c r="D956">
        <v>47.6</v>
      </c>
      <c r="E956">
        <v>1.8889705110713886E-3</v>
      </c>
      <c r="F956">
        <v>1194126</v>
      </c>
      <c r="G956">
        <v>1517696526</v>
      </c>
      <c r="H956">
        <v>56852338.859999999</v>
      </c>
      <c r="I956">
        <v>6850000</v>
      </c>
      <c r="J956">
        <v>0.17432496350364962</v>
      </c>
      <c r="K956">
        <v>78105.98</v>
      </c>
      <c r="L956">
        <v>0.189</v>
      </c>
      <c r="M956">
        <v>1419399864</v>
      </c>
      <c r="N956">
        <v>1325084816</v>
      </c>
      <c r="O956">
        <v>15032458</v>
      </c>
      <c r="P956">
        <v>95964851</v>
      </c>
      <c r="Q956">
        <v>189365986</v>
      </c>
      <c r="R956">
        <v>2.3331051933196096E-10</v>
      </c>
      <c r="S956">
        <v>0.13341271251523806</v>
      </c>
      <c r="U956">
        <v>4.0518482957273151E-2</v>
      </c>
      <c r="V956">
        <v>51.2</v>
      </c>
      <c r="W956">
        <v>51.16</v>
      </c>
      <c r="X956">
        <f t="shared" si="15"/>
        <v>7.8155529503724601E-4</v>
      </c>
      <c r="Y956">
        <v>2913766</v>
      </c>
      <c r="Z956">
        <v>1517696526</v>
      </c>
      <c r="AA956">
        <v>149534471.12</v>
      </c>
      <c r="AB956">
        <v>6850000</v>
      </c>
      <c r="AC956">
        <v>0.425367299270073</v>
      </c>
      <c r="AD956">
        <v>78827.740000000005</v>
      </c>
      <c r="AE956">
        <v>0.19489999999999999</v>
      </c>
      <c r="AF956">
        <v>1419399864</v>
      </c>
      <c r="AG956">
        <v>1325084816</v>
      </c>
      <c r="AH956">
        <v>15032458</v>
      </c>
      <c r="AI956">
        <v>95964851</v>
      </c>
      <c r="AJ956">
        <v>189365986</v>
      </c>
      <c r="AK956">
        <v>4.9153192951078853E-11</v>
      </c>
      <c r="AL956">
        <v>0.13341271251523806</v>
      </c>
    </row>
    <row r="957" spans="2:38">
      <c r="B957">
        <v>1.5295576684580448E-2</v>
      </c>
      <c r="C957">
        <v>48.29</v>
      </c>
      <c r="D957">
        <v>48.1</v>
      </c>
      <c r="E957">
        <v>3.9423176678078167E-3</v>
      </c>
      <c r="F957">
        <v>515099</v>
      </c>
      <c r="G957">
        <v>1517696526</v>
      </c>
      <c r="H957">
        <v>24853526.75</v>
      </c>
      <c r="I957">
        <v>6850000</v>
      </c>
      <c r="J957">
        <v>7.5196934306569346E-2</v>
      </c>
      <c r="K957">
        <v>77877.42</v>
      </c>
      <c r="L957">
        <v>0.189</v>
      </c>
      <c r="M957">
        <v>1419399864</v>
      </c>
      <c r="N957">
        <v>1325084816</v>
      </c>
      <c r="O957">
        <v>15032458</v>
      </c>
      <c r="P957">
        <v>95964851</v>
      </c>
      <c r="Q957">
        <v>189365986</v>
      </c>
      <c r="R957">
        <v>5.1045954148299125E-10</v>
      </c>
      <c r="S957">
        <v>0.13341271251523806</v>
      </c>
      <c r="U957">
        <v>4.4332591230277787E-2</v>
      </c>
      <c r="V957">
        <v>51.68</v>
      </c>
      <c r="W957">
        <v>51.49</v>
      </c>
      <c r="X957">
        <f t="shared" si="15"/>
        <v>3.6832412523019817E-3</v>
      </c>
      <c r="Y957">
        <v>3078466</v>
      </c>
      <c r="Z957">
        <v>1517696526</v>
      </c>
      <c r="AA957">
        <v>159156692.20000002</v>
      </c>
      <c r="AB957">
        <v>6850000</v>
      </c>
      <c r="AC957">
        <v>0.44941109489051095</v>
      </c>
      <c r="AD957">
        <v>78029.509999999995</v>
      </c>
      <c r="AE957">
        <v>0.19489999999999999</v>
      </c>
      <c r="AF957">
        <v>1419399864</v>
      </c>
      <c r="AG957">
        <v>1325084816</v>
      </c>
      <c r="AH957">
        <v>15032458</v>
      </c>
      <c r="AI957">
        <v>95964851</v>
      </c>
      <c r="AJ957">
        <v>189365986</v>
      </c>
      <c r="AK957">
        <v>7.2833650570916846E-12</v>
      </c>
      <c r="AL957">
        <v>0.13341271251523806</v>
      </c>
    </row>
    <row r="958" spans="2:38">
      <c r="B958">
        <v>2.9250457038391322E-2</v>
      </c>
      <c r="C958">
        <v>48.83</v>
      </c>
      <c r="D958">
        <v>48.77</v>
      </c>
      <c r="E958">
        <v>1.2295081967212125E-3</v>
      </c>
      <c r="F958">
        <v>1006447</v>
      </c>
      <c r="G958">
        <v>1517696526</v>
      </c>
      <c r="H958">
        <v>49185064.890000001</v>
      </c>
      <c r="I958">
        <v>6850000</v>
      </c>
      <c r="J958">
        <v>0.14692656934306569</v>
      </c>
      <c r="K958">
        <v>77980.289999999994</v>
      </c>
      <c r="L958">
        <v>0.189</v>
      </c>
      <c r="M958">
        <v>1419399864</v>
      </c>
      <c r="N958">
        <v>1325084816</v>
      </c>
      <c r="O958">
        <v>15032458</v>
      </c>
      <c r="P958">
        <v>95964851</v>
      </c>
      <c r="Q958">
        <v>189365986</v>
      </c>
      <c r="R958">
        <v>1.4047282075064302E-10</v>
      </c>
      <c r="S958">
        <v>0.13341271251523806</v>
      </c>
      <c r="U958">
        <v>6.4393939393939365E-2</v>
      </c>
      <c r="V958">
        <v>52</v>
      </c>
      <c r="W958">
        <v>51.86</v>
      </c>
      <c r="X958">
        <f t="shared" si="15"/>
        <v>2.6959368380512338E-3</v>
      </c>
      <c r="Y958">
        <v>9209700</v>
      </c>
      <c r="Z958">
        <v>1517696526</v>
      </c>
      <c r="AA958">
        <v>476694072</v>
      </c>
      <c r="AB958">
        <v>6850000</v>
      </c>
      <c r="AC958">
        <v>1.3444817518248176</v>
      </c>
      <c r="AD958">
        <v>78469.33</v>
      </c>
      <c r="AE958">
        <v>0.19489999999999999</v>
      </c>
      <c r="AF958">
        <v>1419399864</v>
      </c>
      <c r="AG958">
        <v>1325084816</v>
      </c>
      <c r="AH958">
        <v>15032458</v>
      </c>
      <c r="AI958">
        <v>95964851</v>
      </c>
      <c r="AJ958">
        <v>189365986</v>
      </c>
      <c r="AK958">
        <v>1.5926314591805256E-11</v>
      </c>
      <c r="AL958">
        <v>0.13341271251523806</v>
      </c>
    </row>
    <row r="959" spans="2:38">
      <c r="B959">
        <v>1.8831629037157023E-2</v>
      </c>
      <c r="C959">
        <v>49.25</v>
      </c>
      <c r="D959">
        <v>49.21</v>
      </c>
      <c r="E959">
        <v>8.1251269551085002E-4</v>
      </c>
      <c r="F959">
        <v>1113717</v>
      </c>
      <c r="G959">
        <v>1517696526</v>
      </c>
      <c r="H959">
        <v>54806013.57</v>
      </c>
      <c r="I959">
        <v>6850000</v>
      </c>
      <c r="J959">
        <v>0.16258642335766424</v>
      </c>
      <c r="K959">
        <v>78569.59</v>
      </c>
      <c r="L959">
        <v>0.189</v>
      </c>
      <c r="M959">
        <v>1419399864</v>
      </c>
      <c r="N959">
        <v>1325084816</v>
      </c>
      <c r="O959">
        <v>15032458</v>
      </c>
      <c r="P959">
        <v>95964851</v>
      </c>
      <c r="Q959">
        <v>189365986</v>
      </c>
      <c r="R959">
        <v>4.460258197123251E-11</v>
      </c>
      <c r="S959">
        <v>0.13341271251523806</v>
      </c>
      <c r="U959">
        <v>8.7745839636913792E-2</v>
      </c>
      <c r="V959">
        <v>51.74</v>
      </c>
      <c r="W959">
        <v>51.72</v>
      </c>
      <c r="X959">
        <f t="shared" si="15"/>
        <v>3.8662284941046057E-4</v>
      </c>
      <c r="Y959">
        <v>7668429</v>
      </c>
      <c r="Z959">
        <v>1517696526</v>
      </c>
      <c r="AA959">
        <v>393927197.72999996</v>
      </c>
      <c r="AB959">
        <v>6850000</v>
      </c>
      <c r="AC959">
        <v>1.1194786861313868</v>
      </c>
      <c r="AD959">
        <v>79397.009999999995</v>
      </c>
      <c r="AE959">
        <v>0.19489999999999999</v>
      </c>
      <c r="AF959">
        <v>1419399864</v>
      </c>
      <c r="AG959">
        <v>1325084816</v>
      </c>
      <c r="AH959">
        <v>15032458</v>
      </c>
      <c r="AI959">
        <v>95964851</v>
      </c>
      <c r="AJ959">
        <v>189365986</v>
      </c>
      <c r="AK959">
        <v>2.295517078466228E-10</v>
      </c>
      <c r="AL959">
        <v>0.13341271251523806</v>
      </c>
    </row>
    <row r="960" spans="2:38">
      <c r="B960">
        <v>2.9844685818698584E-2</v>
      </c>
      <c r="C960">
        <v>49.4</v>
      </c>
      <c r="D960">
        <v>49.38</v>
      </c>
      <c r="E960">
        <v>4.049402713099012E-4</v>
      </c>
      <c r="F960">
        <v>1959563</v>
      </c>
      <c r="G960">
        <v>1517696526</v>
      </c>
      <c r="H960">
        <v>96194947.670000002</v>
      </c>
      <c r="I960">
        <v>6850000</v>
      </c>
      <c r="J960">
        <v>0.28606759124087588</v>
      </c>
      <c r="K960">
        <v>77874.22</v>
      </c>
      <c r="L960">
        <v>0.189</v>
      </c>
      <c r="M960">
        <v>1419399864</v>
      </c>
      <c r="N960">
        <v>1325084816</v>
      </c>
      <c r="O960">
        <v>15032458</v>
      </c>
      <c r="P960">
        <v>95964851</v>
      </c>
      <c r="Q960">
        <v>189365986</v>
      </c>
      <c r="R960">
        <v>7.1504939555343653E-11</v>
      </c>
      <c r="S960">
        <v>0.13341271251523806</v>
      </c>
      <c r="U960">
        <v>7.7490391606938741E-2</v>
      </c>
      <c r="V960">
        <v>47.69</v>
      </c>
      <c r="W960">
        <v>47.6</v>
      </c>
      <c r="X960">
        <f t="shared" si="15"/>
        <v>1.8889705110713886E-3</v>
      </c>
      <c r="Y960">
        <v>5806771</v>
      </c>
      <c r="Z960">
        <v>1517696526</v>
      </c>
      <c r="AA960">
        <v>273556981.81</v>
      </c>
      <c r="AB960">
        <v>6850000</v>
      </c>
      <c r="AC960">
        <v>0.84770379562043796</v>
      </c>
      <c r="AD960">
        <v>78987.09</v>
      </c>
      <c r="AE960">
        <v>0.19489999999999999</v>
      </c>
      <c r="AF960">
        <v>1419399864</v>
      </c>
      <c r="AG960">
        <v>1325084816</v>
      </c>
      <c r="AH960">
        <v>15032458</v>
      </c>
      <c r="AI960">
        <v>95964851</v>
      </c>
      <c r="AJ960">
        <v>189365986</v>
      </c>
      <c r="AK960">
        <v>1.2152644667402747E-10</v>
      </c>
      <c r="AL960">
        <v>0.13341271251523806</v>
      </c>
    </row>
    <row r="961" spans="2:38">
      <c r="B961">
        <v>3.3207700926963339E-2</v>
      </c>
      <c r="C961">
        <v>49.35</v>
      </c>
      <c r="D961">
        <v>49.3</v>
      </c>
      <c r="E961">
        <v>1.0136847440446884E-3</v>
      </c>
      <c r="F961">
        <v>1540062</v>
      </c>
      <c r="G961">
        <v>1517696526</v>
      </c>
      <c r="H961">
        <v>76125264.659999996</v>
      </c>
      <c r="I961">
        <v>6850000</v>
      </c>
      <c r="J961">
        <v>0.22482656934306569</v>
      </c>
      <c r="K961">
        <v>77114.490000000005</v>
      </c>
      <c r="L961">
        <v>0.189</v>
      </c>
      <c r="M961">
        <v>1419399864</v>
      </c>
      <c r="N961">
        <v>1325084816</v>
      </c>
      <c r="O961">
        <v>15032458</v>
      </c>
      <c r="P961">
        <v>95964851</v>
      </c>
      <c r="Q961">
        <v>189365986</v>
      </c>
      <c r="R961">
        <v>1.8323375309126895E-10</v>
      </c>
      <c r="S961">
        <v>0.13341271251523806</v>
      </c>
      <c r="U961">
        <v>5.5415617128463476E-2</v>
      </c>
      <c r="V961">
        <v>48.99</v>
      </c>
      <c r="W961">
        <v>48.82</v>
      </c>
      <c r="X961">
        <f t="shared" si="15"/>
        <v>3.4761271853594052E-3</v>
      </c>
      <c r="Y961">
        <v>3079065</v>
      </c>
      <c r="Z961">
        <v>1517696526</v>
      </c>
      <c r="AA961">
        <v>150042837.44999999</v>
      </c>
      <c r="AB961">
        <v>6850000</v>
      </c>
      <c r="AC961">
        <v>0.44949854014598539</v>
      </c>
      <c r="AD961">
        <v>78539.19</v>
      </c>
      <c r="AE961">
        <v>0.19489999999999999</v>
      </c>
      <c r="AF961">
        <v>1419399864</v>
      </c>
      <c r="AG961">
        <v>1325084816</v>
      </c>
      <c r="AH961">
        <v>15032458</v>
      </c>
      <c r="AI961">
        <v>95964851</v>
      </c>
      <c r="AJ961">
        <v>189365986</v>
      </c>
      <c r="AK961">
        <v>0</v>
      </c>
      <c r="AL961">
        <v>0.13341271251523806</v>
      </c>
    </row>
    <row r="962" spans="2:38">
      <c r="B962">
        <v>2.2265345725666498E-2</v>
      </c>
      <c r="C962">
        <v>48.5</v>
      </c>
      <c r="D962">
        <v>48.49</v>
      </c>
      <c r="E962">
        <v>2.0620682544588123E-4</v>
      </c>
      <c r="F962">
        <v>1275716</v>
      </c>
      <c r="G962">
        <v>1517696526</v>
      </c>
      <c r="H962">
        <v>62191155</v>
      </c>
      <c r="I962">
        <v>6850000</v>
      </c>
      <c r="J962">
        <v>0.18623591240875911</v>
      </c>
      <c r="K962">
        <v>77191.34</v>
      </c>
      <c r="L962">
        <v>0.19489999999999999</v>
      </c>
      <c r="M962">
        <v>1419399864</v>
      </c>
      <c r="N962">
        <v>1325084816</v>
      </c>
      <c r="O962">
        <v>15032458</v>
      </c>
      <c r="P962">
        <v>95964851</v>
      </c>
      <c r="Q962">
        <v>189365986</v>
      </c>
      <c r="R962">
        <v>3.9483012788575773E-11</v>
      </c>
      <c r="S962">
        <v>0.13341271251523806</v>
      </c>
      <c r="U962">
        <v>5.50964187327812E-3</v>
      </c>
      <c r="V962">
        <v>18.14</v>
      </c>
      <c r="W962">
        <v>18.13</v>
      </c>
      <c r="X962">
        <f t="shared" si="15"/>
        <v>5.5141990625870224E-4</v>
      </c>
      <c r="Y962">
        <v>583298</v>
      </c>
      <c r="Z962">
        <v>251250000</v>
      </c>
      <c r="AA962">
        <v>10586858.699999999</v>
      </c>
      <c r="AB962">
        <v>125625000</v>
      </c>
      <c r="AC962">
        <v>4.6431681592039803E-3</v>
      </c>
      <c r="AD962">
        <v>82074.45</v>
      </c>
      <c r="AE962">
        <v>0.1741</v>
      </c>
      <c r="AF962">
        <v>6637990</v>
      </c>
      <c r="AG962">
        <v>4185060</v>
      </c>
      <c r="AH962">
        <v>1075910</v>
      </c>
      <c r="AI962">
        <v>81270</v>
      </c>
      <c r="AJ962">
        <v>2685940</v>
      </c>
      <c r="AK962">
        <v>5.2070961918776441E-11</v>
      </c>
      <c r="AL962">
        <v>0.40463152249400797</v>
      </c>
    </row>
    <row r="963" spans="2:38">
      <c r="B963">
        <v>4.4014808720691086E-2</v>
      </c>
      <c r="C963">
        <v>48.65</v>
      </c>
      <c r="D963">
        <v>48.64</v>
      </c>
      <c r="E963">
        <v>2.0557097337851806E-4</v>
      </c>
      <c r="F963">
        <v>2325807</v>
      </c>
      <c r="G963">
        <v>1517696526</v>
      </c>
      <c r="H963">
        <v>113662188.08999999</v>
      </c>
      <c r="I963">
        <v>6850000</v>
      </c>
      <c r="J963">
        <v>0.33953386861313867</v>
      </c>
      <c r="K963">
        <v>77084.490000000005</v>
      </c>
      <c r="L963">
        <v>0.19489999999999999</v>
      </c>
      <c r="M963">
        <v>1419399864</v>
      </c>
      <c r="N963">
        <v>1325084816</v>
      </c>
      <c r="O963">
        <v>15032458</v>
      </c>
      <c r="P963">
        <v>95964851</v>
      </c>
      <c r="Q963">
        <v>189365986</v>
      </c>
      <c r="R963">
        <v>6.4336384707001429E-11</v>
      </c>
      <c r="S963">
        <v>0.13341271251523806</v>
      </c>
      <c r="U963">
        <v>6.0756697045014872E-3</v>
      </c>
      <c r="V963">
        <v>18.149999999999999</v>
      </c>
      <c r="W963">
        <v>18.14</v>
      </c>
      <c r="X963">
        <f t="shared" si="15"/>
        <v>5.5111600991997851E-4</v>
      </c>
      <c r="Y963">
        <v>338918</v>
      </c>
      <c r="Z963">
        <v>251250000</v>
      </c>
      <c r="AA963">
        <v>6147972.5200000005</v>
      </c>
      <c r="AB963">
        <v>125625000</v>
      </c>
      <c r="AC963">
        <v>2.6978547263681592E-3</v>
      </c>
      <c r="AD963">
        <v>81459.289999999994</v>
      </c>
      <c r="AE963">
        <v>0.1741</v>
      </c>
      <c r="AF963">
        <v>6637990</v>
      </c>
      <c r="AG963">
        <v>4185060.0000000005</v>
      </c>
      <c r="AH963">
        <v>1075910</v>
      </c>
      <c r="AI963">
        <v>81270</v>
      </c>
      <c r="AJ963">
        <v>2685940</v>
      </c>
      <c r="AK963">
        <v>0</v>
      </c>
      <c r="AL963">
        <v>0.40463152249400797</v>
      </c>
    </row>
    <row r="964" spans="2:38">
      <c r="B964">
        <v>2.7970620786799488E-2</v>
      </c>
      <c r="C964">
        <v>49.37</v>
      </c>
      <c r="D964">
        <v>49.25</v>
      </c>
      <c r="E964">
        <v>2.4335834516324771E-3</v>
      </c>
      <c r="F964">
        <v>1713702</v>
      </c>
      <c r="G964">
        <v>1517696526</v>
      </c>
      <c r="H964">
        <v>84365549.459999993</v>
      </c>
      <c r="I964">
        <v>6850000</v>
      </c>
      <c r="J964">
        <v>0.25017547445255472</v>
      </c>
      <c r="K964">
        <v>78225.98</v>
      </c>
      <c r="L964">
        <v>0.19489999999999999</v>
      </c>
      <c r="M964">
        <v>1419399864</v>
      </c>
      <c r="N964">
        <v>1325084816</v>
      </c>
      <c r="O964">
        <v>15032458</v>
      </c>
      <c r="P964">
        <v>95964851</v>
      </c>
      <c r="Q964">
        <v>189365986</v>
      </c>
      <c r="R964">
        <v>8.7316239291450247E-11</v>
      </c>
      <c r="S964">
        <v>0.13341271251523806</v>
      </c>
      <c r="U964">
        <v>2.7586206896550156E-3</v>
      </c>
      <c r="V964">
        <v>18.14</v>
      </c>
      <c r="W964">
        <v>18.12</v>
      </c>
      <c r="X964">
        <f t="shared" si="15"/>
        <v>1.1031439602867937E-3</v>
      </c>
      <c r="Y964">
        <v>619798</v>
      </c>
      <c r="Z964">
        <v>251250000</v>
      </c>
      <c r="AA964">
        <v>11243135.720000001</v>
      </c>
      <c r="AB964">
        <v>125625000</v>
      </c>
      <c r="AC964">
        <v>4.933715422885572E-3</v>
      </c>
      <c r="AD964">
        <v>80461.34</v>
      </c>
      <c r="AE964">
        <v>0.1741</v>
      </c>
      <c r="AF964">
        <v>6637990</v>
      </c>
      <c r="AG964">
        <v>4185060.0000000005</v>
      </c>
      <c r="AH964">
        <v>1075910</v>
      </c>
      <c r="AI964">
        <v>81270</v>
      </c>
      <c r="AJ964">
        <v>2685940</v>
      </c>
      <c r="AK964">
        <v>2.458351528143453E-10</v>
      </c>
      <c r="AL964">
        <v>0.40463152249400797</v>
      </c>
    </row>
    <row r="965" spans="2:38">
      <c r="B965">
        <v>4.3194374686087361E-2</v>
      </c>
      <c r="C965">
        <v>48.75</v>
      </c>
      <c r="D965">
        <v>48.73</v>
      </c>
      <c r="E965">
        <v>4.1034058268369158E-4</v>
      </c>
      <c r="F965">
        <v>1850813</v>
      </c>
      <c r="G965">
        <v>1517696526</v>
      </c>
      <c r="H965">
        <v>90449231.310000002</v>
      </c>
      <c r="I965">
        <v>6850000</v>
      </c>
      <c r="J965">
        <v>0.27019167883211681</v>
      </c>
      <c r="K965">
        <v>77740.31</v>
      </c>
      <c r="L965">
        <v>0.19489999999999999</v>
      </c>
      <c r="M965">
        <v>1419399864</v>
      </c>
      <c r="N965">
        <v>1325084816</v>
      </c>
      <c r="O965">
        <v>15032458</v>
      </c>
      <c r="P965">
        <v>95964851</v>
      </c>
      <c r="Q965">
        <v>189365986</v>
      </c>
      <c r="R965">
        <v>2.2169492500948857E-10</v>
      </c>
      <c r="S965">
        <v>0.13341271251523806</v>
      </c>
      <c r="U965">
        <v>4.9847687621157495E-3</v>
      </c>
      <c r="V965">
        <v>18.09</v>
      </c>
      <c r="W965">
        <v>18.05</v>
      </c>
      <c r="X965">
        <f t="shared" si="15"/>
        <v>2.2136137244050439E-3</v>
      </c>
      <c r="Y965">
        <v>201372</v>
      </c>
      <c r="Z965">
        <v>251250000</v>
      </c>
      <c r="AA965">
        <v>3642819.48</v>
      </c>
      <c r="AB965">
        <v>125625000</v>
      </c>
      <c r="AC965">
        <v>1.6029611940298507E-3</v>
      </c>
      <c r="AD965">
        <v>79491.14</v>
      </c>
      <c r="AE965">
        <v>0.1741</v>
      </c>
      <c r="AF965">
        <v>6637990</v>
      </c>
      <c r="AG965">
        <v>4185060.0000000005</v>
      </c>
      <c r="AH965">
        <v>1075910</v>
      </c>
      <c r="AI965">
        <v>81270</v>
      </c>
      <c r="AJ965">
        <v>2685940</v>
      </c>
      <c r="AK965">
        <v>4.5600106654375732E-10</v>
      </c>
      <c r="AL965">
        <v>0.40463152249400797</v>
      </c>
    </row>
    <row r="966" spans="2:38">
      <c r="B966">
        <v>3.3287101248266289E-2</v>
      </c>
      <c r="C966">
        <v>50.18</v>
      </c>
      <c r="D966">
        <v>50.05</v>
      </c>
      <c r="E966">
        <v>2.5940337224384432E-3</v>
      </c>
      <c r="F966">
        <v>1455911</v>
      </c>
      <c r="G966">
        <v>1517696526</v>
      </c>
      <c r="H966">
        <v>72606281.569999993</v>
      </c>
      <c r="I966">
        <v>6850000</v>
      </c>
      <c r="J966">
        <v>0.21254175182481752</v>
      </c>
      <c r="K966">
        <v>77886.990000000005</v>
      </c>
      <c r="L966">
        <v>0.19489999999999999</v>
      </c>
      <c r="M966">
        <v>1419399864</v>
      </c>
      <c r="N966">
        <v>1325084816</v>
      </c>
      <c r="O966">
        <v>15032458</v>
      </c>
      <c r="P966">
        <v>95964851</v>
      </c>
      <c r="Q966">
        <v>189365986</v>
      </c>
      <c r="R966">
        <v>2.4811092290763158E-11</v>
      </c>
      <c r="S966">
        <v>0.13341271251523806</v>
      </c>
      <c r="U966">
        <v>2.6301369863013527E-2</v>
      </c>
      <c r="V966">
        <v>18.09</v>
      </c>
      <c r="W966">
        <v>18.05</v>
      </c>
      <c r="X966">
        <f t="shared" si="15"/>
        <v>2.2136137244050439E-3</v>
      </c>
      <c r="Y966">
        <v>1172044</v>
      </c>
      <c r="Z966">
        <v>251250000</v>
      </c>
      <c r="AA966">
        <v>21167114.639999997</v>
      </c>
      <c r="AB966">
        <v>125625000</v>
      </c>
      <c r="AC966">
        <v>9.329703482587064E-3</v>
      </c>
      <c r="AD966">
        <v>79333.06</v>
      </c>
      <c r="AE966">
        <v>0.1741</v>
      </c>
      <c r="AF966">
        <v>6637990</v>
      </c>
      <c r="AG966">
        <v>4185060.0000000005</v>
      </c>
      <c r="AH966">
        <v>1075910</v>
      </c>
      <c r="AI966">
        <v>81270</v>
      </c>
      <c r="AJ966">
        <v>2685940</v>
      </c>
      <c r="AK966">
        <v>2.6304618391352613E-10</v>
      </c>
      <c r="AL966">
        <v>0.40463152249400797</v>
      </c>
    </row>
    <row r="967" spans="2:38">
      <c r="B967">
        <v>3.7750765885957042E-2</v>
      </c>
      <c r="C967">
        <v>49.8</v>
      </c>
      <c r="D967">
        <v>49.79</v>
      </c>
      <c r="E967">
        <v>2.0082337584090791E-4</v>
      </c>
      <c r="F967">
        <v>2587604</v>
      </c>
      <c r="G967">
        <v>1517696526</v>
      </c>
      <c r="H967">
        <v>129276695.84</v>
      </c>
      <c r="I967">
        <v>6850000</v>
      </c>
      <c r="J967">
        <v>0.37775240875912408</v>
      </c>
      <c r="K967">
        <v>78628.81</v>
      </c>
      <c r="L967">
        <v>0.19489999999999999</v>
      </c>
      <c r="M967">
        <v>1419399864</v>
      </c>
      <c r="N967">
        <v>1325084816</v>
      </c>
      <c r="O967">
        <v>15032458</v>
      </c>
      <c r="P967">
        <v>95964851</v>
      </c>
      <c r="Q967">
        <v>189365986</v>
      </c>
      <c r="R967">
        <v>2.049896892817538E-10</v>
      </c>
      <c r="S967">
        <v>0.13341271251523806</v>
      </c>
      <c r="U967">
        <v>3.3707865168539401E-2</v>
      </c>
      <c r="V967">
        <v>18</v>
      </c>
      <c r="W967">
        <v>17.95</v>
      </c>
      <c r="X967">
        <f t="shared" si="15"/>
        <v>2.78164116828933E-3</v>
      </c>
      <c r="Y967">
        <v>228190</v>
      </c>
      <c r="Z967">
        <v>251250000</v>
      </c>
      <c r="AA967">
        <v>4098292.4000000004</v>
      </c>
      <c r="AB967">
        <v>125625000</v>
      </c>
      <c r="AC967">
        <v>1.8164378109452736E-3</v>
      </c>
      <c r="AD967">
        <v>79017.62</v>
      </c>
      <c r="AE967">
        <v>0.1741</v>
      </c>
      <c r="AF967">
        <v>6637990</v>
      </c>
      <c r="AG967">
        <v>4185060.0000000005</v>
      </c>
      <c r="AH967">
        <v>1075910</v>
      </c>
      <c r="AI967">
        <v>81270</v>
      </c>
      <c r="AJ967">
        <v>2685940</v>
      </c>
      <c r="AK967">
        <v>1.3593541155505142E-10</v>
      </c>
      <c r="AL967">
        <v>0.40463152249400797</v>
      </c>
    </row>
    <row r="968" spans="2:38">
      <c r="B968">
        <v>4.0518482957273151E-2</v>
      </c>
      <c r="C968">
        <v>51.2</v>
      </c>
      <c r="D968">
        <v>51.16</v>
      </c>
      <c r="E968">
        <v>7.8155529503724601E-4</v>
      </c>
      <c r="F968">
        <v>2913766</v>
      </c>
      <c r="G968">
        <v>1517696526</v>
      </c>
      <c r="H968">
        <v>149534471.12</v>
      </c>
      <c r="I968">
        <v>6850000</v>
      </c>
      <c r="J968">
        <v>0.425367299270073</v>
      </c>
      <c r="K968">
        <v>78827.740000000005</v>
      </c>
      <c r="L968">
        <v>0.19489999999999999</v>
      </c>
      <c r="M968">
        <v>1419399864</v>
      </c>
      <c r="N968">
        <v>1325084816</v>
      </c>
      <c r="O968">
        <v>15032458</v>
      </c>
      <c r="P968">
        <v>95964851</v>
      </c>
      <c r="Q968">
        <v>189365986</v>
      </c>
      <c r="R968">
        <v>4.9153192951078853E-11</v>
      </c>
      <c r="S968">
        <v>0.13341271251523806</v>
      </c>
      <c r="U968">
        <v>8.9186176142697967E-3</v>
      </c>
      <c r="V968">
        <v>17.93</v>
      </c>
      <c r="W968">
        <v>17.920000000000002</v>
      </c>
      <c r="X968">
        <f t="shared" si="15"/>
        <v>5.5788005578789456E-4</v>
      </c>
      <c r="Y968">
        <v>169481</v>
      </c>
      <c r="Z968">
        <v>251250000</v>
      </c>
      <c r="AA968">
        <v>3042183.9499999997</v>
      </c>
      <c r="AB968">
        <v>125625000</v>
      </c>
      <c r="AC968">
        <v>1.349102487562189E-3</v>
      </c>
      <c r="AD968">
        <v>78651.8</v>
      </c>
      <c r="AE968">
        <v>0.1741</v>
      </c>
      <c r="AF968">
        <v>6637990</v>
      </c>
      <c r="AG968">
        <v>4185060.0000000005</v>
      </c>
      <c r="AH968">
        <v>1075910</v>
      </c>
      <c r="AI968">
        <v>81270</v>
      </c>
      <c r="AJ968">
        <v>2685940</v>
      </c>
      <c r="AK968">
        <v>3.6584443045770233E-10</v>
      </c>
      <c r="AL968">
        <v>0.40463152249400797</v>
      </c>
    </row>
    <row r="969" spans="2:38">
      <c r="B969">
        <v>4.4332591230277787E-2</v>
      </c>
      <c r="C969">
        <v>51.68</v>
      </c>
      <c r="D969">
        <v>51.49</v>
      </c>
      <c r="E969">
        <v>3.6832412523019817E-3</v>
      </c>
      <c r="F969">
        <v>3078466</v>
      </c>
      <c r="G969">
        <v>1517696526</v>
      </c>
      <c r="H969">
        <v>159156692.20000002</v>
      </c>
      <c r="I969">
        <v>6850000</v>
      </c>
      <c r="J969">
        <v>0.44941109489051095</v>
      </c>
      <c r="K969">
        <v>78029.509999999995</v>
      </c>
      <c r="L969">
        <v>0.19489999999999999</v>
      </c>
      <c r="M969">
        <v>1419399864</v>
      </c>
      <c r="N969">
        <v>1325084816</v>
      </c>
      <c r="O969">
        <v>15032458</v>
      </c>
      <c r="P969">
        <v>95964851</v>
      </c>
      <c r="Q969">
        <v>189365986</v>
      </c>
      <c r="R969">
        <v>7.2833650570916846E-12</v>
      </c>
      <c r="S969">
        <v>0.13341271251523806</v>
      </c>
      <c r="U969">
        <v>5.5710306406686035E-3</v>
      </c>
      <c r="V969">
        <v>17.95</v>
      </c>
      <c r="W969">
        <v>17.940000000000001</v>
      </c>
      <c r="X969">
        <f t="shared" si="15"/>
        <v>5.5725828921694123E-4</v>
      </c>
      <c r="Y969">
        <v>149001</v>
      </c>
      <c r="Z969">
        <v>251250000</v>
      </c>
      <c r="AA969">
        <v>2677547.9699999997</v>
      </c>
      <c r="AB969">
        <v>125625000</v>
      </c>
      <c r="AC969">
        <v>1.1860776119402986E-3</v>
      </c>
      <c r="AD969">
        <v>79286.740000000005</v>
      </c>
      <c r="AE969">
        <v>0.1741</v>
      </c>
      <c r="AF969">
        <v>6637990</v>
      </c>
      <c r="AG969">
        <v>4185060.0000000005</v>
      </c>
      <c r="AH969">
        <v>1075910</v>
      </c>
      <c r="AI969">
        <v>81270</v>
      </c>
      <c r="AJ969">
        <v>2685940</v>
      </c>
      <c r="AK969">
        <v>0</v>
      </c>
      <c r="AL969">
        <v>0.40463152249400797</v>
      </c>
    </row>
    <row r="970" spans="2:38">
      <c r="B970">
        <v>6.4393939393939365E-2</v>
      </c>
      <c r="C970">
        <v>52</v>
      </c>
      <c r="D970">
        <v>51.86</v>
      </c>
      <c r="E970">
        <v>2.6959368380512338E-3</v>
      </c>
      <c r="F970">
        <v>9209700</v>
      </c>
      <c r="G970">
        <v>1517696526</v>
      </c>
      <c r="H970">
        <v>476694072</v>
      </c>
      <c r="I970">
        <v>6850000</v>
      </c>
      <c r="J970">
        <v>1.3444817518248176</v>
      </c>
      <c r="K970">
        <v>78469.33</v>
      </c>
      <c r="L970">
        <v>0.19489999999999999</v>
      </c>
      <c r="M970">
        <v>1419399864</v>
      </c>
      <c r="N970">
        <v>1325084816</v>
      </c>
      <c r="O970">
        <v>15032458</v>
      </c>
      <c r="P970">
        <v>95964851</v>
      </c>
      <c r="Q970">
        <v>189365986</v>
      </c>
      <c r="R970">
        <v>1.5926314591805256E-11</v>
      </c>
      <c r="S970">
        <v>0.13341271251523806</v>
      </c>
      <c r="U970">
        <v>6.1264271790589251E-3</v>
      </c>
      <c r="V970">
        <v>17.98</v>
      </c>
      <c r="W970">
        <v>17.96</v>
      </c>
      <c r="X970">
        <f t="shared" si="15"/>
        <v>1.1129660545353131E-3</v>
      </c>
      <c r="Y970">
        <v>98340</v>
      </c>
      <c r="Z970">
        <v>251250000</v>
      </c>
      <c r="AA970">
        <v>1767169.7999999998</v>
      </c>
      <c r="AB970">
        <v>125625000</v>
      </c>
      <c r="AC970">
        <v>7.8280597014925371E-4</v>
      </c>
      <c r="AD970">
        <v>78615</v>
      </c>
      <c r="AE970">
        <v>0.1741</v>
      </c>
      <c r="AF970">
        <v>6637990</v>
      </c>
      <c r="AG970">
        <v>4185060.0000000005</v>
      </c>
      <c r="AH970">
        <v>1075910</v>
      </c>
      <c r="AI970">
        <v>81270</v>
      </c>
      <c r="AJ970">
        <v>2685940</v>
      </c>
      <c r="AK970">
        <v>3.1472557200798856E-10</v>
      </c>
      <c r="AL970">
        <v>0.40463152249400797</v>
      </c>
    </row>
    <row r="971" spans="2:38">
      <c r="B971">
        <v>8.7745839636913792E-2</v>
      </c>
      <c r="C971">
        <v>51.74</v>
      </c>
      <c r="D971">
        <v>51.72</v>
      </c>
      <c r="E971">
        <v>3.8662284941046057E-4</v>
      </c>
      <c r="F971">
        <v>7668429</v>
      </c>
      <c r="G971">
        <v>1517696526</v>
      </c>
      <c r="H971">
        <v>393927197.72999996</v>
      </c>
      <c r="I971">
        <v>6850000</v>
      </c>
      <c r="J971">
        <v>1.1194786861313868</v>
      </c>
      <c r="K971">
        <v>79397.009999999995</v>
      </c>
      <c r="L971">
        <v>0.19489999999999999</v>
      </c>
      <c r="M971">
        <v>1419399864</v>
      </c>
      <c r="N971">
        <v>1325084816</v>
      </c>
      <c r="O971">
        <v>15032458</v>
      </c>
      <c r="P971">
        <v>95964851</v>
      </c>
      <c r="Q971">
        <v>189365986</v>
      </c>
      <c r="R971">
        <v>2.295517078466228E-10</v>
      </c>
      <c r="S971">
        <v>0.13341271251523806</v>
      </c>
      <c r="U971">
        <v>1.1111111111111269E-2</v>
      </c>
      <c r="V971">
        <v>18</v>
      </c>
      <c r="W971">
        <v>17.97</v>
      </c>
      <c r="X971">
        <f t="shared" si="15"/>
        <v>1.6680567139283368E-3</v>
      </c>
      <c r="Y971">
        <v>62975</v>
      </c>
      <c r="Z971">
        <v>251250000</v>
      </c>
      <c r="AA971">
        <v>1132290.5</v>
      </c>
      <c r="AB971">
        <v>125625000</v>
      </c>
      <c r="AC971">
        <v>5.0129353233830851E-4</v>
      </c>
      <c r="AD971">
        <v>78897.73</v>
      </c>
      <c r="AE971">
        <v>0.1741</v>
      </c>
      <c r="AF971">
        <v>6637990</v>
      </c>
      <c r="AG971">
        <v>4185060.0000000005</v>
      </c>
      <c r="AH971">
        <v>1075910</v>
      </c>
      <c r="AI971">
        <v>81270</v>
      </c>
      <c r="AJ971">
        <v>2685940</v>
      </c>
      <c r="AK971">
        <v>9.8129509265606967E-10</v>
      </c>
      <c r="AL971">
        <v>0.40463152249400797</v>
      </c>
    </row>
    <row r="972" spans="2:38">
      <c r="B972">
        <v>7.7490391606938741E-2</v>
      </c>
      <c r="C972">
        <v>47.69</v>
      </c>
      <c r="D972">
        <v>47.6</v>
      </c>
      <c r="E972">
        <v>1.8889705110713886E-3</v>
      </c>
      <c r="F972">
        <v>5806771</v>
      </c>
      <c r="G972">
        <v>1517696526</v>
      </c>
      <c r="H972">
        <v>273556981.81</v>
      </c>
      <c r="I972">
        <v>6850000</v>
      </c>
      <c r="J972">
        <v>0.84770379562043796</v>
      </c>
      <c r="K972">
        <v>78987.09</v>
      </c>
      <c r="L972">
        <v>0.19489999999999999</v>
      </c>
      <c r="M972">
        <v>1419399864</v>
      </c>
      <c r="N972">
        <v>1325084816</v>
      </c>
      <c r="O972">
        <v>15032458</v>
      </c>
      <c r="P972">
        <v>95964851</v>
      </c>
      <c r="Q972">
        <v>189365986</v>
      </c>
      <c r="R972">
        <v>1.2152644667402747E-10</v>
      </c>
      <c r="S972">
        <v>0.13341271251523806</v>
      </c>
      <c r="U972">
        <v>1.4500836586726046E-2</v>
      </c>
      <c r="V972">
        <v>18</v>
      </c>
      <c r="W972">
        <v>17.98</v>
      </c>
      <c r="X972">
        <f t="shared" si="15"/>
        <v>1.1117287381878583E-3</v>
      </c>
      <c r="Y972">
        <v>679221</v>
      </c>
      <c r="Z972">
        <v>251250000</v>
      </c>
      <c r="AA972">
        <v>12225978</v>
      </c>
      <c r="AB972">
        <v>125625000</v>
      </c>
      <c r="AC972">
        <v>5.4067343283582085E-3</v>
      </c>
      <c r="AD972">
        <v>78863.34</v>
      </c>
      <c r="AE972">
        <v>0.1741</v>
      </c>
      <c r="AF972">
        <v>6637990</v>
      </c>
      <c r="AG972">
        <v>4185060.0000000005</v>
      </c>
      <c r="AH972">
        <v>1075910</v>
      </c>
      <c r="AI972">
        <v>81270</v>
      </c>
      <c r="AJ972">
        <v>2685940</v>
      </c>
      <c r="AK972">
        <v>5.0291980052579032E-10</v>
      </c>
      <c r="AL972">
        <v>0.40463152249400797</v>
      </c>
    </row>
    <row r="973" spans="2:38">
      <c r="B973">
        <v>5.5415617128463476E-2</v>
      </c>
      <c r="C973">
        <v>48.99</v>
      </c>
      <c r="D973">
        <v>48.82</v>
      </c>
      <c r="E973">
        <v>3.4761271853594052E-3</v>
      </c>
      <c r="F973">
        <v>3079065</v>
      </c>
      <c r="G973">
        <v>1517696526</v>
      </c>
      <c r="H973">
        <v>150042837.44999999</v>
      </c>
      <c r="I973">
        <v>6850000</v>
      </c>
      <c r="J973">
        <v>0.44949854014598539</v>
      </c>
      <c r="K973">
        <v>78539.19</v>
      </c>
      <c r="L973">
        <v>0.19489999999999999</v>
      </c>
      <c r="M973">
        <v>1419399864</v>
      </c>
      <c r="N973">
        <v>1325084816</v>
      </c>
      <c r="O973">
        <v>15032458</v>
      </c>
      <c r="P973">
        <v>95964851</v>
      </c>
      <c r="Q973">
        <v>189365986</v>
      </c>
      <c r="R973">
        <v>0</v>
      </c>
      <c r="S973">
        <v>0.13341271251523806</v>
      </c>
      <c r="U973">
        <v>2.1793797150041944E-2</v>
      </c>
      <c r="V973">
        <v>17.899999999999999</v>
      </c>
      <c r="W973">
        <v>17.809999999999999</v>
      </c>
      <c r="X973">
        <f t="shared" si="15"/>
        <v>5.040604872584703E-3</v>
      </c>
      <c r="Y973">
        <v>598912</v>
      </c>
      <c r="Z973">
        <v>251250000</v>
      </c>
      <c r="AA973">
        <v>10714535.68</v>
      </c>
      <c r="AB973">
        <v>125625000</v>
      </c>
      <c r="AC973">
        <v>4.7674587064676617E-3</v>
      </c>
      <c r="AD973">
        <v>78848.009999999995</v>
      </c>
      <c r="AE973">
        <v>0.1741</v>
      </c>
      <c r="AF973">
        <v>6637990</v>
      </c>
      <c r="AG973">
        <v>4185060.0000000005</v>
      </c>
      <c r="AH973">
        <v>1075910</v>
      </c>
      <c r="AI973">
        <v>81270</v>
      </c>
      <c r="AJ973">
        <v>2685940</v>
      </c>
      <c r="AK973">
        <v>5.8209683190238929E-9</v>
      </c>
      <c r="AL973">
        <v>0.40463152249400797</v>
      </c>
    </row>
    <row r="974" spans="2:38">
      <c r="B974">
        <v>0</v>
      </c>
      <c r="C974">
        <v>0</v>
      </c>
      <c r="D974">
        <v>0</v>
      </c>
      <c r="E974">
        <v>0</v>
      </c>
      <c r="F974">
        <v>0</v>
      </c>
      <c r="G974">
        <v>0</v>
      </c>
      <c r="H974">
        <v>0</v>
      </c>
      <c r="I974">
        <v>0</v>
      </c>
      <c r="J974">
        <v>0</v>
      </c>
      <c r="K974">
        <v>0</v>
      </c>
      <c r="L974">
        <v>0</v>
      </c>
      <c r="M974">
        <v>0</v>
      </c>
      <c r="N974">
        <v>0</v>
      </c>
      <c r="O974">
        <v>0</v>
      </c>
      <c r="P974">
        <v>0</v>
      </c>
      <c r="Q974">
        <v>0</v>
      </c>
      <c r="R974">
        <v>0</v>
      </c>
      <c r="S974">
        <v>0</v>
      </c>
      <c r="U974">
        <v>1.825293350717087E-2</v>
      </c>
      <c r="V974">
        <v>19.2</v>
      </c>
      <c r="W974">
        <v>19.190000000000001</v>
      </c>
      <c r="X974">
        <f t="shared" si="15"/>
        <v>5.2096900234425687E-4</v>
      </c>
      <c r="Y974">
        <v>308525</v>
      </c>
      <c r="Z974">
        <v>251250000</v>
      </c>
      <c r="AA974">
        <v>5886656.9999999991</v>
      </c>
      <c r="AB974">
        <v>125625000</v>
      </c>
      <c r="AC974">
        <v>2.4559203980099504E-3</v>
      </c>
      <c r="AD974">
        <v>78356.320000000007</v>
      </c>
      <c r="AE974">
        <v>0.17469999999999999</v>
      </c>
      <c r="AF974">
        <v>6637990</v>
      </c>
      <c r="AG974">
        <v>4185060.0000000005</v>
      </c>
      <c r="AH974">
        <v>1075910</v>
      </c>
      <c r="AI974">
        <v>81270</v>
      </c>
      <c r="AJ974">
        <v>2685940</v>
      </c>
      <c r="AK974">
        <v>1.6749550437372095E-9</v>
      </c>
      <c r="AL974">
        <v>0.40463152249400797</v>
      </c>
    </row>
    <row r="975" spans="2:38">
      <c r="B975" t="str">
        <v>Relative high-low price</v>
      </c>
      <c r="C975" t="str">
        <v>Ask price</v>
      </c>
      <c r="D975" t="str">
        <v xml:space="preserve">Bid price </v>
      </c>
      <c r="E975" t="str">
        <v xml:space="preserve">Relative Bid-Ask Spread </v>
      </c>
      <c r="F975" t="str">
        <v>daily trading volume</v>
      </c>
      <c r="G975" t="str">
        <v xml:space="preserve">Common shares outstanding </v>
      </c>
      <c r="H975" t="str">
        <v xml:space="preserve">Trading value </v>
      </c>
      <c r="I975" t="str">
        <v xml:space="preserve">free float shares </v>
      </c>
      <c r="J975" t="str">
        <v>Turnover</v>
      </c>
      <c r="K975" t="str">
        <v>Daily kse-100 index</v>
      </c>
      <c r="L975" t="str">
        <v xml:space="preserve">Risk free rate </v>
      </c>
      <c r="M975" t="str">
        <v xml:space="preserve">Total assets </v>
      </c>
      <c r="N975" t="str">
        <v xml:space="preserve">total liabilities </v>
      </c>
      <c r="O975" t="str">
        <v>EBITDA</v>
      </c>
      <c r="P975" t="str">
        <v xml:space="preserve">Cash and equivalents </v>
      </c>
      <c r="Q975" t="str">
        <v xml:space="preserve">total debt </v>
      </c>
      <c r="R975" t="str">
        <v>Amihud illiquidity ratio</v>
      </c>
      <c r="S975" t="str">
        <v>Leverage ratio</v>
      </c>
      <c r="U975">
        <v>6.2305295950156282E-3</v>
      </c>
      <c r="V975">
        <v>19.27</v>
      </c>
      <c r="W975">
        <v>19.22</v>
      </c>
      <c r="X975">
        <f t="shared" si="15"/>
        <v>2.5980774227072341E-3</v>
      </c>
      <c r="Y975">
        <v>299839</v>
      </c>
      <c r="Z975">
        <v>251250000</v>
      </c>
      <c r="AA975">
        <v>5777897.5300000003</v>
      </c>
      <c r="AB975">
        <v>125625000</v>
      </c>
      <c r="AC975">
        <v>2.3867781094527364E-3</v>
      </c>
      <c r="AD975">
        <v>78283.3</v>
      </c>
      <c r="AE975">
        <v>0.17469999999999999</v>
      </c>
      <c r="AF975">
        <v>6637990</v>
      </c>
      <c r="AG975">
        <v>4185060.0000000005</v>
      </c>
      <c r="AH975">
        <v>1075910</v>
      </c>
      <c r="AI975">
        <v>81270</v>
      </c>
      <c r="AJ975">
        <v>2685940</v>
      </c>
      <c r="AK975">
        <v>4.5024280931075888E-10</v>
      </c>
      <c r="AL975">
        <v>0.40463152249400797</v>
      </c>
    </row>
    <row r="976" spans="2:38">
      <c r="B976">
        <v>5.50964187327812E-3</v>
      </c>
      <c r="C976">
        <v>18.14</v>
      </c>
      <c r="D976">
        <v>18.13</v>
      </c>
      <c r="E976">
        <v>5.5141990625870224E-4</v>
      </c>
      <c r="F976">
        <v>583298</v>
      </c>
      <c r="G976">
        <v>251250000</v>
      </c>
      <c r="H976">
        <v>10586858.699999999</v>
      </c>
      <c r="I976">
        <v>125625000</v>
      </c>
      <c r="J976">
        <v>4.6431681592039803E-3</v>
      </c>
      <c r="K976">
        <v>82074.45</v>
      </c>
      <c r="L976">
        <v>0.1741</v>
      </c>
      <c r="M976">
        <v>6637990000</v>
      </c>
      <c r="N976">
        <v>4185060000</v>
      </c>
      <c r="O976">
        <v>1075910</v>
      </c>
      <c r="P976">
        <v>81270</v>
      </c>
      <c r="Q976">
        <v>2685940</v>
      </c>
      <c r="R976">
        <v>5.2070961918776441E-11</v>
      </c>
      <c r="S976">
        <v>4.0463152249400799E-4</v>
      </c>
      <c r="U976">
        <v>1.251956181533638E-2</v>
      </c>
      <c r="V976">
        <v>19.23</v>
      </c>
      <c r="W976">
        <v>19.22</v>
      </c>
      <c r="X976">
        <f t="shared" si="15"/>
        <v>5.2015604681412552E-4</v>
      </c>
      <c r="Y976">
        <v>560277</v>
      </c>
      <c r="Z976">
        <v>251250000</v>
      </c>
      <c r="AA976">
        <v>10768523.939999999</v>
      </c>
      <c r="AB976">
        <v>125625000</v>
      </c>
      <c r="AC976">
        <v>4.459916417910448E-3</v>
      </c>
      <c r="AD976">
        <v>78488.22</v>
      </c>
      <c r="AE976">
        <v>0.17469999999999999</v>
      </c>
      <c r="AF976">
        <v>6637990</v>
      </c>
      <c r="AG976">
        <v>4185060.0000000005</v>
      </c>
      <c r="AH976">
        <v>1075910</v>
      </c>
      <c r="AI976">
        <v>81270</v>
      </c>
      <c r="AJ976">
        <v>2685940</v>
      </c>
      <c r="AK976">
        <v>9.7647989333503842E-10</v>
      </c>
      <c r="AL976">
        <v>0.40463152249400797</v>
      </c>
    </row>
    <row r="977" spans="2:38">
      <c r="B977">
        <v>6.0756697045014872E-3</v>
      </c>
      <c r="C977">
        <v>18.149999999999999</v>
      </c>
      <c r="D977">
        <v>18.14</v>
      </c>
      <c r="E977">
        <v>5.5111600991997851E-4</v>
      </c>
      <c r="F977">
        <v>338918</v>
      </c>
      <c r="G977">
        <v>251250000</v>
      </c>
      <c r="H977">
        <v>6147972.5200000005</v>
      </c>
      <c r="I977">
        <v>125625000</v>
      </c>
      <c r="J977">
        <v>2.6978547263681592E-3</v>
      </c>
      <c r="K977">
        <v>81459.289999999994</v>
      </c>
      <c r="L977">
        <v>0.1741</v>
      </c>
      <c r="M977">
        <v>6637990</v>
      </c>
      <c r="N977">
        <v>4185060.0000000005</v>
      </c>
      <c r="O977">
        <v>1075910</v>
      </c>
      <c r="P977">
        <v>81270</v>
      </c>
      <c r="Q977">
        <v>2685940</v>
      </c>
      <c r="R977">
        <v>0</v>
      </c>
      <c r="S977">
        <v>0.40463152249400797</v>
      </c>
      <c r="U977">
        <v>1.825293350717087E-2</v>
      </c>
      <c r="V977">
        <v>19.18</v>
      </c>
      <c r="W977">
        <v>19.11</v>
      </c>
      <c r="X977">
        <f t="shared" si="15"/>
        <v>3.6563071297989178E-3</v>
      </c>
      <c r="Y977">
        <v>320123</v>
      </c>
      <c r="Z977">
        <v>251250000</v>
      </c>
      <c r="AA977">
        <v>6088739.46</v>
      </c>
      <c r="AB977">
        <v>125625000</v>
      </c>
      <c r="AC977">
        <v>2.5482427860696517E-3</v>
      </c>
      <c r="AD977">
        <v>78349.66</v>
      </c>
      <c r="AE977">
        <v>0.17469999999999999</v>
      </c>
      <c r="AF977">
        <v>6637990</v>
      </c>
      <c r="AG977">
        <v>4185060.0000000005</v>
      </c>
      <c r="AH977">
        <v>1075910</v>
      </c>
      <c r="AI977">
        <v>81270</v>
      </c>
      <c r="AJ977">
        <v>2685940</v>
      </c>
      <c r="AK977">
        <v>4.306177431489727E-10</v>
      </c>
      <c r="AL977">
        <v>0.40463152249400797</v>
      </c>
    </row>
    <row r="978" spans="2:38">
      <c r="B978">
        <v>2.7586206896550156E-3</v>
      </c>
      <c r="C978">
        <v>18.14</v>
      </c>
      <c r="D978">
        <v>18.12</v>
      </c>
      <c r="E978">
        <v>1.1031439602867937E-3</v>
      </c>
      <c r="F978">
        <v>619798</v>
      </c>
      <c r="G978">
        <v>251250000</v>
      </c>
      <c r="H978">
        <v>11243135.720000001</v>
      </c>
      <c r="I978">
        <v>125625000</v>
      </c>
      <c r="J978">
        <v>4.933715422885572E-3</v>
      </c>
      <c r="K978">
        <v>80461.34</v>
      </c>
      <c r="L978">
        <v>0.1741</v>
      </c>
      <c r="M978">
        <v>6637990</v>
      </c>
      <c r="N978">
        <v>4185060.0000000005</v>
      </c>
      <c r="O978">
        <v>1075910</v>
      </c>
      <c r="P978">
        <v>81270</v>
      </c>
      <c r="Q978">
        <v>2685940</v>
      </c>
      <c r="R978">
        <v>2.458351528143453E-10</v>
      </c>
      <c r="S978">
        <v>0.40463152249400797</v>
      </c>
      <c r="U978">
        <v>3.4143817899637878E-2</v>
      </c>
      <c r="V978">
        <v>19.21</v>
      </c>
      <c r="W978">
        <v>19.2</v>
      </c>
      <c r="X978">
        <f t="shared" si="15"/>
        <v>5.2069773496493438E-4</v>
      </c>
      <c r="Y978">
        <v>1285786</v>
      </c>
      <c r="Z978">
        <v>251250000</v>
      </c>
      <c r="AA978">
        <v>24519939.02</v>
      </c>
      <c r="AB978">
        <v>125625000</v>
      </c>
      <c r="AC978">
        <v>1.0235112437810945E-2</v>
      </c>
      <c r="AD978">
        <v>77992.789999999994</v>
      </c>
      <c r="AE978">
        <v>0.17469999999999999</v>
      </c>
      <c r="AF978">
        <v>6637990</v>
      </c>
      <c r="AG978">
        <v>4185060.0000000005</v>
      </c>
      <c r="AH978">
        <v>1075910</v>
      </c>
      <c r="AI978">
        <v>81270</v>
      </c>
      <c r="AJ978">
        <v>2685940</v>
      </c>
      <c r="AK978">
        <v>8.1733930711739398E-10</v>
      </c>
      <c r="AL978">
        <v>0.40463152249400797</v>
      </c>
    </row>
    <row r="979" spans="2:38">
      <c r="B979">
        <v>4.9847687621157495E-3</v>
      </c>
      <c r="C979">
        <v>18.09</v>
      </c>
      <c r="D979">
        <v>18.05</v>
      </c>
      <c r="E979">
        <v>2.2136137244050439E-3</v>
      </c>
      <c r="F979">
        <v>201372</v>
      </c>
      <c r="G979">
        <v>251250000</v>
      </c>
      <c r="H979">
        <v>3642819.48</v>
      </c>
      <c r="I979">
        <v>125625000</v>
      </c>
      <c r="J979">
        <v>1.6029611940298507E-3</v>
      </c>
      <c r="K979">
        <v>79491.14</v>
      </c>
      <c r="L979">
        <v>0.1741</v>
      </c>
      <c r="M979">
        <v>6637990</v>
      </c>
      <c r="N979">
        <v>4185060.0000000005</v>
      </c>
      <c r="O979">
        <v>1075910</v>
      </c>
      <c r="P979">
        <v>81270</v>
      </c>
      <c r="Q979">
        <v>2685940</v>
      </c>
      <c r="R979">
        <v>4.5600106654375732E-10</v>
      </c>
      <c r="S979">
        <v>0.40463152249400797</v>
      </c>
      <c r="U979">
        <v>1.8480492813141656E-2</v>
      </c>
      <c r="V979">
        <v>19.48</v>
      </c>
      <c r="W979">
        <v>19.46</v>
      </c>
      <c r="X979">
        <f t="shared" si="15"/>
        <v>1.0272213662043952E-3</v>
      </c>
      <c r="Y979">
        <v>492968</v>
      </c>
      <c r="Z979">
        <v>251250000</v>
      </c>
      <c r="AA979">
        <v>9593157.2800000012</v>
      </c>
      <c r="AB979">
        <v>125625000</v>
      </c>
      <c r="AC979">
        <v>3.9241233830845769E-3</v>
      </c>
      <c r="AD979">
        <v>78084.240000000005</v>
      </c>
      <c r="AE979">
        <v>0.17469999999999999</v>
      </c>
      <c r="AF979">
        <v>6637990</v>
      </c>
      <c r="AG979">
        <v>4185060.0000000005</v>
      </c>
      <c r="AH979">
        <v>1075910</v>
      </c>
      <c r="AI979">
        <v>81270</v>
      </c>
      <c r="AJ979">
        <v>2685940</v>
      </c>
      <c r="AK979">
        <v>4.8434110016575587E-10</v>
      </c>
      <c r="AL979">
        <v>0.40463152249400797</v>
      </c>
    </row>
    <row r="980" spans="2:38">
      <c r="B980">
        <v>2.6301369863013527E-2</v>
      </c>
      <c r="C980">
        <v>18.09</v>
      </c>
      <c r="D980">
        <v>18.05</v>
      </c>
      <c r="E980">
        <v>2.2136137244050439E-3</v>
      </c>
      <c r="F980">
        <v>1172044</v>
      </c>
      <c r="G980">
        <v>251250000</v>
      </c>
      <c r="H980">
        <v>21167114.639999997</v>
      </c>
      <c r="I980">
        <v>125625000</v>
      </c>
      <c r="J980">
        <v>9.329703482587064E-3</v>
      </c>
      <c r="K980">
        <v>79333.06</v>
      </c>
      <c r="L980">
        <v>0.1741</v>
      </c>
      <c r="M980">
        <v>6637990</v>
      </c>
      <c r="N980">
        <v>4185060.0000000005</v>
      </c>
      <c r="O980">
        <v>1075910</v>
      </c>
      <c r="P980">
        <v>81270</v>
      </c>
      <c r="Q980">
        <v>2685940</v>
      </c>
      <c r="R980">
        <v>2.6304618391352613E-10</v>
      </c>
      <c r="S980">
        <v>0.40463152249400797</v>
      </c>
      <c r="U980">
        <v>3.7909836065573875E-2</v>
      </c>
      <c r="V980">
        <v>19.46</v>
      </c>
      <c r="W980">
        <v>19.45</v>
      </c>
      <c r="X980">
        <f t="shared" si="15"/>
        <v>5.1400668208694748E-4</v>
      </c>
      <c r="Y980">
        <v>293601</v>
      </c>
      <c r="Z980">
        <v>251250000</v>
      </c>
      <c r="AA980">
        <v>5687051.3700000001</v>
      </c>
      <c r="AB980">
        <v>125625000</v>
      </c>
      <c r="AC980">
        <v>2.3371223880597016E-3</v>
      </c>
      <c r="AD980">
        <v>78571.06</v>
      </c>
      <c r="AE980">
        <v>0.17469999999999999</v>
      </c>
      <c r="AF980">
        <v>6637990</v>
      </c>
      <c r="AG980">
        <v>4185060.0000000005</v>
      </c>
      <c r="AH980">
        <v>1075910</v>
      </c>
      <c r="AI980">
        <v>81270</v>
      </c>
      <c r="AJ980">
        <v>2685940</v>
      </c>
      <c r="AK980">
        <v>2.5790808203345752E-9</v>
      </c>
      <c r="AL980">
        <v>0.40463152249400797</v>
      </c>
    </row>
    <row r="981" spans="2:38">
      <c r="B981">
        <v>3.3707865168539401E-2</v>
      </c>
      <c r="C981">
        <v>18</v>
      </c>
      <c r="D981">
        <v>17.95</v>
      </c>
      <c r="E981">
        <v>2.78164116828933E-3</v>
      </c>
      <c r="F981">
        <v>228190</v>
      </c>
      <c r="G981">
        <v>251250000</v>
      </c>
      <c r="H981">
        <v>4098292.4000000004</v>
      </c>
      <c r="I981">
        <v>125625000</v>
      </c>
      <c r="J981">
        <v>1.8164378109452736E-3</v>
      </c>
      <c r="K981">
        <v>79017.62</v>
      </c>
      <c r="L981">
        <v>0.1741</v>
      </c>
      <c r="M981">
        <v>6637990</v>
      </c>
      <c r="N981">
        <v>4185060.0000000005</v>
      </c>
      <c r="O981">
        <v>1075910</v>
      </c>
      <c r="P981">
        <v>81270</v>
      </c>
      <c r="Q981">
        <v>2685940</v>
      </c>
      <c r="R981">
        <v>1.3593541155505142E-10</v>
      </c>
      <c r="S981">
        <v>0.40463152249400797</v>
      </c>
      <c r="U981">
        <v>1.7300131061598861E-2</v>
      </c>
      <c r="V981">
        <v>19.100000000000001</v>
      </c>
      <c r="W981">
        <v>19.07</v>
      </c>
      <c r="X981">
        <f t="shared" si="15"/>
        <v>1.571915116583764E-3</v>
      </c>
      <c r="Y981">
        <v>162750</v>
      </c>
      <c r="Z981">
        <v>251250000</v>
      </c>
      <c r="AA981">
        <v>3106897.5</v>
      </c>
      <c r="AB981">
        <v>125625000</v>
      </c>
      <c r="AC981">
        <v>1.2955223880597015E-3</v>
      </c>
      <c r="AD981">
        <v>78801.429999999993</v>
      </c>
      <c r="AE981">
        <v>0.17469999999999999</v>
      </c>
      <c r="AF981">
        <v>6637990</v>
      </c>
      <c r="AG981">
        <v>4185060.0000000005</v>
      </c>
      <c r="AH981">
        <v>1075910</v>
      </c>
      <c r="AI981">
        <v>81270</v>
      </c>
      <c r="AJ981">
        <v>2685940</v>
      </c>
      <c r="AK981">
        <v>1.1845696512058993E-9</v>
      </c>
      <c r="AL981">
        <v>0.40463152249400797</v>
      </c>
    </row>
    <row r="982" spans="2:38">
      <c r="B982">
        <v>8.9186176142697967E-3</v>
      </c>
      <c r="C982">
        <v>17.93</v>
      </c>
      <c r="D982">
        <v>17.920000000000002</v>
      </c>
      <c r="E982">
        <v>5.5788005578789456E-4</v>
      </c>
      <c r="F982">
        <v>169481</v>
      </c>
      <c r="G982">
        <v>251250000</v>
      </c>
      <c r="H982">
        <v>3042183.9499999997</v>
      </c>
      <c r="I982">
        <v>125625000</v>
      </c>
      <c r="J982">
        <v>1.349102487562189E-3</v>
      </c>
      <c r="K982">
        <v>78651.8</v>
      </c>
      <c r="L982">
        <v>0.1741</v>
      </c>
      <c r="M982">
        <v>6637990</v>
      </c>
      <c r="N982">
        <v>4185060.0000000005</v>
      </c>
      <c r="O982">
        <v>1075910</v>
      </c>
      <c r="P982">
        <v>81270</v>
      </c>
      <c r="Q982">
        <v>2685940</v>
      </c>
      <c r="R982">
        <v>3.6584443045770233E-10</v>
      </c>
      <c r="S982">
        <v>0.40463152249400797</v>
      </c>
      <c r="U982">
        <v>8.9638808331137208E-3</v>
      </c>
      <c r="V982">
        <v>19</v>
      </c>
      <c r="W982">
        <v>18.97</v>
      </c>
      <c r="X982">
        <f t="shared" ref="X982:X1045" si="16">(V982-W982)/AVERAGE(V982:W982)</f>
        <v>1.5801948907032467E-3</v>
      </c>
      <c r="Y982">
        <v>260894</v>
      </c>
      <c r="Z982">
        <v>251250000</v>
      </c>
      <c r="AA982">
        <v>4962203.88</v>
      </c>
      <c r="AB982">
        <v>125625000</v>
      </c>
      <c r="AC982">
        <v>2.07676815920398E-3</v>
      </c>
      <c r="AD982">
        <v>78793.41</v>
      </c>
      <c r="AE982">
        <v>0.17469999999999999</v>
      </c>
      <c r="AF982">
        <v>6637990</v>
      </c>
      <c r="AG982">
        <v>4185060.0000000005</v>
      </c>
      <c r="AH982">
        <v>1075910</v>
      </c>
      <c r="AI982">
        <v>81270</v>
      </c>
      <c r="AJ982">
        <v>2685940</v>
      </c>
      <c r="AK982">
        <v>1.7096361418548846E-9</v>
      </c>
      <c r="AL982">
        <v>0.40463152249400797</v>
      </c>
    </row>
    <row r="983" spans="2:38">
      <c r="B983">
        <v>5.5710306406686035E-3</v>
      </c>
      <c r="C983">
        <v>17.95</v>
      </c>
      <c r="D983">
        <v>17.940000000000001</v>
      </c>
      <c r="E983">
        <v>5.5725828921694123E-4</v>
      </c>
      <c r="F983">
        <v>149001</v>
      </c>
      <c r="G983">
        <v>251250000</v>
      </c>
      <c r="H983">
        <v>2677547.9699999997</v>
      </c>
      <c r="I983">
        <v>125625000</v>
      </c>
      <c r="J983">
        <v>1.1860776119402986E-3</v>
      </c>
      <c r="K983">
        <v>79286.740000000005</v>
      </c>
      <c r="L983">
        <v>0.1741</v>
      </c>
      <c r="M983">
        <v>6637990</v>
      </c>
      <c r="N983">
        <v>4185060.0000000005</v>
      </c>
      <c r="O983">
        <v>1075910</v>
      </c>
      <c r="P983">
        <v>81270</v>
      </c>
      <c r="Q983">
        <v>2685940</v>
      </c>
      <c r="R983">
        <v>0</v>
      </c>
      <c r="S983">
        <v>0.40463152249400797</v>
      </c>
      <c r="U983">
        <v>1.320306311064167E-2</v>
      </c>
      <c r="V983">
        <v>18.899999999999999</v>
      </c>
      <c r="W983">
        <v>18.89</v>
      </c>
      <c r="X983">
        <f t="shared" si="16"/>
        <v>5.2924053982524532E-4</v>
      </c>
      <c r="Y983">
        <v>72752</v>
      </c>
      <c r="Z983">
        <v>251250000</v>
      </c>
      <c r="AA983">
        <v>1372102.72</v>
      </c>
      <c r="AB983">
        <v>125625000</v>
      </c>
      <c r="AC983">
        <v>5.7912039800995022E-4</v>
      </c>
      <c r="AD983">
        <v>78260.86</v>
      </c>
      <c r="AE983">
        <v>0.17469999999999999</v>
      </c>
      <c r="AF983">
        <v>6637990</v>
      </c>
      <c r="AG983">
        <v>4185060.0000000005</v>
      </c>
      <c r="AH983">
        <v>1075910</v>
      </c>
      <c r="AI983">
        <v>81270</v>
      </c>
      <c r="AJ983">
        <v>2685940</v>
      </c>
      <c r="AK983">
        <v>1.5424516587228043E-9</v>
      </c>
      <c r="AL983">
        <v>0.40463152249400797</v>
      </c>
    </row>
    <row r="984" spans="2:38">
      <c r="B984">
        <v>6.1264271790589251E-3</v>
      </c>
      <c r="C984">
        <v>17.98</v>
      </c>
      <c r="D984">
        <v>17.96</v>
      </c>
      <c r="E984">
        <v>1.1129660545353131E-3</v>
      </c>
      <c r="F984">
        <v>98340</v>
      </c>
      <c r="G984">
        <v>251250000</v>
      </c>
      <c r="H984">
        <v>1767169.7999999998</v>
      </c>
      <c r="I984">
        <v>125625000</v>
      </c>
      <c r="J984">
        <v>7.8280597014925371E-4</v>
      </c>
      <c r="K984">
        <v>78615</v>
      </c>
      <c r="L984">
        <v>0.1741</v>
      </c>
      <c r="M984">
        <v>6637990</v>
      </c>
      <c r="N984">
        <v>4185060.0000000005</v>
      </c>
      <c r="O984">
        <v>1075910</v>
      </c>
      <c r="P984">
        <v>81270</v>
      </c>
      <c r="Q984">
        <v>2685940</v>
      </c>
      <c r="R984">
        <v>3.1472557200798856E-10</v>
      </c>
      <c r="S984">
        <v>0.40463152249400797</v>
      </c>
      <c r="U984">
        <v>0.12256267409470746</v>
      </c>
      <c r="V984">
        <v>18.91</v>
      </c>
      <c r="W984">
        <v>18.809999999999999</v>
      </c>
      <c r="X984">
        <f t="shared" si="16"/>
        <v>5.3022269353129071E-3</v>
      </c>
      <c r="Y984">
        <v>257862</v>
      </c>
      <c r="Z984">
        <v>251250000</v>
      </c>
      <c r="AA984">
        <v>4873591.8</v>
      </c>
      <c r="AB984">
        <v>125625000</v>
      </c>
      <c r="AC984">
        <v>2.0526328358208955E-3</v>
      </c>
      <c r="AD984">
        <v>77745.52</v>
      </c>
      <c r="AE984">
        <v>0.189</v>
      </c>
      <c r="AF984">
        <v>6637990</v>
      </c>
      <c r="AG984">
        <v>4185060.0000000005</v>
      </c>
      <c r="AH984">
        <v>1075910</v>
      </c>
      <c r="AI984">
        <v>81270</v>
      </c>
      <c r="AJ984">
        <v>2685940</v>
      </c>
      <c r="AK984">
        <v>1.9729564990208248E-9</v>
      </c>
      <c r="AL984">
        <v>0.40463152249400797</v>
      </c>
    </row>
    <row r="985" spans="2:38">
      <c r="B985">
        <v>1.1111111111111269E-2</v>
      </c>
      <c r="C985">
        <v>18</v>
      </c>
      <c r="D985">
        <v>17.97</v>
      </c>
      <c r="E985">
        <v>1.6680567139283368E-3</v>
      </c>
      <c r="F985">
        <v>62975</v>
      </c>
      <c r="G985">
        <v>251250000</v>
      </c>
      <c r="H985">
        <v>1132290.5</v>
      </c>
      <c r="I985">
        <v>125625000</v>
      </c>
      <c r="J985">
        <v>5.0129353233830851E-4</v>
      </c>
      <c r="K985">
        <v>78897.73</v>
      </c>
      <c r="L985">
        <v>0.1741</v>
      </c>
      <c r="M985">
        <v>6637990</v>
      </c>
      <c r="N985">
        <v>4185060.0000000005</v>
      </c>
      <c r="O985">
        <v>1075910</v>
      </c>
      <c r="P985">
        <v>81270</v>
      </c>
      <c r="Q985">
        <v>2685940</v>
      </c>
      <c r="R985">
        <v>9.8129509265606967E-10</v>
      </c>
      <c r="S985">
        <v>0.40463152249400797</v>
      </c>
      <c r="U985">
        <v>1.1197014129565495E-2</v>
      </c>
      <c r="V985">
        <v>18.7</v>
      </c>
      <c r="W985">
        <v>18.649999999999999</v>
      </c>
      <c r="X985">
        <f t="shared" si="16"/>
        <v>2.6773761713521135E-3</v>
      </c>
      <c r="Y985">
        <v>87830</v>
      </c>
      <c r="Z985">
        <v>251250000</v>
      </c>
      <c r="AA985">
        <v>1644177.5999999999</v>
      </c>
      <c r="AB985">
        <v>125625000</v>
      </c>
      <c r="AC985">
        <v>6.9914427860696515E-4</v>
      </c>
      <c r="AD985">
        <v>77830.34</v>
      </c>
      <c r="AE985">
        <v>0.189</v>
      </c>
      <c r="AF985">
        <v>6637990</v>
      </c>
      <c r="AG985">
        <v>4185060.0000000005</v>
      </c>
      <c r="AH985">
        <v>1075910</v>
      </c>
      <c r="AI985">
        <v>81270</v>
      </c>
      <c r="AJ985">
        <v>2685940</v>
      </c>
      <c r="AK985">
        <v>4.5147906828544522E-9</v>
      </c>
      <c r="AL985">
        <v>0.40463152249400797</v>
      </c>
    </row>
    <row r="986" spans="2:38">
      <c r="B986">
        <v>1.4500836586726046E-2</v>
      </c>
      <c r="C986">
        <v>18</v>
      </c>
      <c r="D986">
        <v>17.98</v>
      </c>
      <c r="E986">
        <v>1.1117287381878583E-3</v>
      </c>
      <c r="F986">
        <v>679221</v>
      </c>
      <c r="G986">
        <v>251250000</v>
      </c>
      <c r="H986">
        <v>12225978</v>
      </c>
      <c r="I986">
        <v>125625000</v>
      </c>
      <c r="J986">
        <v>5.4067343283582085E-3</v>
      </c>
      <c r="K986">
        <v>78863.34</v>
      </c>
      <c r="L986">
        <v>0.1741</v>
      </c>
      <c r="M986">
        <v>6637990</v>
      </c>
      <c r="N986">
        <v>4185060.0000000005</v>
      </c>
      <c r="O986">
        <v>1075910</v>
      </c>
      <c r="P986">
        <v>81270</v>
      </c>
      <c r="Q986">
        <v>2685940</v>
      </c>
      <c r="R986">
        <v>5.0291980052579032E-10</v>
      </c>
      <c r="S986">
        <v>0.40463152249400797</v>
      </c>
      <c r="U986">
        <v>1.762349799732987E-2</v>
      </c>
      <c r="V986">
        <v>18.89</v>
      </c>
      <c r="W986">
        <v>18.829999999999998</v>
      </c>
      <c r="X986">
        <f t="shared" si="16"/>
        <v>3.1813361611878195E-3</v>
      </c>
      <c r="Y986">
        <v>198142</v>
      </c>
      <c r="Z986">
        <v>251250000</v>
      </c>
      <c r="AA986">
        <v>3736958.12</v>
      </c>
      <c r="AB986">
        <v>125625000</v>
      </c>
      <c r="AC986">
        <v>1.5772497512437811E-3</v>
      </c>
      <c r="AD986">
        <v>78045.31</v>
      </c>
      <c r="AE986">
        <v>0.189</v>
      </c>
      <c r="AF986">
        <v>6637990</v>
      </c>
      <c r="AG986">
        <v>4185060.0000000005</v>
      </c>
      <c r="AH986">
        <v>1075910</v>
      </c>
      <c r="AI986">
        <v>81270</v>
      </c>
      <c r="AJ986">
        <v>2685940</v>
      </c>
      <c r="AK986">
        <v>9.9690328976280049E-10</v>
      </c>
      <c r="AL986">
        <v>0.40463152249400797</v>
      </c>
    </row>
    <row r="987" spans="2:38">
      <c r="B987">
        <v>2.1793797150041944E-2</v>
      </c>
      <c r="C987">
        <v>17.899999999999999</v>
      </c>
      <c r="D987">
        <v>17.809999999999999</v>
      </c>
      <c r="E987">
        <v>5.040604872584703E-3</v>
      </c>
      <c r="F987">
        <v>598912</v>
      </c>
      <c r="G987">
        <v>251250000</v>
      </c>
      <c r="H987">
        <v>10714535.68</v>
      </c>
      <c r="I987">
        <v>125625000</v>
      </c>
      <c r="J987">
        <v>4.7674587064676617E-3</v>
      </c>
      <c r="K987">
        <v>78848.009999999995</v>
      </c>
      <c r="L987">
        <v>0.1741</v>
      </c>
      <c r="M987">
        <v>6637990</v>
      </c>
      <c r="N987">
        <v>4185060.0000000005</v>
      </c>
      <c r="O987">
        <v>1075910</v>
      </c>
      <c r="P987">
        <v>81270</v>
      </c>
      <c r="Q987">
        <v>2685940</v>
      </c>
      <c r="R987">
        <v>5.8209683190238929E-9</v>
      </c>
      <c r="S987">
        <v>0.40463152249400797</v>
      </c>
      <c r="U987">
        <v>2.5613660618996819E-2</v>
      </c>
      <c r="V987">
        <v>18.89</v>
      </c>
      <c r="W987">
        <v>18.809999999999999</v>
      </c>
      <c r="X987">
        <f t="shared" si="16"/>
        <v>4.2440318302388244E-3</v>
      </c>
      <c r="Y987">
        <v>63389</v>
      </c>
      <c r="Z987">
        <v>251250000</v>
      </c>
      <c r="AA987">
        <v>1191079.31</v>
      </c>
      <c r="AB987">
        <v>125625000</v>
      </c>
      <c r="AC987">
        <v>5.0458905472636813E-4</v>
      </c>
      <c r="AD987">
        <v>78105.98</v>
      </c>
      <c r="AE987">
        <v>0.189</v>
      </c>
      <c r="AF987">
        <v>6637990</v>
      </c>
      <c r="AG987">
        <v>4185060.0000000005</v>
      </c>
      <c r="AH987">
        <v>1075910</v>
      </c>
      <c r="AI987">
        <v>81270</v>
      </c>
      <c r="AJ987">
        <v>2685940</v>
      </c>
      <c r="AK987">
        <v>7.665289540277731E-9</v>
      </c>
      <c r="AL987">
        <v>0.40463152249400797</v>
      </c>
    </row>
    <row r="988" spans="2:38">
      <c r="B988">
        <v>1.825293350717087E-2</v>
      </c>
      <c r="C988">
        <v>19.2</v>
      </c>
      <c r="D988">
        <v>19.190000000000001</v>
      </c>
      <c r="E988">
        <v>5.2096900234425687E-4</v>
      </c>
      <c r="F988">
        <v>308525</v>
      </c>
      <c r="G988">
        <v>251250000</v>
      </c>
      <c r="H988">
        <v>5886656.9999999991</v>
      </c>
      <c r="I988">
        <v>125625000</v>
      </c>
      <c r="J988">
        <v>2.4559203980099504E-3</v>
      </c>
      <c r="K988">
        <v>78356.320000000007</v>
      </c>
      <c r="L988">
        <v>0.17469999999999999</v>
      </c>
      <c r="M988">
        <v>6637990</v>
      </c>
      <c r="N988">
        <v>4185060.0000000005</v>
      </c>
      <c r="O988">
        <v>1075910</v>
      </c>
      <c r="P988">
        <v>81270</v>
      </c>
      <c r="Q988">
        <v>2685940</v>
      </c>
      <c r="R988">
        <v>1.6749550437372095E-9</v>
      </c>
      <c r="S988">
        <v>0.40463152249400797</v>
      </c>
      <c r="U988">
        <v>1.0752688172042972E-2</v>
      </c>
      <c r="V988">
        <v>18.690000000000001</v>
      </c>
      <c r="W988">
        <v>18.61</v>
      </c>
      <c r="X988">
        <f t="shared" si="16"/>
        <v>4.2895442359250323E-3</v>
      </c>
      <c r="Y988">
        <v>138568</v>
      </c>
      <c r="Z988">
        <v>251250000</v>
      </c>
      <c r="AA988">
        <v>2580136.16</v>
      </c>
      <c r="AB988">
        <v>125625000</v>
      </c>
      <c r="AC988">
        <v>1.1030288557213931E-3</v>
      </c>
      <c r="AD988">
        <v>77877.42</v>
      </c>
      <c r="AE988">
        <v>0.189</v>
      </c>
      <c r="AF988">
        <v>6637990</v>
      </c>
      <c r="AG988">
        <v>4185060.0000000005</v>
      </c>
      <c r="AH988">
        <v>1075910</v>
      </c>
      <c r="AI988">
        <v>81270</v>
      </c>
      <c r="AJ988">
        <v>2685940</v>
      </c>
      <c r="AK988">
        <v>2.0927453823046736E-9</v>
      </c>
      <c r="AL988">
        <v>0.40463152249400797</v>
      </c>
    </row>
    <row r="989" spans="2:38">
      <c r="B989">
        <v>6.2305295950156282E-3</v>
      </c>
      <c r="C989">
        <v>19.27</v>
      </c>
      <c r="D989">
        <v>19.22</v>
      </c>
      <c r="E989">
        <v>2.5980774227072341E-3</v>
      </c>
      <c r="F989">
        <v>299839</v>
      </c>
      <c r="G989">
        <v>251250000</v>
      </c>
      <c r="H989">
        <v>5777897.5300000003</v>
      </c>
      <c r="I989">
        <v>125625000</v>
      </c>
      <c r="J989">
        <v>2.3867781094527364E-3</v>
      </c>
      <c r="K989">
        <v>78283.3</v>
      </c>
      <c r="L989">
        <v>0.17469999999999999</v>
      </c>
      <c r="M989">
        <v>6637990</v>
      </c>
      <c r="N989">
        <v>4185060.0000000005</v>
      </c>
      <c r="O989">
        <v>1075910</v>
      </c>
      <c r="P989">
        <v>81270</v>
      </c>
      <c r="Q989">
        <v>2685940</v>
      </c>
      <c r="R989">
        <v>4.5024280931075888E-10</v>
      </c>
      <c r="S989">
        <v>0.40463152249400797</v>
      </c>
      <c r="U989">
        <v>8.0753701211304756E-3</v>
      </c>
      <c r="V989">
        <v>18.62</v>
      </c>
      <c r="W989">
        <v>18.559999999999999</v>
      </c>
      <c r="X989">
        <f t="shared" si="16"/>
        <v>3.2275416890802729E-3</v>
      </c>
      <c r="Y989">
        <v>167407</v>
      </c>
      <c r="Z989">
        <v>251250000</v>
      </c>
      <c r="AA989">
        <v>3100377.64</v>
      </c>
      <c r="AB989">
        <v>125625000</v>
      </c>
      <c r="AC989">
        <v>1.3325930348258707E-3</v>
      </c>
      <c r="AD989">
        <v>77980.289999999994</v>
      </c>
      <c r="AE989">
        <v>0.189</v>
      </c>
      <c r="AF989">
        <v>6637990</v>
      </c>
      <c r="AG989">
        <v>4185060.0000000005</v>
      </c>
      <c r="AH989">
        <v>1075910</v>
      </c>
      <c r="AI989">
        <v>81270</v>
      </c>
      <c r="AJ989">
        <v>2685940</v>
      </c>
      <c r="AK989">
        <v>3.7865046821759018E-9</v>
      </c>
      <c r="AL989">
        <v>0.40463152249400797</v>
      </c>
    </row>
    <row r="990" spans="2:38">
      <c r="B990">
        <v>1.251956181533638E-2</v>
      </c>
      <c r="C990">
        <v>19.23</v>
      </c>
      <c r="D990">
        <v>19.22</v>
      </c>
      <c r="E990">
        <v>5.2015604681412552E-4</v>
      </c>
      <c r="F990">
        <v>560277</v>
      </c>
      <c r="G990">
        <v>251250000</v>
      </c>
      <c r="H990">
        <v>10768523.939999999</v>
      </c>
      <c r="I990">
        <v>125625000</v>
      </c>
      <c r="J990">
        <v>4.459916417910448E-3</v>
      </c>
      <c r="K990">
        <v>78488.22</v>
      </c>
      <c r="L990">
        <v>0.17469999999999999</v>
      </c>
      <c r="M990">
        <v>6637990</v>
      </c>
      <c r="N990">
        <v>4185060.0000000005</v>
      </c>
      <c r="O990">
        <v>1075910</v>
      </c>
      <c r="P990">
        <v>81270</v>
      </c>
      <c r="Q990">
        <v>2685940</v>
      </c>
      <c r="R990">
        <v>9.7647989333503842E-10</v>
      </c>
      <c r="S990">
        <v>0.40463152249400797</v>
      </c>
      <c r="U990">
        <v>2.7192748600373313E-2</v>
      </c>
      <c r="V990">
        <v>18.77</v>
      </c>
      <c r="W990">
        <v>18.7</v>
      </c>
      <c r="X990">
        <f t="shared" si="16"/>
        <v>3.7363223912463455E-3</v>
      </c>
      <c r="Y990">
        <v>485251</v>
      </c>
      <c r="Z990">
        <v>251250000</v>
      </c>
      <c r="AA990">
        <v>9093603.7399999984</v>
      </c>
      <c r="AB990">
        <v>125625000</v>
      </c>
      <c r="AC990">
        <v>3.8626945273631842E-3</v>
      </c>
      <c r="AD990">
        <v>78569.59</v>
      </c>
      <c r="AE990">
        <v>0.189</v>
      </c>
      <c r="AF990">
        <v>6637990</v>
      </c>
      <c r="AG990">
        <v>4185060.0000000005</v>
      </c>
      <c r="AH990">
        <v>1075910</v>
      </c>
      <c r="AI990">
        <v>81270</v>
      </c>
      <c r="AJ990">
        <v>2685940</v>
      </c>
      <c r="AK990">
        <v>2.0726840621347743E-9</v>
      </c>
      <c r="AL990">
        <v>0.40463152249400797</v>
      </c>
    </row>
    <row r="991" spans="2:38">
      <c r="B991">
        <v>1.825293350717087E-2</v>
      </c>
      <c r="C991">
        <v>19.18</v>
      </c>
      <c r="D991">
        <v>19.11</v>
      </c>
      <c r="E991">
        <v>3.6563071297989178E-3</v>
      </c>
      <c r="F991">
        <v>320123</v>
      </c>
      <c r="G991">
        <v>251250000</v>
      </c>
      <c r="H991">
        <v>6088739.46</v>
      </c>
      <c r="I991">
        <v>125625000</v>
      </c>
      <c r="J991">
        <v>2.5482427860696517E-3</v>
      </c>
      <c r="K991">
        <v>78349.66</v>
      </c>
      <c r="L991">
        <v>0.17469999999999999</v>
      </c>
      <c r="M991">
        <v>6637990</v>
      </c>
      <c r="N991">
        <v>4185060.0000000005</v>
      </c>
      <c r="O991">
        <v>1075910</v>
      </c>
      <c r="P991">
        <v>81270</v>
      </c>
      <c r="Q991">
        <v>2685940</v>
      </c>
      <c r="R991">
        <v>4.306177431489727E-10</v>
      </c>
      <c r="S991">
        <v>0.40463152249400797</v>
      </c>
      <c r="U991">
        <v>1.356993736951973E-2</v>
      </c>
      <c r="V991">
        <v>19.14</v>
      </c>
      <c r="W991">
        <v>19.079999999999998</v>
      </c>
      <c r="X991">
        <f t="shared" si="16"/>
        <v>3.1397174254318302E-3</v>
      </c>
      <c r="Y991">
        <v>207576</v>
      </c>
      <c r="Z991">
        <v>251250000</v>
      </c>
      <c r="AA991">
        <v>3964701.6</v>
      </c>
      <c r="AB991">
        <v>125625000</v>
      </c>
      <c r="AC991">
        <v>1.6523462686567165E-3</v>
      </c>
      <c r="AD991">
        <v>77874.22</v>
      </c>
      <c r="AE991">
        <v>0.189</v>
      </c>
      <c r="AF991">
        <v>6637990</v>
      </c>
      <c r="AG991">
        <v>4185060.0000000005</v>
      </c>
      <c r="AH991">
        <v>1075910</v>
      </c>
      <c r="AI991">
        <v>81270</v>
      </c>
      <c r="AJ991">
        <v>2685940</v>
      </c>
      <c r="AK991">
        <v>1.5747708119976354E-9</v>
      </c>
      <c r="AL991">
        <v>0.40463152249400797</v>
      </c>
    </row>
    <row r="992" spans="2:38">
      <c r="B992">
        <v>3.4143817899637878E-2</v>
      </c>
      <c r="C992">
        <v>19.21</v>
      </c>
      <c r="D992">
        <v>19.2</v>
      </c>
      <c r="E992">
        <v>5.2069773496493438E-4</v>
      </c>
      <c r="F992">
        <v>1285786</v>
      </c>
      <c r="G992">
        <v>251250000</v>
      </c>
      <c r="H992">
        <v>24519939.02</v>
      </c>
      <c r="I992">
        <v>125625000</v>
      </c>
      <c r="J992">
        <v>1.0235112437810945E-2</v>
      </c>
      <c r="K992">
        <v>77992.789999999994</v>
      </c>
      <c r="L992">
        <v>0.17469999999999999</v>
      </c>
      <c r="M992">
        <v>6637990</v>
      </c>
      <c r="N992">
        <v>4185060.0000000005</v>
      </c>
      <c r="O992">
        <v>1075910</v>
      </c>
      <c r="P992">
        <v>81270</v>
      </c>
      <c r="Q992">
        <v>2685940</v>
      </c>
      <c r="R992">
        <v>8.1733930711739398E-10</v>
      </c>
      <c r="S992">
        <v>0.40463152249400797</v>
      </c>
      <c r="U992">
        <v>1.990570979570469E-2</v>
      </c>
      <c r="V992">
        <v>19.2</v>
      </c>
      <c r="W992">
        <v>19.16</v>
      </c>
      <c r="X992">
        <f t="shared" si="16"/>
        <v>2.085505735140727E-3</v>
      </c>
      <c r="Y992">
        <v>365086</v>
      </c>
      <c r="Z992">
        <v>251250000</v>
      </c>
      <c r="AA992">
        <v>7016952.9199999999</v>
      </c>
      <c r="AB992">
        <v>125625000</v>
      </c>
      <c r="AC992">
        <v>2.9061572139303482E-3</v>
      </c>
      <c r="AD992">
        <v>77114.490000000005</v>
      </c>
      <c r="AE992">
        <v>0.189</v>
      </c>
      <c r="AF992">
        <v>6637990</v>
      </c>
      <c r="AG992">
        <v>4185060.0000000005</v>
      </c>
      <c r="AH992">
        <v>1075910</v>
      </c>
      <c r="AI992">
        <v>81270</v>
      </c>
      <c r="AJ992">
        <v>2685940</v>
      </c>
      <c r="AK992">
        <v>1.4985489040885582E-9</v>
      </c>
      <c r="AL992">
        <v>0.40463152249400797</v>
      </c>
    </row>
    <row r="993" spans="2:38">
      <c r="B993">
        <v>1.8480492813141656E-2</v>
      </c>
      <c r="C993">
        <v>19.48</v>
      </c>
      <c r="D993">
        <v>19.46</v>
      </c>
      <c r="E993">
        <v>1.0272213662043952E-3</v>
      </c>
      <c r="F993">
        <v>492968</v>
      </c>
      <c r="G993">
        <v>251250000</v>
      </c>
      <c r="H993">
        <v>9593157.2800000012</v>
      </c>
      <c r="I993">
        <v>125625000</v>
      </c>
      <c r="J993">
        <v>3.9241233830845769E-3</v>
      </c>
      <c r="K993">
        <v>78084.240000000005</v>
      </c>
      <c r="L993">
        <v>0.17469999999999999</v>
      </c>
      <c r="M993">
        <v>6637990</v>
      </c>
      <c r="N993">
        <v>4185060.0000000005</v>
      </c>
      <c r="O993">
        <v>1075910</v>
      </c>
      <c r="P993">
        <v>81270</v>
      </c>
      <c r="Q993">
        <v>2685940</v>
      </c>
      <c r="R993">
        <v>4.8434110016575587E-10</v>
      </c>
      <c r="S993">
        <v>0.40463152249400797</v>
      </c>
      <c r="U993">
        <v>3.7135278514588817E-2</v>
      </c>
      <c r="V993">
        <v>19.03</v>
      </c>
      <c r="W993">
        <v>19</v>
      </c>
      <c r="X993">
        <f t="shared" si="16"/>
        <v>1.5777018143571463E-3</v>
      </c>
      <c r="Y993">
        <v>874411</v>
      </c>
      <c r="Z993">
        <v>251250000</v>
      </c>
      <c r="AA993">
        <v>16631297.219999999</v>
      </c>
      <c r="AB993">
        <v>125625000</v>
      </c>
      <c r="AC993">
        <v>6.9604855721393036E-3</v>
      </c>
      <c r="AD993">
        <v>77191.34</v>
      </c>
      <c r="AE993">
        <v>0.19489999999999999</v>
      </c>
      <c r="AF993">
        <v>6637990</v>
      </c>
      <c r="AG993">
        <v>4185060.0000000005</v>
      </c>
      <c r="AH993">
        <v>1075910</v>
      </c>
      <c r="AI993">
        <v>81270</v>
      </c>
      <c r="AJ993">
        <v>2685940</v>
      </c>
      <c r="AK993">
        <v>1.6900731035163405E-9</v>
      </c>
      <c r="AL993">
        <v>0.40463152249400797</v>
      </c>
    </row>
    <row r="994" spans="2:38">
      <c r="B994">
        <v>3.7909836065573875E-2</v>
      </c>
      <c r="C994">
        <v>19.46</v>
      </c>
      <c r="D994">
        <v>19.45</v>
      </c>
      <c r="E994">
        <v>5.1400668208694748E-4</v>
      </c>
      <c r="F994">
        <v>293601</v>
      </c>
      <c r="G994">
        <v>251250000</v>
      </c>
      <c r="H994">
        <v>5687051.3700000001</v>
      </c>
      <c r="I994">
        <v>125625000</v>
      </c>
      <c r="J994">
        <v>2.3371223880597016E-3</v>
      </c>
      <c r="K994">
        <v>78571.06</v>
      </c>
      <c r="L994">
        <v>0.17469999999999999</v>
      </c>
      <c r="M994">
        <v>6637990</v>
      </c>
      <c r="N994">
        <v>4185060.0000000005</v>
      </c>
      <c r="O994">
        <v>1075910</v>
      </c>
      <c r="P994">
        <v>81270</v>
      </c>
      <c r="Q994">
        <v>2685940</v>
      </c>
      <c r="R994">
        <v>2.5790808203345752E-9</v>
      </c>
      <c r="S994">
        <v>0.40463152249400797</v>
      </c>
      <c r="U994">
        <v>1.3495276653171391E-2</v>
      </c>
      <c r="V994">
        <v>18.47</v>
      </c>
      <c r="W994">
        <v>18.46</v>
      </c>
      <c r="X994">
        <f t="shared" si="16"/>
        <v>5.4156512320595773E-4</v>
      </c>
      <c r="Y994">
        <v>176714</v>
      </c>
      <c r="Z994">
        <v>251250000</v>
      </c>
      <c r="AA994">
        <v>3269209</v>
      </c>
      <c r="AB994">
        <v>125625000</v>
      </c>
      <c r="AC994">
        <v>1.406678606965174E-3</v>
      </c>
      <c r="AD994">
        <v>77084.490000000005</v>
      </c>
      <c r="AE994">
        <v>0.19489999999999999</v>
      </c>
      <c r="AF994">
        <v>6637990</v>
      </c>
      <c r="AG994">
        <v>4185060.0000000005</v>
      </c>
      <c r="AH994">
        <v>1075910</v>
      </c>
      <c r="AI994">
        <v>81270</v>
      </c>
      <c r="AJ994">
        <v>2685940</v>
      </c>
      <c r="AK994">
        <v>1.644539729953509E-9</v>
      </c>
      <c r="AL994">
        <v>0.40463152249400797</v>
      </c>
    </row>
    <row r="995" spans="2:38">
      <c r="B995">
        <v>1.7300131061598861E-2</v>
      </c>
      <c r="C995">
        <v>19.100000000000001</v>
      </c>
      <c r="D995">
        <v>19.07</v>
      </c>
      <c r="E995">
        <v>1.571915116583764E-3</v>
      </c>
      <c r="F995">
        <v>162750</v>
      </c>
      <c r="G995">
        <v>251250000</v>
      </c>
      <c r="H995">
        <v>3106897.5</v>
      </c>
      <c r="I995">
        <v>125625000</v>
      </c>
      <c r="J995">
        <v>1.2955223880597015E-3</v>
      </c>
      <c r="K995">
        <v>78801.429999999993</v>
      </c>
      <c r="L995">
        <v>0.17469999999999999</v>
      </c>
      <c r="M995">
        <v>6637990</v>
      </c>
      <c r="N995">
        <v>4185060.0000000005</v>
      </c>
      <c r="O995">
        <v>1075910</v>
      </c>
      <c r="P995">
        <v>81270</v>
      </c>
      <c r="Q995">
        <v>2685940</v>
      </c>
      <c r="R995">
        <v>1.1845696512058993E-9</v>
      </c>
      <c r="S995">
        <v>0.40463152249400797</v>
      </c>
      <c r="U995">
        <v>2.5426021098187659E-2</v>
      </c>
      <c r="V995">
        <v>18.64</v>
      </c>
      <c r="W995">
        <v>18.600000000000001</v>
      </c>
      <c r="X995">
        <f t="shared" si="16"/>
        <v>2.1482277121374405E-3</v>
      </c>
      <c r="Y995">
        <v>105095</v>
      </c>
      <c r="Z995">
        <v>251250000</v>
      </c>
      <c r="AA995">
        <v>1954767.0000000002</v>
      </c>
      <c r="AB995">
        <v>125625000</v>
      </c>
      <c r="AC995">
        <v>8.3657711442786066E-4</v>
      </c>
      <c r="AD995">
        <v>78225.98</v>
      </c>
      <c r="AE995">
        <v>0.19489999999999999</v>
      </c>
      <c r="AF995">
        <v>6637990</v>
      </c>
      <c r="AG995">
        <v>4185060.0000000005</v>
      </c>
      <c r="AH995">
        <v>1075910</v>
      </c>
      <c r="AI995">
        <v>81270</v>
      </c>
      <c r="AJ995">
        <v>2685940</v>
      </c>
      <c r="AK995">
        <v>4.7187675849471851E-9</v>
      </c>
      <c r="AL995">
        <v>0.40463152249400797</v>
      </c>
    </row>
    <row r="996" spans="2:38">
      <c r="B996">
        <v>8.9638808331137208E-3</v>
      </c>
      <c r="C996">
        <v>19</v>
      </c>
      <c r="D996">
        <v>18.97</v>
      </c>
      <c r="E996">
        <v>1.5801948907032467E-3</v>
      </c>
      <c r="F996">
        <v>260894</v>
      </c>
      <c r="G996">
        <v>251250000</v>
      </c>
      <c r="H996">
        <v>4962203.88</v>
      </c>
      <c r="I996">
        <v>125625000</v>
      </c>
      <c r="J996">
        <v>2.07676815920398E-3</v>
      </c>
      <c r="K996">
        <v>78793.41</v>
      </c>
      <c r="L996">
        <v>0.17469999999999999</v>
      </c>
      <c r="M996">
        <v>6637990</v>
      </c>
      <c r="N996">
        <v>4185060.0000000005</v>
      </c>
      <c r="O996">
        <v>1075910</v>
      </c>
      <c r="P996">
        <v>81270</v>
      </c>
      <c r="Q996">
        <v>2685940</v>
      </c>
      <c r="R996">
        <v>1.7096361418548846E-9</v>
      </c>
      <c r="S996">
        <v>0.40463152249400797</v>
      </c>
      <c r="U996">
        <v>2.9689608636977099E-2</v>
      </c>
      <c r="V996">
        <v>18.48</v>
      </c>
      <c r="W996">
        <v>18.420000000000002</v>
      </c>
      <c r="X996">
        <f t="shared" si="16"/>
        <v>3.2520325203251334E-3</v>
      </c>
      <c r="Y996">
        <v>201388</v>
      </c>
      <c r="Z996">
        <v>251250000</v>
      </c>
      <c r="AA996">
        <v>3711580.84</v>
      </c>
      <c r="AB996">
        <v>125625000</v>
      </c>
      <c r="AC996">
        <v>1.6030885572139303E-3</v>
      </c>
      <c r="AD996">
        <v>77740.31</v>
      </c>
      <c r="AE996">
        <v>0.19489999999999999</v>
      </c>
      <c r="AF996">
        <v>6637990</v>
      </c>
      <c r="AG996">
        <v>4185060.0000000005</v>
      </c>
      <c r="AH996">
        <v>1075910</v>
      </c>
      <c r="AI996">
        <v>81270</v>
      </c>
      <c r="AJ996">
        <v>2685940</v>
      </c>
      <c r="AK996">
        <v>1.6177383899381923E-9</v>
      </c>
      <c r="AL996">
        <v>0.40463152249400797</v>
      </c>
    </row>
    <row r="997" spans="2:38">
      <c r="B997">
        <v>1.320306311064167E-2</v>
      </c>
      <c r="C997">
        <v>18.899999999999999</v>
      </c>
      <c r="D997">
        <v>18.89</v>
      </c>
      <c r="E997">
        <v>5.2924053982524532E-4</v>
      </c>
      <c r="F997">
        <v>72752</v>
      </c>
      <c r="G997">
        <v>251250000</v>
      </c>
      <c r="H997">
        <v>1372102.72</v>
      </c>
      <c r="I997">
        <v>125625000</v>
      </c>
      <c r="J997">
        <v>5.7912039800995022E-4</v>
      </c>
      <c r="K997">
        <v>78260.86</v>
      </c>
      <c r="L997">
        <v>0.17469999999999999</v>
      </c>
      <c r="M997">
        <v>6637990</v>
      </c>
      <c r="N997">
        <v>4185060.0000000005</v>
      </c>
      <c r="O997">
        <v>1075910</v>
      </c>
      <c r="P997">
        <v>81270</v>
      </c>
      <c r="Q997">
        <v>2685940</v>
      </c>
      <c r="R997">
        <v>1.5424516587228043E-9</v>
      </c>
      <c r="S997">
        <v>0.40463152249400797</v>
      </c>
      <c r="U997">
        <v>3.4993270524898985E-2</v>
      </c>
      <c r="V997">
        <v>18.36</v>
      </c>
      <c r="W997">
        <v>18.309999999999999</v>
      </c>
      <c r="X997">
        <f t="shared" si="16"/>
        <v>2.7270248159258635E-3</v>
      </c>
      <c r="Y997">
        <v>59886</v>
      </c>
      <c r="Z997">
        <v>251250000</v>
      </c>
      <c r="AA997">
        <v>1097111.52</v>
      </c>
      <c r="AB997">
        <v>125625000</v>
      </c>
      <c r="AC997">
        <v>4.7670447761194028E-4</v>
      </c>
      <c r="AD997">
        <v>77886.990000000005</v>
      </c>
      <c r="AE997">
        <v>0.19489999999999999</v>
      </c>
      <c r="AF997">
        <v>6637990</v>
      </c>
      <c r="AG997">
        <v>4185060.0000000005</v>
      </c>
      <c r="AH997">
        <v>1075910</v>
      </c>
      <c r="AI997">
        <v>81270</v>
      </c>
      <c r="AJ997">
        <v>2685940</v>
      </c>
      <c r="AK997">
        <v>2.4944837646568036E-9</v>
      </c>
      <c r="AL997">
        <v>0.40463152249400797</v>
      </c>
    </row>
    <row r="998" spans="2:38">
      <c r="B998">
        <v>0.12256267409470746</v>
      </c>
      <c r="C998">
        <v>18.91</v>
      </c>
      <c r="D998">
        <v>18.809999999999999</v>
      </c>
      <c r="E998">
        <v>5.3022269353129071E-3</v>
      </c>
      <c r="F998">
        <v>257862</v>
      </c>
      <c r="G998">
        <v>251250000</v>
      </c>
      <c r="H998">
        <v>4873591.8</v>
      </c>
      <c r="I998">
        <v>125625000</v>
      </c>
      <c r="J998">
        <v>2.0526328358208955E-3</v>
      </c>
      <c r="K998">
        <v>77745.52</v>
      </c>
      <c r="L998">
        <v>0.189</v>
      </c>
      <c r="M998">
        <v>6637990</v>
      </c>
      <c r="N998">
        <v>4185060.0000000005</v>
      </c>
      <c r="O998">
        <v>1075910</v>
      </c>
      <c r="P998">
        <v>81270</v>
      </c>
      <c r="Q998">
        <v>2685940</v>
      </c>
      <c r="R998">
        <v>1.9729564990208248E-9</v>
      </c>
      <c r="S998">
        <v>0.40463152249400797</v>
      </c>
      <c r="U998">
        <v>1.7563117453347987E-2</v>
      </c>
      <c r="V998">
        <v>18.309999999999999</v>
      </c>
      <c r="W998">
        <v>18.3</v>
      </c>
      <c r="X998">
        <f t="shared" si="16"/>
        <v>5.4629882545741658E-4</v>
      </c>
      <c r="Y998">
        <v>98706</v>
      </c>
      <c r="Z998">
        <v>251250000</v>
      </c>
      <c r="AA998">
        <v>1803358.6199999999</v>
      </c>
      <c r="AB998">
        <v>125625000</v>
      </c>
      <c r="AC998">
        <v>7.8571940298507461E-4</v>
      </c>
      <c r="AD998">
        <v>78628.81</v>
      </c>
      <c r="AE998">
        <v>0.19489999999999999</v>
      </c>
      <c r="AF998">
        <v>6637990</v>
      </c>
      <c r="AG998">
        <v>4185060.0000000005</v>
      </c>
      <c r="AH998">
        <v>1075910</v>
      </c>
      <c r="AI998">
        <v>81270</v>
      </c>
      <c r="AJ998">
        <v>2685940</v>
      </c>
      <c r="AK998">
        <v>9.0905061484395385E-10</v>
      </c>
      <c r="AL998">
        <v>0.40463152249400797</v>
      </c>
    </row>
    <row r="999" spans="2:38">
      <c r="B999">
        <v>1.1197014129565495E-2</v>
      </c>
      <c r="C999">
        <v>18.7</v>
      </c>
      <c r="D999">
        <v>18.649999999999999</v>
      </c>
      <c r="E999">
        <v>2.6773761713521135E-3</v>
      </c>
      <c r="F999">
        <v>87830</v>
      </c>
      <c r="G999">
        <v>251250000</v>
      </c>
      <c r="H999">
        <v>1644177.5999999999</v>
      </c>
      <c r="I999">
        <v>125625000</v>
      </c>
      <c r="J999">
        <v>6.9914427860696515E-4</v>
      </c>
      <c r="K999">
        <v>77830.34</v>
      </c>
      <c r="L999">
        <v>0.189</v>
      </c>
      <c r="M999">
        <v>6637990</v>
      </c>
      <c r="N999">
        <v>4185060.0000000005</v>
      </c>
      <c r="O999">
        <v>1075910</v>
      </c>
      <c r="P999">
        <v>81270</v>
      </c>
      <c r="Q999">
        <v>2685940</v>
      </c>
      <c r="R999">
        <v>4.5147906828544522E-9</v>
      </c>
      <c r="S999">
        <v>0.40463152249400797</v>
      </c>
      <c r="U999">
        <v>2.7397260273972601E-2</v>
      </c>
      <c r="V999">
        <v>18.3</v>
      </c>
      <c r="W999">
        <v>18.29</v>
      </c>
      <c r="X999">
        <f t="shared" si="16"/>
        <v>5.4659743099215972E-4</v>
      </c>
      <c r="Y999">
        <v>206683</v>
      </c>
      <c r="Z999">
        <v>251250000</v>
      </c>
      <c r="AA999">
        <v>3782298.9000000004</v>
      </c>
      <c r="AB999">
        <v>125625000</v>
      </c>
      <c r="AC999">
        <v>1.6452378109452737E-3</v>
      </c>
      <c r="AD999">
        <v>78827.740000000005</v>
      </c>
      <c r="AE999">
        <v>0.19489999999999999</v>
      </c>
      <c r="AF999">
        <v>6637990</v>
      </c>
      <c r="AG999">
        <v>4185060.0000000005</v>
      </c>
      <c r="AH999">
        <v>1075910</v>
      </c>
      <c r="AI999">
        <v>81270</v>
      </c>
      <c r="AJ999">
        <v>2685940</v>
      </c>
      <c r="AK999">
        <v>2.8863479212828355E-10</v>
      </c>
      <c r="AL999">
        <v>0.40463152249400797</v>
      </c>
    </row>
    <row r="1000" spans="2:38">
      <c r="B1000">
        <v>1.762349799732987E-2</v>
      </c>
      <c r="C1000">
        <v>18.89</v>
      </c>
      <c r="D1000">
        <v>18.829999999999998</v>
      </c>
      <c r="E1000">
        <v>3.1813361611878195E-3</v>
      </c>
      <c r="F1000">
        <v>198142</v>
      </c>
      <c r="G1000">
        <v>251250000</v>
      </c>
      <c r="H1000">
        <v>3736958.12</v>
      </c>
      <c r="I1000">
        <v>125625000</v>
      </c>
      <c r="J1000">
        <v>1.5772497512437811E-3</v>
      </c>
      <c r="K1000">
        <v>78045.31</v>
      </c>
      <c r="L1000">
        <v>0.189</v>
      </c>
      <c r="M1000">
        <v>6637990</v>
      </c>
      <c r="N1000">
        <v>4185060.0000000005</v>
      </c>
      <c r="O1000">
        <v>1075910</v>
      </c>
      <c r="P1000">
        <v>81270</v>
      </c>
      <c r="Q1000">
        <v>2685940</v>
      </c>
      <c r="R1000">
        <v>9.9690328976280049E-10</v>
      </c>
      <c r="S1000">
        <v>0.40463152249400797</v>
      </c>
      <c r="U1000">
        <v>2.3287300297860802E-2</v>
      </c>
      <c r="V1000">
        <v>18.399999999999999</v>
      </c>
      <c r="W1000">
        <v>18.25</v>
      </c>
      <c r="X1000">
        <f t="shared" si="16"/>
        <v>8.1855388813096095E-3</v>
      </c>
      <c r="Y1000">
        <v>328767</v>
      </c>
      <c r="Z1000">
        <v>251250000</v>
      </c>
      <c r="AA1000">
        <v>6023011.4400000004</v>
      </c>
      <c r="AB1000">
        <v>125625000</v>
      </c>
      <c r="AC1000">
        <v>2.6170507462686568E-3</v>
      </c>
      <c r="AD1000">
        <v>78029.509999999995</v>
      </c>
      <c r="AE1000">
        <v>0.19489999999999999</v>
      </c>
      <c r="AF1000">
        <v>6637990</v>
      </c>
      <c r="AG1000">
        <v>4185060.0000000005</v>
      </c>
      <c r="AH1000">
        <v>1075910</v>
      </c>
      <c r="AI1000">
        <v>81270</v>
      </c>
      <c r="AJ1000">
        <v>2685940</v>
      </c>
      <c r="AK1000">
        <v>1.9701498636379776E-9</v>
      </c>
      <c r="AL1000">
        <v>0.40463152249400797</v>
      </c>
    </row>
    <row r="1001" spans="2:38">
      <c r="B1001">
        <v>2.5613660618996819E-2</v>
      </c>
      <c r="C1001">
        <v>18.89</v>
      </c>
      <c r="D1001">
        <v>18.809999999999999</v>
      </c>
      <c r="E1001">
        <v>4.2440318302388244E-3</v>
      </c>
      <c r="F1001">
        <v>63389</v>
      </c>
      <c r="G1001">
        <v>251250000</v>
      </c>
      <c r="H1001">
        <v>1191079.31</v>
      </c>
      <c r="I1001">
        <v>125625000</v>
      </c>
      <c r="J1001">
        <v>5.0458905472636813E-4</v>
      </c>
      <c r="K1001">
        <v>78105.98</v>
      </c>
      <c r="L1001">
        <v>0.189</v>
      </c>
      <c r="M1001">
        <v>6637990</v>
      </c>
      <c r="N1001">
        <v>4185060.0000000005</v>
      </c>
      <c r="O1001">
        <v>1075910</v>
      </c>
      <c r="P1001">
        <v>81270</v>
      </c>
      <c r="Q1001">
        <v>2685940</v>
      </c>
      <c r="R1001">
        <v>7.665289540277731E-9</v>
      </c>
      <c r="S1001">
        <v>0.40463152249400797</v>
      </c>
      <c r="U1001">
        <v>2.6666666666666668E-2</v>
      </c>
      <c r="V1001">
        <v>18.5</v>
      </c>
      <c r="W1001">
        <v>18.489999999999998</v>
      </c>
      <c r="X1001">
        <f t="shared" si="16"/>
        <v>5.4068667207361797E-4</v>
      </c>
      <c r="Y1001">
        <v>231933</v>
      </c>
      <c r="Z1001">
        <v>251250000</v>
      </c>
      <c r="AA1001">
        <v>4300037.8199999994</v>
      </c>
      <c r="AB1001">
        <v>125625000</v>
      </c>
      <c r="AC1001">
        <v>1.8462328358208955E-3</v>
      </c>
      <c r="AD1001">
        <v>78469.33</v>
      </c>
      <c r="AE1001">
        <v>0.19489999999999999</v>
      </c>
      <c r="AF1001">
        <v>6637990</v>
      </c>
      <c r="AG1001">
        <v>4185060.0000000005</v>
      </c>
      <c r="AH1001">
        <v>1075910</v>
      </c>
      <c r="AI1001">
        <v>81270</v>
      </c>
      <c r="AJ1001">
        <v>2685940</v>
      </c>
      <c r="AK1001">
        <v>3.2162013016998621E-9</v>
      </c>
      <c r="AL1001">
        <v>0.40463152249400797</v>
      </c>
    </row>
    <row r="1002" spans="2:38">
      <c r="B1002">
        <v>1.0752688172042972E-2</v>
      </c>
      <c r="C1002">
        <v>18.690000000000001</v>
      </c>
      <c r="D1002">
        <v>18.61</v>
      </c>
      <c r="E1002">
        <v>4.2895442359250323E-3</v>
      </c>
      <c r="F1002">
        <v>138568</v>
      </c>
      <c r="G1002">
        <v>251250000</v>
      </c>
      <c r="H1002">
        <v>2580136.16</v>
      </c>
      <c r="I1002">
        <v>125625000</v>
      </c>
      <c r="J1002">
        <v>1.1030288557213931E-3</v>
      </c>
      <c r="K1002">
        <v>77877.42</v>
      </c>
      <c r="L1002">
        <v>0.189</v>
      </c>
      <c r="M1002">
        <v>6637990</v>
      </c>
      <c r="N1002">
        <v>4185060.0000000005</v>
      </c>
      <c r="O1002">
        <v>1075910</v>
      </c>
      <c r="P1002">
        <v>81270</v>
      </c>
      <c r="Q1002">
        <v>2685940</v>
      </c>
      <c r="R1002">
        <v>2.0927453823046736E-9</v>
      </c>
      <c r="S1002">
        <v>0.40463152249400797</v>
      </c>
      <c r="U1002">
        <v>1.8691588785046613E-2</v>
      </c>
      <c r="V1002">
        <v>18.89</v>
      </c>
      <c r="W1002">
        <v>18.63</v>
      </c>
      <c r="X1002">
        <f t="shared" si="16"/>
        <v>1.385927505330499E-2</v>
      </c>
      <c r="Y1002">
        <v>144954</v>
      </c>
      <c r="Z1002">
        <v>251250000</v>
      </c>
      <c r="AA1002">
        <v>2725135.2</v>
      </c>
      <c r="AB1002">
        <v>125625000</v>
      </c>
      <c r="AC1002">
        <v>1.1538626865671641E-3</v>
      </c>
      <c r="AD1002">
        <v>79397.009999999995</v>
      </c>
      <c r="AE1002">
        <v>0.19489999999999999</v>
      </c>
      <c r="AF1002">
        <v>6637990</v>
      </c>
      <c r="AG1002">
        <v>4185060.0000000005</v>
      </c>
      <c r="AH1002">
        <v>1075910</v>
      </c>
      <c r="AI1002">
        <v>81270</v>
      </c>
      <c r="AJ1002">
        <v>2685940</v>
      </c>
      <c r="AK1002">
        <v>2.5551181144599608E-9</v>
      </c>
      <c r="AL1002">
        <v>0.40463152249400797</v>
      </c>
    </row>
    <row r="1003" spans="2:38">
      <c r="B1003">
        <v>8.0753701211304756E-3</v>
      </c>
      <c r="C1003">
        <v>18.62</v>
      </c>
      <c r="D1003">
        <v>18.559999999999999</v>
      </c>
      <c r="E1003">
        <v>3.2275416890802729E-3</v>
      </c>
      <c r="F1003">
        <v>167407</v>
      </c>
      <c r="G1003">
        <v>251250000</v>
      </c>
      <c r="H1003">
        <v>3100377.64</v>
      </c>
      <c r="I1003">
        <v>125625000</v>
      </c>
      <c r="J1003">
        <v>1.3325930348258707E-3</v>
      </c>
      <c r="K1003">
        <v>77980.289999999994</v>
      </c>
      <c r="L1003">
        <v>0.189</v>
      </c>
      <c r="M1003">
        <v>6637990</v>
      </c>
      <c r="N1003">
        <v>4185060.0000000005</v>
      </c>
      <c r="O1003">
        <v>1075910</v>
      </c>
      <c r="P1003">
        <v>81270</v>
      </c>
      <c r="Q1003">
        <v>2685940</v>
      </c>
      <c r="R1003">
        <v>3.7865046821759018E-9</v>
      </c>
      <c r="S1003">
        <v>0.40463152249400797</v>
      </c>
      <c r="U1003">
        <v>9.0933404653651614E-3</v>
      </c>
      <c r="V1003">
        <v>18.72</v>
      </c>
      <c r="W1003">
        <v>18.71</v>
      </c>
      <c r="X1003">
        <f t="shared" si="16"/>
        <v>5.3433075073459847E-4</v>
      </c>
      <c r="Y1003">
        <v>77312</v>
      </c>
      <c r="Z1003">
        <v>251250000</v>
      </c>
      <c r="AA1003">
        <v>1443415.04</v>
      </c>
      <c r="AB1003">
        <v>125625000</v>
      </c>
      <c r="AC1003">
        <v>6.1541890547263682E-4</v>
      </c>
      <c r="AD1003">
        <v>78987.09</v>
      </c>
      <c r="AE1003">
        <v>0.19489999999999999</v>
      </c>
      <c r="AF1003">
        <v>6637990</v>
      </c>
      <c r="AG1003">
        <v>4185060.0000000005</v>
      </c>
      <c r="AH1003">
        <v>1075910</v>
      </c>
      <c r="AI1003">
        <v>81270</v>
      </c>
      <c r="AJ1003">
        <v>2685940</v>
      </c>
      <c r="AK1003">
        <v>7.4136054293253336E-10</v>
      </c>
      <c r="AL1003">
        <v>0.40463152249400797</v>
      </c>
    </row>
    <row r="1004" spans="2:38">
      <c r="B1004">
        <v>2.7192748600373313E-2</v>
      </c>
      <c r="C1004">
        <v>18.77</v>
      </c>
      <c r="D1004">
        <v>18.7</v>
      </c>
      <c r="E1004">
        <v>3.7363223912463455E-3</v>
      </c>
      <c r="F1004">
        <v>485251</v>
      </c>
      <c r="G1004">
        <v>251250000</v>
      </c>
      <c r="H1004">
        <v>9093603.7399999984</v>
      </c>
      <c r="I1004">
        <v>125625000</v>
      </c>
      <c r="J1004">
        <v>3.8626945273631842E-3</v>
      </c>
      <c r="K1004">
        <v>78569.59</v>
      </c>
      <c r="L1004">
        <v>0.189</v>
      </c>
      <c r="M1004">
        <v>6637990</v>
      </c>
      <c r="N1004">
        <v>4185060.0000000005</v>
      </c>
      <c r="O1004">
        <v>1075910</v>
      </c>
      <c r="P1004">
        <v>81270</v>
      </c>
      <c r="Q1004">
        <v>2685940</v>
      </c>
      <c r="R1004">
        <v>2.0726840621347743E-9</v>
      </c>
      <c r="S1004">
        <v>0.40463152249400797</v>
      </c>
      <c r="U1004">
        <v>2.1802712044668979E-2</v>
      </c>
      <c r="V1004">
        <v>18.73</v>
      </c>
      <c r="W1004">
        <v>18.7</v>
      </c>
      <c r="X1004">
        <f t="shared" si="16"/>
        <v>1.6029922522041752E-3</v>
      </c>
      <c r="Y1004">
        <v>202448</v>
      </c>
      <c r="Z1004">
        <v>251250000</v>
      </c>
      <c r="AA1004">
        <v>3783753.12</v>
      </c>
      <c r="AB1004">
        <v>125625000</v>
      </c>
      <c r="AC1004">
        <v>1.6115263681592039E-3</v>
      </c>
      <c r="AD1004">
        <v>78539.19</v>
      </c>
      <c r="AE1004">
        <v>0.19489999999999999</v>
      </c>
      <c r="AF1004">
        <v>6637990</v>
      </c>
      <c r="AG1004">
        <v>4185060.0000000005</v>
      </c>
      <c r="AH1004">
        <v>1075910</v>
      </c>
      <c r="AI1004">
        <v>81270</v>
      </c>
      <c r="AJ1004">
        <v>2685940</v>
      </c>
      <c r="AK1004">
        <v>0</v>
      </c>
      <c r="AL1004">
        <v>0.40463152249400797</v>
      </c>
    </row>
    <row r="1005" spans="2:38">
      <c r="B1005">
        <v>1.356993736951973E-2</v>
      </c>
      <c r="C1005">
        <v>19.14</v>
      </c>
      <c r="D1005">
        <v>19.079999999999998</v>
      </c>
      <c r="E1005">
        <v>3.1397174254318302E-3</v>
      </c>
      <c r="F1005">
        <v>207576</v>
      </c>
      <c r="G1005">
        <v>251250000</v>
      </c>
      <c r="H1005">
        <v>3964701.6</v>
      </c>
      <c r="I1005">
        <v>125625000</v>
      </c>
      <c r="J1005">
        <v>1.6523462686567165E-3</v>
      </c>
      <c r="K1005">
        <v>77874.22</v>
      </c>
      <c r="L1005">
        <v>0.189</v>
      </c>
      <c r="M1005">
        <v>6637990</v>
      </c>
      <c r="N1005">
        <v>4185060.0000000005</v>
      </c>
      <c r="O1005">
        <v>1075910</v>
      </c>
      <c r="P1005">
        <v>81270</v>
      </c>
      <c r="Q1005">
        <v>2685940</v>
      </c>
      <c r="R1005">
        <v>1.5747708119976354E-9</v>
      </c>
      <c r="S1005">
        <v>0.40463152249400797</v>
      </c>
      <c r="U1005">
        <v>6.2243100411039302E-2</v>
      </c>
      <c r="V1005">
        <v>83</v>
      </c>
      <c r="W1005">
        <v>82.99</v>
      </c>
      <c r="X1005">
        <f t="shared" si="16"/>
        <v>1.2048918609560956E-4</v>
      </c>
      <c r="Y1005">
        <v>1886283</v>
      </c>
      <c r="Z1005">
        <v>335633933</v>
      </c>
      <c r="AA1005">
        <v>156240820.88999999</v>
      </c>
      <c r="AB1005">
        <v>83908483</v>
      </c>
      <c r="AC1005">
        <v>2.2480241955989123E-2</v>
      </c>
      <c r="AD1005">
        <v>82074.45</v>
      </c>
      <c r="AE1005">
        <v>0.1741</v>
      </c>
      <c r="AF1005">
        <v>70184196.879999995</v>
      </c>
      <c r="AG1005">
        <v>43830600.460000001</v>
      </c>
      <c r="AH1005">
        <v>1299238.8799999999</v>
      </c>
      <c r="AI1005">
        <v>3773765.74</v>
      </c>
      <c r="AJ1005">
        <v>35369085.25</v>
      </c>
      <c r="AK1005">
        <v>3.6848222268832243E-10</v>
      </c>
      <c r="AL1005">
        <v>0.50394656948876382</v>
      </c>
    </row>
    <row r="1006" spans="2:38">
      <c r="B1006">
        <v>1.990570979570469E-2</v>
      </c>
      <c r="C1006">
        <v>19.2</v>
      </c>
      <c r="D1006">
        <v>19.16</v>
      </c>
      <c r="E1006">
        <v>2.085505735140727E-3</v>
      </c>
      <c r="F1006">
        <v>365086</v>
      </c>
      <c r="G1006">
        <v>251250000</v>
      </c>
      <c r="H1006">
        <v>7016952.9199999999</v>
      </c>
      <c r="I1006">
        <v>125625000</v>
      </c>
      <c r="J1006">
        <v>2.9061572139303482E-3</v>
      </c>
      <c r="K1006">
        <v>77114.490000000005</v>
      </c>
      <c r="L1006">
        <v>0.189</v>
      </c>
      <c r="M1006">
        <v>6637990</v>
      </c>
      <c r="N1006">
        <v>4185060.0000000005</v>
      </c>
      <c r="O1006">
        <v>1075910</v>
      </c>
      <c r="P1006">
        <v>81270</v>
      </c>
      <c r="Q1006">
        <v>2685940</v>
      </c>
      <c r="R1006">
        <v>1.4985489040885582E-9</v>
      </c>
      <c r="S1006">
        <v>0.40463152249400797</v>
      </c>
      <c r="U1006">
        <v>4.7673098751418876E-2</v>
      </c>
      <c r="V1006">
        <v>88</v>
      </c>
      <c r="W1006">
        <v>87.95</v>
      </c>
      <c r="X1006">
        <f t="shared" si="16"/>
        <v>5.6834327934068949E-4</v>
      </c>
      <c r="Y1006">
        <v>616412</v>
      </c>
      <c r="Z1006">
        <v>335633933</v>
      </c>
      <c r="AA1006">
        <v>54176450.68</v>
      </c>
      <c r="AB1006">
        <v>83908483</v>
      </c>
      <c r="AC1006">
        <v>7.3462417381565583E-3</v>
      </c>
      <c r="AD1006">
        <v>81459.289999999994</v>
      </c>
      <c r="AE1006">
        <v>0.1741</v>
      </c>
      <c r="AF1006">
        <v>70184196.879999995</v>
      </c>
      <c r="AG1006">
        <v>43830600.460000001</v>
      </c>
      <c r="AH1006">
        <v>1299238.8799999999</v>
      </c>
      <c r="AI1006">
        <v>3773765.74</v>
      </c>
      <c r="AJ1006">
        <v>35369085.25</v>
      </c>
      <c r="AK1006">
        <v>4.2761148712829677E-10</v>
      </c>
      <c r="AL1006">
        <v>0.50394656948876382</v>
      </c>
    </row>
    <row r="1007" spans="2:38">
      <c r="B1007">
        <v>3.7135278514588817E-2</v>
      </c>
      <c r="C1007">
        <v>19.03</v>
      </c>
      <c r="D1007">
        <v>19</v>
      </c>
      <c r="E1007">
        <v>1.5777018143571463E-3</v>
      </c>
      <c r="F1007">
        <v>874411</v>
      </c>
      <c r="G1007">
        <v>251250000</v>
      </c>
      <c r="H1007">
        <v>16631297.219999999</v>
      </c>
      <c r="I1007">
        <v>125625000</v>
      </c>
      <c r="J1007">
        <v>6.9604855721393036E-3</v>
      </c>
      <c r="K1007">
        <v>77191.34</v>
      </c>
      <c r="L1007">
        <v>0.19489999999999999</v>
      </c>
      <c r="M1007">
        <v>6637990</v>
      </c>
      <c r="N1007">
        <v>4185060.0000000005</v>
      </c>
      <c r="O1007">
        <v>1075910</v>
      </c>
      <c r="P1007">
        <v>81270</v>
      </c>
      <c r="Q1007">
        <v>2685940</v>
      </c>
      <c r="R1007">
        <v>1.6900731035163405E-9</v>
      </c>
      <c r="S1007">
        <v>0.40463152249400797</v>
      </c>
      <c r="U1007">
        <v>2.1316033364226012E-2</v>
      </c>
      <c r="V1007">
        <v>85.5</v>
      </c>
      <c r="W1007">
        <v>85.4</v>
      </c>
      <c r="X1007">
        <f t="shared" si="16"/>
        <v>1.1702750146283711E-3</v>
      </c>
      <c r="Y1007">
        <v>94466</v>
      </c>
      <c r="Z1007">
        <v>335633933</v>
      </c>
      <c r="AA1007">
        <v>8114629.4000000004</v>
      </c>
      <c r="AB1007">
        <v>83908483</v>
      </c>
      <c r="AC1007">
        <v>1.1258218075519254E-3</v>
      </c>
      <c r="AD1007">
        <v>80461.34</v>
      </c>
      <c r="AE1007">
        <v>0.1741</v>
      </c>
      <c r="AF1007">
        <v>70184196.879999995</v>
      </c>
      <c r="AG1007">
        <v>43830600.460000001</v>
      </c>
      <c r="AH1007">
        <v>1299238.8799999999</v>
      </c>
      <c r="AI1007">
        <v>3773765.74</v>
      </c>
      <c r="AJ1007">
        <v>35369085.25</v>
      </c>
      <c r="AK1007">
        <v>1.9623732566082098E-9</v>
      </c>
      <c r="AL1007">
        <v>0.50394656948876382</v>
      </c>
    </row>
    <row r="1008" spans="2:38">
      <c r="B1008">
        <v>1.3495276653171391E-2</v>
      </c>
      <c r="C1008">
        <v>18.47</v>
      </c>
      <c r="D1008">
        <v>18.46</v>
      </c>
      <c r="E1008">
        <v>5.4156512320595773E-4</v>
      </c>
      <c r="F1008">
        <v>176714</v>
      </c>
      <c r="G1008">
        <v>251250000</v>
      </c>
      <c r="H1008">
        <v>3269209</v>
      </c>
      <c r="I1008">
        <v>125625000</v>
      </c>
      <c r="J1008">
        <v>1.406678606965174E-3</v>
      </c>
      <c r="K1008">
        <v>77084.490000000005</v>
      </c>
      <c r="L1008">
        <v>0.19489999999999999</v>
      </c>
      <c r="M1008">
        <v>6637990</v>
      </c>
      <c r="N1008">
        <v>4185060.0000000005</v>
      </c>
      <c r="O1008">
        <v>1075910</v>
      </c>
      <c r="P1008">
        <v>81270</v>
      </c>
      <c r="Q1008">
        <v>2685940</v>
      </c>
      <c r="R1008">
        <v>1.644539729953509E-9</v>
      </c>
      <c r="S1008">
        <v>0.40463152249400797</v>
      </c>
      <c r="U1008">
        <v>3.0755106724810726E-2</v>
      </c>
      <c r="V1008">
        <v>87.5</v>
      </c>
      <c r="W1008">
        <v>87.3</v>
      </c>
      <c r="X1008">
        <f t="shared" si="16"/>
        <v>2.2883295194508334E-3</v>
      </c>
      <c r="Y1008">
        <v>159167</v>
      </c>
      <c r="Z1008">
        <v>335633933</v>
      </c>
      <c r="AA1008">
        <v>13893687.430000002</v>
      </c>
      <c r="AB1008">
        <v>83908483</v>
      </c>
      <c r="AC1008">
        <v>1.8969119010291248E-3</v>
      </c>
      <c r="AD1008">
        <v>79491.14</v>
      </c>
      <c r="AE1008">
        <v>0.1741</v>
      </c>
      <c r="AF1008">
        <v>70184196.879999995</v>
      </c>
      <c r="AG1008">
        <v>43830600.460000001</v>
      </c>
      <c r="AH1008">
        <v>1299238.8799999999</v>
      </c>
      <c r="AI1008">
        <v>3773765.74</v>
      </c>
      <c r="AJ1008">
        <v>35369085.25</v>
      </c>
      <c r="AK1008">
        <v>4.0631123441954998E-10</v>
      </c>
      <c r="AL1008">
        <v>0.50394656948876382</v>
      </c>
    </row>
    <row r="1009" spans="2:38">
      <c r="B1009">
        <v>2.5426021098187659E-2</v>
      </c>
      <c r="C1009">
        <v>18.64</v>
      </c>
      <c r="D1009">
        <v>18.600000000000001</v>
      </c>
      <c r="E1009">
        <v>2.1482277121374405E-3</v>
      </c>
      <c r="F1009">
        <v>105095</v>
      </c>
      <c r="G1009">
        <v>251250000</v>
      </c>
      <c r="H1009">
        <v>1954767.0000000002</v>
      </c>
      <c r="I1009">
        <v>125625000</v>
      </c>
      <c r="J1009">
        <v>8.3657711442786066E-4</v>
      </c>
      <c r="K1009">
        <v>78225.98</v>
      </c>
      <c r="L1009">
        <v>0.19489999999999999</v>
      </c>
      <c r="M1009">
        <v>6637990</v>
      </c>
      <c r="N1009">
        <v>4185060.0000000005</v>
      </c>
      <c r="O1009">
        <v>1075910</v>
      </c>
      <c r="P1009">
        <v>81270</v>
      </c>
      <c r="Q1009">
        <v>2685940</v>
      </c>
      <c r="R1009">
        <v>4.7187675849471851E-9</v>
      </c>
      <c r="S1009">
        <v>0.40463152249400797</v>
      </c>
      <c r="U1009">
        <v>0.11764705882352941</v>
      </c>
      <c r="V1009">
        <v>87.9</v>
      </c>
      <c r="W1009">
        <v>87.52</v>
      </c>
      <c r="X1009">
        <f t="shared" si="16"/>
        <v>4.3324592406796215E-3</v>
      </c>
      <c r="Y1009">
        <v>2394582</v>
      </c>
      <c r="Z1009">
        <v>335633933</v>
      </c>
      <c r="AA1009">
        <v>207849717.59999999</v>
      </c>
      <c r="AB1009">
        <v>83908483</v>
      </c>
      <c r="AC1009">
        <v>2.8538020404921396E-2</v>
      </c>
      <c r="AD1009">
        <v>79333.06</v>
      </c>
      <c r="AE1009">
        <v>0.1741</v>
      </c>
      <c r="AF1009">
        <v>70184196.879999995</v>
      </c>
      <c r="AG1009">
        <v>43830600.460000001</v>
      </c>
      <c r="AH1009">
        <v>1299238.8799999999</v>
      </c>
      <c r="AI1009">
        <v>3773765.74</v>
      </c>
      <c r="AJ1009">
        <v>35369085.25</v>
      </c>
      <c r="AK1009">
        <v>1.1998195821078401E-10</v>
      </c>
      <c r="AL1009">
        <v>0.50394656948876382</v>
      </c>
    </row>
    <row r="1010" spans="2:38">
      <c r="B1010">
        <v>2.9689608636977099E-2</v>
      </c>
      <c r="C1010">
        <v>18.48</v>
      </c>
      <c r="D1010">
        <v>18.420000000000002</v>
      </c>
      <c r="E1010">
        <v>3.2520325203251334E-3</v>
      </c>
      <c r="F1010">
        <v>201388</v>
      </c>
      <c r="G1010">
        <v>251250000</v>
      </c>
      <c r="H1010">
        <v>3711580.84</v>
      </c>
      <c r="I1010">
        <v>125625000</v>
      </c>
      <c r="J1010">
        <v>1.6030885572139303E-3</v>
      </c>
      <c r="K1010">
        <v>77740.31</v>
      </c>
      <c r="L1010">
        <v>0.19489999999999999</v>
      </c>
      <c r="M1010">
        <v>6637990</v>
      </c>
      <c r="N1010">
        <v>4185060.0000000005</v>
      </c>
      <c r="O1010">
        <v>1075910</v>
      </c>
      <c r="P1010">
        <v>81270</v>
      </c>
      <c r="Q1010">
        <v>2685940</v>
      </c>
      <c r="R1010">
        <v>1.6177383899381923E-9</v>
      </c>
      <c r="S1010">
        <v>0.40463152249400797</v>
      </c>
      <c r="U1010">
        <v>5.8583106267029936E-2</v>
      </c>
      <c r="V1010">
        <v>89</v>
      </c>
      <c r="W1010">
        <v>88.81</v>
      </c>
      <c r="X1010">
        <f t="shared" si="16"/>
        <v>2.1371126483324641E-3</v>
      </c>
      <c r="Y1010">
        <v>1232091</v>
      </c>
      <c r="Z1010">
        <v>335633933</v>
      </c>
      <c r="AA1010">
        <v>109680740.81999999</v>
      </c>
      <c r="AB1010">
        <v>83908483</v>
      </c>
      <c r="AC1010">
        <v>1.4683747768387137E-2</v>
      </c>
      <c r="AD1010">
        <v>79017.62</v>
      </c>
      <c r="AE1010">
        <v>0.1741</v>
      </c>
      <c r="AF1010">
        <v>70184196.879999995</v>
      </c>
      <c r="AG1010">
        <v>43830600.460000001</v>
      </c>
      <c r="AH1010">
        <v>1299238.8799999999</v>
      </c>
      <c r="AI1010">
        <v>3773765.74</v>
      </c>
      <c r="AJ1010">
        <v>35369085.25</v>
      </c>
      <c r="AK1010">
        <v>3.388606935432088E-10</v>
      </c>
      <c r="AL1010">
        <v>0.50394656948876382</v>
      </c>
    </row>
    <row r="1011" spans="2:38">
      <c r="B1011">
        <v>3.4993270524898985E-2</v>
      </c>
      <c r="C1011">
        <v>18.36</v>
      </c>
      <c r="D1011">
        <v>18.309999999999999</v>
      </c>
      <c r="E1011">
        <v>2.7270248159258635E-3</v>
      </c>
      <c r="F1011">
        <v>59886</v>
      </c>
      <c r="G1011">
        <v>251250000</v>
      </c>
      <c r="H1011">
        <v>1097111.52</v>
      </c>
      <c r="I1011">
        <v>125625000</v>
      </c>
      <c r="J1011">
        <v>4.7670447761194028E-4</v>
      </c>
      <c r="K1011">
        <v>77886.990000000005</v>
      </c>
      <c r="L1011">
        <v>0.19489999999999999</v>
      </c>
      <c r="M1011">
        <v>6637990</v>
      </c>
      <c r="N1011">
        <v>4185060.0000000005</v>
      </c>
      <c r="O1011">
        <v>1075910</v>
      </c>
      <c r="P1011">
        <v>81270</v>
      </c>
      <c r="Q1011">
        <v>2685940</v>
      </c>
      <c r="R1011">
        <v>2.4944837646568036E-9</v>
      </c>
      <c r="S1011">
        <v>0.40463152249400797</v>
      </c>
      <c r="U1011">
        <v>3.0783636682858259E-2</v>
      </c>
      <c r="V1011">
        <v>86.75</v>
      </c>
      <c r="W1011">
        <v>86.5</v>
      </c>
      <c r="X1011">
        <f t="shared" si="16"/>
        <v>2.886002886002886E-3</v>
      </c>
      <c r="Y1011">
        <v>216306</v>
      </c>
      <c r="Z1011">
        <v>335633933</v>
      </c>
      <c r="AA1011">
        <v>18565543.98</v>
      </c>
      <c r="AB1011">
        <v>83908483</v>
      </c>
      <c r="AC1011">
        <v>2.577879998140355E-3</v>
      </c>
      <c r="AD1011">
        <v>78651.8</v>
      </c>
      <c r="AE1011">
        <v>0.1741</v>
      </c>
      <c r="AF1011">
        <v>70184196.879999995</v>
      </c>
      <c r="AG1011">
        <v>43830600.460000001</v>
      </c>
      <c r="AH1011">
        <v>1299238.8799999999</v>
      </c>
      <c r="AI1011">
        <v>3773765.74</v>
      </c>
      <c r="AJ1011">
        <v>35369085.25</v>
      </c>
      <c r="AK1011">
        <v>3.7282145051013537E-10</v>
      </c>
      <c r="AL1011">
        <v>0.50394656948876382</v>
      </c>
    </row>
    <row r="1012" spans="2:38">
      <c r="B1012">
        <v>1.7563117453347987E-2</v>
      </c>
      <c r="C1012">
        <v>18.309999999999999</v>
      </c>
      <c r="D1012">
        <v>18.3</v>
      </c>
      <c r="E1012">
        <v>5.4629882545741658E-4</v>
      </c>
      <c r="F1012">
        <v>98706</v>
      </c>
      <c r="G1012">
        <v>251250000</v>
      </c>
      <c r="H1012">
        <v>1803358.6199999999</v>
      </c>
      <c r="I1012">
        <v>125625000</v>
      </c>
      <c r="J1012">
        <v>7.8571940298507461E-4</v>
      </c>
      <c r="K1012">
        <v>78628.81</v>
      </c>
      <c r="L1012">
        <v>0.19489999999999999</v>
      </c>
      <c r="M1012">
        <v>6637990</v>
      </c>
      <c r="N1012">
        <v>4185060.0000000005</v>
      </c>
      <c r="O1012">
        <v>1075910</v>
      </c>
      <c r="P1012">
        <v>81270</v>
      </c>
      <c r="Q1012">
        <v>2685940</v>
      </c>
      <c r="R1012">
        <v>9.0905061484395385E-10</v>
      </c>
      <c r="S1012">
        <v>0.40463152249400797</v>
      </c>
      <c r="U1012">
        <v>4.4195604264697055E-2</v>
      </c>
      <c r="V1012">
        <v>85.39</v>
      </c>
      <c r="W1012">
        <v>85.2</v>
      </c>
      <c r="X1012">
        <f t="shared" si="16"/>
        <v>2.2275631631396651E-3</v>
      </c>
      <c r="Y1012">
        <v>673556</v>
      </c>
      <c r="Z1012">
        <v>335633933</v>
      </c>
      <c r="AA1012">
        <v>57413913.439999998</v>
      </c>
      <c r="AB1012">
        <v>83908483</v>
      </c>
      <c r="AC1012">
        <v>8.0272694239985239E-3</v>
      </c>
      <c r="AD1012">
        <v>79286.740000000005</v>
      </c>
      <c r="AE1012">
        <v>0.1741</v>
      </c>
      <c r="AF1012">
        <v>70184196.879999995</v>
      </c>
      <c r="AG1012">
        <v>43830600.460000001</v>
      </c>
      <c r="AH1012">
        <v>1299238.8799999999</v>
      </c>
      <c r="AI1012">
        <v>3773765.74</v>
      </c>
      <c r="AJ1012">
        <v>35369085.25</v>
      </c>
      <c r="AK1012">
        <v>6.6834876198057172E-10</v>
      </c>
      <c r="AL1012">
        <v>0.50394656948876382</v>
      </c>
    </row>
    <row r="1013" spans="2:38">
      <c r="B1013">
        <v>2.7397260273972601E-2</v>
      </c>
      <c r="C1013">
        <v>18.3</v>
      </c>
      <c r="D1013">
        <v>18.29</v>
      </c>
      <c r="E1013">
        <v>5.4659743099215972E-4</v>
      </c>
      <c r="F1013">
        <v>206683</v>
      </c>
      <c r="G1013">
        <v>251250000</v>
      </c>
      <c r="H1013">
        <v>3782298.9000000004</v>
      </c>
      <c r="I1013">
        <v>125625000</v>
      </c>
      <c r="J1013">
        <v>1.6452378109452737E-3</v>
      </c>
      <c r="K1013">
        <v>78827.740000000005</v>
      </c>
      <c r="L1013">
        <v>0.19489999999999999</v>
      </c>
      <c r="M1013">
        <v>6637990</v>
      </c>
      <c r="N1013">
        <v>4185060.0000000005</v>
      </c>
      <c r="O1013">
        <v>1075910</v>
      </c>
      <c r="P1013">
        <v>81270</v>
      </c>
      <c r="Q1013">
        <v>2685940</v>
      </c>
      <c r="R1013">
        <v>2.8863479212828355E-10</v>
      </c>
      <c r="S1013">
        <v>0.40463152249400797</v>
      </c>
      <c r="U1013">
        <v>2.4006272995958679E-2</v>
      </c>
      <c r="V1013">
        <v>82.98</v>
      </c>
      <c r="W1013">
        <v>82.8</v>
      </c>
      <c r="X1013">
        <f t="shared" si="16"/>
        <v>2.1715526601520907E-3</v>
      </c>
      <c r="Y1013">
        <v>153052</v>
      </c>
      <c r="Z1013">
        <v>335633933</v>
      </c>
      <c r="AA1013">
        <v>12564038.68</v>
      </c>
      <c r="AB1013">
        <v>83908483</v>
      </c>
      <c r="AC1013">
        <v>1.8240348833383152E-3</v>
      </c>
      <c r="AD1013">
        <v>78615</v>
      </c>
      <c r="AE1013">
        <v>0.1741</v>
      </c>
      <c r="AF1013">
        <v>70184196.879999995</v>
      </c>
      <c r="AG1013">
        <v>43830600.460000001</v>
      </c>
      <c r="AH1013">
        <v>1299238.8799999999</v>
      </c>
      <c r="AI1013">
        <v>3773765.74</v>
      </c>
      <c r="AJ1013">
        <v>35369085.25</v>
      </c>
      <c r="AK1013">
        <v>7.3011591417690417E-10</v>
      </c>
      <c r="AL1013">
        <v>0.50394656948876382</v>
      </c>
    </row>
    <row r="1014" spans="2:38">
      <c r="B1014">
        <v>2.3287300297860802E-2</v>
      </c>
      <c r="C1014">
        <v>18.399999999999999</v>
      </c>
      <c r="D1014">
        <v>18.25</v>
      </c>
      <c r="E1014">
        <v>8.1855388813096095E-3</v>
      </c>
      <c r="F1014">
        <v>328767</v>
      </c>
      <c r="G1014">
        <v>251250000</v>
      </c>
      <c r="H1014">
        <v>6023011.4400000004</v>
      </c>
      <c r="I1014">
        <v>125625000</v>
      </c>
      <c r="J1014">
        <v>2.6170507462686568E-3</v>
      </c>
      <c r="K1014">
        <v>78029.509999999995</v>
      </c>
      <c r="L1014">
        <v>0.19489999999999999</v>
      </c>
      <c r="M1014">
        <v>6637990</v>
      </c>
      <c r="N1014">
        <v>4185060.0000000005</v>
      </c>
      <c r="O1014">
        <v>1075910</v>
      </c>
      <c r="P1014">
        <v>81270</v>
      </c>
      <c r="Q1014">
        <v>2685940</v>
      </c>
      <c r="R1014">
        <v>1.9701498636379776E-9</v>
      </c>
      <c r="S1014">
        <v>0.40463152249400797</v>
      </c>
      <c r="U1014">
        <v>4.0258891989786834E-2</v>
      </c>
      <c r="V1014">
        <v>83.43</v>
      </c>
      <c r="W1014">
        <v>83</v>
      </c>
      <c r="X1014">
        <f t="shared" si="16"/>
        <v>5.1673376194196572E-3</v>
      </c>
      <c r="Y1014">
        <v>185352</v>
      </c>
      <c r="Z1014">
        <v>335633933</v>
      </c>
      <c r="AA1014">
        <v>15356413.199999999</v>
      </c>
      <c r="AB1014">
        <v>83908483</v>
      </c>
      <c r="AC1014">
        <v>2.2089780838964756E-3</v>
      </c>
      <c r="AD1014">
        <v>78897.73</v>
      </c>
      <c r="AE1014">
        <v>0.1741</v>
      </c>
      <c r="AF1014">
        <v>70184196.879999995</v>
      </c>
      <c r="AG1014">
        <v>43830600.460000001</v>
      </c>
      <c r="AH1014">
        <v>1299238.8799999999</v>
      </c>
      <c r="AI1014">
        <v>3773765.74</v>
      </c>
      <c r="AJ1014">
        <v>35369085.25</v>
      </c>
      <c r="AK1014">
        <v>2.2682540242628203E-9</v>
      </c>
      <c r="AL1014">
        <v>0.50394656948876382</v>
      </c>
    </row>
    <row r="1015" spans="2:38">
      <c r="B1015">
        <v>2.6666666666666668E-2</v>
      </c>
      <c r="C1015">
        <v>18.5</v>
      </c>
      <c r="D1015">
        <v>18.489999999999998</v>
      </c>
      <c r="E1015">
        <v>5.4068667207361797E-4</v>
      </c>
      <c r="F1015">
        <v>231933</v>
      </c>
      <c r="G1015">
        <v>251250000</v>
      </c>
      <c r="H1015">
        <v>4300037.8199999994</v>
      </c>
      <c r="I1015">
        <v>125625000</v>
      </c>
      <c r="J1015">
        <v>1.8462328358208955E-3</v>
      </c>
      <c r="K1015">
        <v>78469.33</v>
      </c>
      <c r="L1015">
        <v>0.19489999999999999</v>
      </c>
      <c r="M1015">
        <v>6637990</v>
      </c>
      <c r="N1015">
        <v>4185060.0000000005</v>
      </c>
      <c r="O1015">
        <v>1075910</v>
      </c>
      <c r="P1015">
        <v>81270</v>
      </c>
      <c r="Q1015">
        <v>2685940</v>
      </c>
      <c r="R1015">
        <v>3.2162013016998621E-9</v>
      </c>
      <c r="S1015">
        <v>0.40463152249400797</v>
      </c>
      <c r="U1015">
        <v>2.70659372300604E-2</v>
      </c>
      <c r="V1015">
        <v>85.9</v>
      </c>
      <c r="W1015">
        <v>85.7</v>
      </c>
      <c r="X1015">
        <f t="shared" si="16"/>
        <v>2.331002331002364E-3</v>
      </c>
      <c r="Y1015">
        <v>55021</v>
      </c>
      <c r="Z1015">
        <v>335633933</v>
      </c>
      <c r="AA1015">
        <v>4723002.6400000006</v>
      </c>
      <c r="AB1015">
        <v>83908483</v>
      </c>
      <c r="AC1015">
        <v>6.5572631077122443E-4</v>
      </c>
      <c r="AD1015">
        <v>78863.34</v>
      </c>
      <c r="AE1015">
        <v>0.1741</v>
      </c>
      <c r="AF1015">
        <v>70184196.879999995</v>
      </c>
      <c r="AG1015">
        <v>43830600.460000001</v>
      </c>
      <c r="AH1015">
        <v>1299238.8799999999</v>
      </c>
      <c r="AI1015">
        <v>3773765.74</v>
      </c>
      <c r="AJ1015">
        <v>35369085.25</v>
      </c>
      <c r="AK1015">
        <v>3.0389498562343549E-9</v>
      </c>
      <c r="AL1015">
        <v>0.50394656948876382</v>
      </c>
    </row>
    <row r="1016" spans="2:38">
      <c r="B1016">
        <v>1.8691588785046613E-2</v>
      </c>
      <c r="C1016">
        <v>18.89</v>
      </c>
      <c r="D1016">
        <v>18.63</v>
      </c>
      <c r="E1016">
        <v>1.385927505330499E-2</v>
      </c>
      <c r="F1016">
        <v>144954</v>
      </c>
      <c r="G1016">
        <v>251250000</v>
      </c>
      <c r="H1016">
        <v>2725135.2</v>
      </c>
      <c r="I1016">
        <v>125625000</v>
      </c>
      <c r="J1016">
        <v>1.1538626865671641E-3</v>
      </c>
      <c r="K1016">
        <v>79397.009999999995</v>
      </c>
      <c r="L1016">
        <v>0.19489999999999999</v>
      </c>
      <c r="M1016">
        <v>6637990</v>
      </c>
      <c r="N1016">
        <v>4185060.0000000005</v>
      </c>
      <c r="O1016">
        <v>1075910</v>
      </c>
      <c r="P1016">
        <v>81270</v>
      </c>
      <c r="Q1016">
        <v>2685940</v>
      </c>
      <c r="R1016">
        <v>2.5551181144599608E-9</v>
      </c>
      <c r="S1016">
        <v>0.40463152249400797</v>
      </c>
      <c r="U1016">
        <v>2.7809965237543519E-2</v>
      </c>
      <c r="V1016">
        <v>87.53</v>
      </c>
      <c r="W1016">
        <v>87.5</v>
      </c>
      <c r="X1016">
        <f t="shared" si="16"/>
        <v>3.4279837742102651E-4</v>
      </c>
      <c r="Y1016">
        <v>365060</v>
      </c>
      <c r="Z1016">
        <v>335633933</v>
      </c>
      <c r="AA1016">
        <v>31793075.400000002</v>
      </c>
      <c r="AB1016">
        <v>83908483</v>
      </c>
      <c r="AC1016">
        <v>4.3506924085375256E-3</v>
      </c>
      <c r="AD1016">
        <v>78848.009999999995</v>
      </c>
      <c r="AE1016">
        <v>0.1741</v>
      </c>
      <c r="AF1016">
        <v>70184196.879999995</v>
      </c>
      <c r="AG1016">
        <v>43830600.460000001</v>
      </c>
      <c r="AH1016">
        <v>1299238.8799999999</v>
      </c>
      <c r="AI1016">
        <v>3773765.74</v>
      </c>
      <c r="AJ1016">
        <v>35369085.25</v>
      </c>
      <c r="AK1016">
        <v>7.5065108992734127E-10</v>
      </c>
      <c r="AL1016">
        <v>0.50394656948876382</v>
      </c>
    </row>
    <row r="1017" spans="2:38">
      <c r="B1017">
        <v>9.0933404653651614E-3</v>
      </c>
      <c r="C1017">
        <v>18.72</v>
      </c>
      <c r="D1017">
        <v>18.71</v>
      </c>
      <c r="E1017">
        <v>5.3433075073459847E-4</v>
      </c>
      <c r="F1017">
        <v>77312</v>
      </c>
      <c r="G1017">
        <v>251250000</v>
      </c>
      <c r="H1017">
        <v>1443415.04</v>
      </c>
      <c r="I1017">
        <v>125625000</v>
      </c>
      <c r="J1017">
        <v>6.1541890547263682E-4</v>
      </c>
      <c r="K1017">
        <v>78987.09</v>
      </c>
      <c r="L1017">
        <v>0.19489999999999999</v>
      </c>
      <c r="M1017">
        <v>6637990</v>
      </c>
      <c r="N1017">
        <v>4185060.0000000005</v>
      </c>
      <c r="O1017">
        <v>1075910</v>
      </c>
      <c r="P1017">
        <v>81270</v>
      </c>
      <c r="Q1017">
        <v>2685940</v>
      </c>
      <c r="R1017">
        <v>7.4136054293253336E-10</v>
      </c>
      <c r="S1017">
        <v>0.40463152249400797</v>
      </c>
      <c r="U1017">
        <v>0.10411357844921731</v>
      </c>
      <c r="V1017">
        <v>86.7</v>
      </c>
      <c r="W1017">
        <v>86</v>
      </c>
      <c r="X1017">
        <f t="shared" si="16"/>
        <v>8.1065431383903052E-3</v>
      </c>
      <c r="Y1017">
        <v>366935</v>
      </c>
      <c r="Z1017">
        <v>335633933</v>
      </c>
      <c r="AA1017">
        <v>31211491.100000001</v>
      </c>
      <c r="AB1017">
        <v>83908483</v>
      </c>
      <c r="AC1017">
        <v>4.3730381825637342E-3</v>
      </c>
      <c r="AD1017">
        <v>78356.320000000007</v>
      </c>
      <c r="AE1017">
        <v>0.17469999999999999</v>
      </c>
      <c r="AF1017">
        <v>70184196.879999995</v>
      </c>
      <c r="AG1017">
        <v>43830600.460000001</v>
      </c>
      <c r="AH1017">
        <v>1299238.8799999999</v>
      </c>
      <c r="AI1017">
        <v>3773765.74</v>
      </c>
      <c r="AJ1017">
        <v>35369085.25</v>
      </c>
      <c r="AK1017">
        <v>7.7147801026680921E-10</v>
      </c>
      <c r="AL1017">
        <v>0.50394656948876382</v>
      </c>
    </row>
    <row r="1018" spans="2:38">
      <c r="B1018">
        <v>2.1802712044668979E-2</v>
      </c>
      <c r="C1018">
        <v>18.73</v>
      </c>
      <c r="D1018">
        <v>18.7</v>
      </c>
      <c r="E1018">
        <v>1.6029922522041752E-3</v>
      </c>
      <c r="F1018">
        <v>202448</v>
      </c>
      <c r="G1018">
        <v>251250000</v>
      </c>
      <c r="H1018">
        <v>3783753.12</v>
      </c>
      <c r="I1018">
        <v>125625000</v>
      </c>
      <c r="J1018">
        <v>1.6115263681592039E-3</v>
      </c>
      <c r="K1018">
        <v>78539.19</v>
      </c>
      <c r="L1018">
        <v>0.19489999999999999</v>
      </c>
      <c r="M1018">
        <v>6637990</v>
      </c>
      <c r="N1018">
        <v>4185060.0000000005</v>
      </c>
      <c r="O1018">
        <v>1075910</v>
      </c>
      <c r="P1018">
        <v>81270</v>
      </c>
      <c r="Q1018">
        <v>2685940</v>
      </c>
      <c r="R1018">
        <v>0</v>
      </c>
      <c r="S1018">
        <v>0.40463152249400797</v>
      </c>
      <c r="U1018">
        <v>2.2905364677516644E-2</v>
      </c>
      <c r="V1018">
        <v>83.6</v>
      </c>
      <c r="W1018">
        <v>82.6</v>
      </c>
      <c r="X1018">
        <f t="shared" si="16"/>
        <v>1.2033694344163659E-2</v>
      </c>
      <c r="Y1018">
        <v>188912</v>
      </c>
      <c r="Z1018">
        <v>335633933</v>
      </c>
      <c r="AA1018">
        <v>15691030.720000001</v>
      </c>
      <c r="AB1018">
        <v>83908483</v>
      </c>
      <c r="AC1018">
        <v>2.2514052601809043E-3</v>
      </c>
      <c r="AD1018">
        <v>78283.3</v>
      </c>
      <c r="AE1018">
        <v>0.17469999999999999</v>
      </c>
      <c r="AF1018">
        <v>70184196.879999995</v>
      </c>
      <c r="AG1018">
        <v>43830600.460000001</v>
      </c>
      <c r="AH1018">
        <v>1299238.8799999999</v>
      </c>
      <c r="AI1018">
        <v>3773765.74</v>
      </c>
      <c r="AJ1018">
        <v>35369085.25</v>
      </c>
      <c r="AK1018">
        <v>4.6070368426701263E-11</v>
      </c>
      <c r="AL1018">
        <v>0.50394656948876382</v>
      </c>
    </row>
    <row r="1019" spans="2:38">
      <c r="B1019">
        <v>0</v>
      </c>
      <c r="C1019">
        <v>0</v>
      </c>
      <c r="D1019">
        <v>0</v>
      </c>
      <c r="E1019">
        <v>0</v>
      </c>
      <c r="F1019">
        <v>0</v>
      </c>
      <c r="G1019">
        <v>0</v>
      </c>
      <c r="H1019">
        <v>0</v>
      </c>
      <c r="I1019">
        <v>0</v>
      </c>
      <c r="J1019">
        <v>0</v>
      </c>
      <c r="K1019">
        <v>0</v>
      </c>
      <c r="L1019">
        <v>0</v>
      </c>
      <c r="M1019">
        <v>0</v>
      </c>
      <c r="N1019">
        <v>0</v>
      </c>
      <c r="O1019">
        <v>0</v>
      </c>
      <c r="P1019">
        <v>0</v>
      </c>
      <c r="Q1019">
        <v>0</v>
      </c>
      <c r="R1019">
        <v>0</v>
      </c>
      <c r="S1019">
        <v>0</v>
      </c>
      <c r="U1019">
        <v>2.1660649819494553E-2</v>
      </c>
      <c r="V1019">
        <v>82.95</v>
      </c>
      <c r="W1019">
        <v>82.94</v>
      </c>
      <c r="X1019">
        <f t="shared" si="16"/>
        <v>1.2056181807227821E-4</v>
      </c>
      <c r="Y1019">
        <v>196012</v>
      </c>
      <c r="Z1019">
        <v>335633933</v>
      </c>
      <c r="AA1019">
        <v>16268996</v>
      </c>
      <c r="AB1019">
        <v>83908483</v>
      </c>
      <c r="AC1019">
        <v>2.3360212578268161E-3</v>
      </c>
      <c r="AD1019">
        <v>78488.22</v>
      </c>
      <c r="AE1019">
        <v>0.17469999999999999</v>
      </c>
      <c r="AF1019">
        <v>70184196.879999995</v>
      </c>
      <c r="AG1019">
        <v>43830600.460000001</v>
      </c>
      <c r="AH1019">
        <v>1299238.8799999999</v>
      </c>
      <c r="AI1019">
        <v>3773765.74</v>
      </c>
      <c r="AJ1019">
        <v>35369085.25</v>
      </c>
      <c r="AK1019">
        <v>2.6545080238672879E-10</v>
      </c>
      <c r="AL1019">
        <v>0.50394656948876382</v>
      </c>
    </row>
    <row r="1020" spans="2:38">
      <c r="B1020" t="str">
        <v>Relative high-low price</v>
      </c>
      <c r="C1020" t="str">
        <v>Ask price</v>
      </c>
      <c r="D1020" t="str">
        <v xml:space="preserve">Bid price </v>
      </c>
      <c r="E1020" t="str">
        <v xml:space="preserve">Relative Bid-Ask Spread </v>
      </c>
      <c r="F1020" t="str">
        <v>daily trading volume</v>
      </c>
      <c r="G1020" t="str">
        <v xml:space="preserve">Common shares outstanding </v>
      </c>
      <c r="H1020" t="str">
        <v xml:space="preserve">Trading value </v>
      </c>
      <c r="I1020" t="str">
        <v xml:space="preserve">free float shares </v>
      </c>
      <c r="J1020" t="str">
        <v>Turnover</v>
      </c>
      <c r="K1020" t="str">
        <v>Daily kse-100 index</v>
      </c>
      <c r="L1020" t="str">
        <v xml:space="preserve">Risk free rate </v>
      </c>
      <c r="M1020" t="str">
        <v xml:space="preserve">Total assets </v>
      </c>
      <c r="N1020" t="str">
        <v xml:space="preserve">total liabilities </v>
      </c>
      <c r="O1020" t="str">
        <v>EBITDA</v>
      </c>
      <c r="P1020" t="str">
        <v xml:space="preserve">Cash and equivalents </v>
      </c>
      <c r="Q1020" t="str">
        <v xml:space="preserve">total debt </v>
      </c>
      <c r="R1020" t="str">
        <v>Amihud illiquidity ratio</v>
      </c>
      <c r="S1020" t="str">
        <v>Leverage ratio</v>
      </c>
      <c r="U1020">
        <v>2.4096385542168676E-2</v>
      </c>
      <c r="V1020">
        <v>83.5</v>
      </c>
      <c r="W1020">
        <v>83.25</v>
      </c>
      <c r="X1020">
        <f t="shared" si="16"/>
        <v>2.9985007496251873E-3</v>
      </c>
      <c r="Y1020">
        <v>156508</v>
      </c>
      <c r="Z1020">
        <v>335633933</v>
      </c>
      <c r="AA1020">
        <v>13046506.880000001</v>
      </c>
      <c r="AB1020">
        <v>83908483</v>
      </c>
      <c r="AC1020">
        <v>1.8652226140234236E-3</v>
      </c>
      <c r="AD1020">
        <v>78349.66</v>
      </c>
      <c r="AE1020">
        <v>0.17469999999999999</v>
      </c>
      <c r="AF1020">
        <v>70184196.879999995</v>
      </c>
      <c r="AG1020">
        <v>43830600.460000001</v>
      </c>
      <c r="AH1020">
        <v>1299238.8799999999</v>
      </c>
      <c r="AI1020">
        <v>3773765.74</v>
      </c>
      <c r="AJ1020">
        <v>35369085.25</v>
      </c>
      <c r="AK1020">
        <v>1.285130741897737E-10</v>
      </c>
      <c r="AL1020">
        <v>0.50394656948876382</v>
      </c>
    </row>
    <row r="1021" spans="2:38">
      <c r="B1021">
        <v>6.2243100411039302E-2</v>
      </c>
      <c r="C1021">
        <v>83</v>
      </c>
      <c r="D1021">
        <v>82.99</v>
      </c>
      <c r="E1021">
        <v>1.2048918609560956E-4</v>
      </c>
      <c r="F1021">
        <v>1886283</v>
      </c>
      <c r="G1021">
        <v>335633933</v>
      </c>
      <c r="H1021">
        <v>156240820.88999999</v>
      </c>
      <c r="I1021">
        <v>83908483</v>
      </c>
      <c r="J1021">
        <v>2.2480241955989123E-2</v>
      </c>
      <c r="K1021">
        <v>82074.45</v>
      </c>
      <c r="L1021">
        <v>0.1741</v>
      </c>
      <c r="M1021">
        <v>70184196880</v>
      </c>
      <c r="N1021">
        <v>43830600460</v>
      </c>
      <c r="O1021">
        <v>1299238.8799999999</v>
      </c>
      <c r="P1021">
        <v>3773765.74</v>
      </c>
      <c r="Q1021">
        <v>35369085.25</v>
      </c>
      <c r="R1021">
        <v>3.6848222268832243E-10</v>
      </c>
      <c r="S1021">
        <v>5.0394656948876378E-4</v>
      </c>
      <c r="U1021">
        <v>3.084223013048629E-2</v>
      </c>
      <c r="V1021">
        <v>83.68</v>
      </c>
      <c r="W1021">
        <v>83.21</v>
      </c>
      <c r="X1021">
        <f t="shared" si="16"/>
        <v>5.632452513631891E-3</v>
      </c>
      <c r="Y1021">
        <v>75615</v>
      </c>
      <c r="Z1021">
        <v>335633933</v>
      </c>
      <c r="AA1021">
        <v>6313852.5</v>
      </c>
      <c r="AB1021">
        <v>83908483</v>
      </c>
      <c r="AC1021">
        <v>9.0116037492895683E-4</v>
      </c>
      <c r="AD1021">
        <v>77992.789999999994</v>
      </c>
      <c r="AE1021">
        <v>0.17469999999999999</v>
      </c>
      <c r="AF1021">
        <v>70184196.879999995</v>
      </c>
      <c r="AG1021">
        <v>43830600.460000001</v>
      </c>
      <c r="AH1021">
        <v>1299238.8799999999</v>
      </c>
      <c r="AI1021">
        <v>3773765.74</v>
      </c>
      <c r="AJ1021">
        <v>35369085.25</v>
      </c>
      <c r="AK1021">
        <v>2.1147531018012723E-9</v>
      </c>
      <c r="AL1021">
        <v>0.50394656948876382</v>
      </c>
    </row>
    <row r="1022" spans="2:38">
      <c r="B1022">
        <v>4.7673098751418876E-2</v>
      </c>
      <c r="C1022">
        <v>88</v>
      </c>
      <c r="D1022">
        <v>87.95</v>
      </c>
      <c r="E1022">
        <v>5.6834327934068949E-4</v>
      </c>
      <c r="F1022">
        <v>616412</v>
      </c>
      <c r="G1022">
        <v>335633933</v>
      </c>
      <c r="H1022">
        <v>54176450.68</v>
      </c>
      <c r="I1022">
        <v>83908483</v>
      </c>
      <c r="J1022">
        <v>7.3462417381565583E-3</v>
      </c>
      <c r="K1022">
        <v>81459.289999999994</v>
      </c>
      <c r="L1022">
        <v>0.1741</v>
      </c>
      <c r="M1022">
        <v>70184196880</v>
      </c>
      <c r="N1022">
        <v>43830600.460000001</v>
      </c>
      <c r="O1022">
        <v>1299238.8799999999</v>
      </c>
      <c r="P1022">
        <v>3773765.74</v>
      </c>
      <c r="Q1022">
        <v>35369085.25</v>
      </c>
      <c r="R1022">
        <v>4.2761148712829677E-10</v>
      </c>
      <c r="S1022">
        <v>5.0394656948876378E-4</v>
      </c>
      <c r="U1022">
        <v>1.8779342723004626E-2</v>
      </c>
      <c r="V1022">
        <v>84.98</v>
      </c>
      <c r="W1022">
        <v>84.8</v>
      </c>
      <c r="X1022">
        <f t="shared" si="16"/>
        <v>2.1203910943574842E-3</v>
      </c>
      <c r="Y1022">
        <v>329010</v>
      </c>
      <c r="Z1022">
        <v>335633933</v>
      </c>
      <c r="AA1022">
        <v>27844116.299999997</v>
      </c>
      <c r="AB1022">
        <v>83908483</v>
      </c>
      <c r="AC1022">
        <v>3.9210576599269468E-3</v>
      </c>
      <c r="AD1022">
        <v>78084.240000000005</v>
      </c>
      <c r="AE1022">
        <v>0.17469999999999999</v>
      </c>
      <c r="AF1022">
        <v>70184196.879999995</v>
      </c>
      <c r="AG1022">
        <v>43830600.460000001</v>
      </c>
      <c r="AH1022">
        <v>1299238.8799999999</v>
      </c>
      <c r="AI1022">
        <v>3773765.74</v>
      </c>
      <c r="AJ1022">
        <v>35369085.25</v>
      </c>
      <c r="AK1022">
        <v>4.2770011339071301E-10</v>
      </c>
      <c r="AL1022">
        <v>0.50394656948876382</v>
      </c>
    </row>
    <row r="1023" spans="2:38">
      <c r="B1023">
        <v>2.1316033364226012E-2</v>
      </c>
      <c r="C1023">
        <v>85.5</v>
      </c>
      <c r="D1023">
        <v>85.4</v>
      </c>
      <c r="E1023">
        <v>1.1702750146283711E-3</v>
      </c>
      <c r="F1023">
        <v>94466</v>
      </c>
      <c r="G1023">
        <v>335633933</v>
      </c>
      <c r="H1023">
        <v>8114629.4000000004</v>
      </c>
      <c r="I1023">
        <v>83908483</v>
      </c>
      <c r="J1023">
        <v>1.1258218075519254E-3</v>
      </c>
      <c r="K1023">
        <v>80461.34</v>
      </c>
      <c r="L1023">
        <v>0.1741</v>
      </c>
      <c r="M1023">
        <v>70184196.879999995</v>
      </c>
      <c r="N1023">
        <v>43830600.460000001</v>
      </c>
      <c r="O1023">
        <v>1299238.8799999999</v>
      </c>
      <c r="P1023">
        <v>3773765.74</v>
      </c>
      <c r="Q1023">
        <v>35369085.25</v>
      </c>
      <c r="R1023">
        <v>1.9623732566082098E-9</v>
      </c>
      <c r="S1023">
        <v>0.50394656948876382</v>
      </c>
      <c r="U1023">
        <v>3.2596041909196703E-2</v>
      </c>
      <c r="V1023">
        <v>86</v>
      </c>
      <c r="W1023">
        <v>85.74</v>
      </c>
      <c r="X1023">
        <f t="shared" si="16"/>
        <v>3.0278327704670446E-3</v>
      </c>
      <c r="Y1023">
        <v>730201</v>
      </c>
      <c r="Z1023">
        <v>335633933</v>
      </c>
      <c r="AA1023">
        <v>62541715.650000006</v>
      </c>
      <c r="AB1023">
        <v>83908483</v>
      </c>
      <c r="AC1023">
        <v>8.7023501545129833E-3</v>
      </c>
      <c r="AD1023">
        <v>78571.06</v>
      </c>
      <c r="AE1023">
        <v>0.17469999999999999</v>
      </c>
      <c r="AF1023">
        <v>70184196.879999995</v>
      </c>
      <c r="AG1023">
        <v>43830600.460000001</v>
      </c>
      <c r="AH1023">
        <v>1299238.8799999999</v>
      </c>
      <c r="AI1023">
        <v>3773765.74</v>
      </c>
      <c r="AJ1023">
        <v>35369085.25</v>
      </c>
      <c r="AK1023">
        <v>2.368087665386E-10</v>
      </c>
      <c r="AL1023">
        <v>0.50394656948876382</v>
      </c>
    </row>
    <row r="1024" spans="2:38">
      <c r="B1024">
        <v>3.0755106724810726E-2</v>
      </c>
      <c r="C1024">
        <v>87.5</v>
      </c>
      <c r="D1024">
        <v>87.3</v>
      </c>
      <c r="E1024">
        <v>2.2883295194508334E-3</v>
      </c>
      <c r="F1024">
        <v>159167</v>
      </c>
      <c r="G1024">
        <v>335633933</v>
      </c>
      <c r="H1024">
        <v>13893687.430000002</v>
      </c>
      <c r="I1024">
        <v>83908483</v>
      </c>
      <c r="J1024">
        <v>1.8969119010291248E-3</v>
      </c>
      <c r="K1024">
        <v>79491.14</v>
      </c>
      <c r="L1024">
        <v>0.1741</v>
      </c>
      <c r="M1024">
        <v>70184196.879999995</v>
      </c>
      <c r="N1024">
        <v>43830600.460000001</v>
      </c>
      <c r="O1024">
        <v>1299238.8799999999</v>
      </c>
      <c r="P1024">
        <v>3773765.74</v>
      </c>
      <c r="Q1024">
        <v>35369085.25</v>
      </c>
      <c r="R1024">
        <v>4.0631123441954998E-10</v>
      </c>
      <c r="S1024">
        <v>0.50394656948876382</v>
      </c>
      <c r="U1024">
        <v>4.9346879535558781E-2</v>
      </c>
      <c r="V1024">
        <v>85.25</v>
      </c>
      <c r="W1024">
        <v>85.2</v>
      </c>
      <c r="X1024">
        <f t="shared" si="16"/>
        <v>5.8668231152827414E-4</v>
      </c>
      <c r="Y1024">
        <v>893518</v>
      </c>
      <c r="Z1024">
        <v>335633933</v>
      </c>
      <c r="AA1024">
        <v>75412919.200000003</v>
      </c>
      <c r="AB1024">
        <v>83908483</v>
      </c>
      <c r="AC1024">
        <v>1.0648720702053451E-2</v>
      </c>
      <c r="AD1024">
        <v>78801.429999999993</v>
      </c>
      <c r="AE1024">
        <v>0.17469999999999999</v>
      </c>
      <c r="AF1024">
        <v>70184196.879999995</v>
      </c>
      <c r="AG1024">
        <v>43830600.460000001</v>
      </c>
      <c r="AH1024">
        <v>1299238.8799999999</v>
      </c>
      <c r="AI1024">
        <v>3773765.74</v>
      </c>
      <c r="AJ1024">
        <v>35369085.25</v>
      </c>
      <c r="AK1024">
        <v>3.5028434401884388E-10</v>
      </c>
      <c r="AL1024">
        <v>0.50394656948876382</v>
      </c>
    </row>
    <row r="1025" spans="2:38">
      <c r="B1025">
        <v>0.11764705882352941</v>
      </c>
      <c r="C1025">
        <v>87.9</v>
      </c>
      <c r="D1025">
        <v>87.52</v>
      </c>
      <c r="E1025">
        <v>4.3324592406796215E-3</v>
      </c>
      <c r="F1025">
        <v>2394582</v>
      </c>
      <c r="G1025">
        <v>335633933</v>
      </c>
      <c r="H1025">
        <v>207849717.59999999</v>
      </c>
      <c r="I1025">
        <v>83908483</v>
      </c>
      <c r="J1025">
        <v>2.8538020404921396E-2</v>
      </c>
      <c r="K1025">
        <v>79333.06</v>
      </c>
      <c r="L1025">
        <v>0.1741</v>
      </c>
      <c r="M1025">
        <v>70184196.879999995</v>
      </c>
      <c r="N1025">
        <v>43830600.460000001</v>
      </c>
      <c r="O1025">
        <v>1299238.8799999999</v>
      </c>
      <c r="P1025">
        <v>3773765.74</v>
      </c>
      <c r="Q1025">
        <v>35369085.25</v>
      </c>
      <c r="R1025">
        <v>1.1998195821078401E-10</v>
      </c>
      <c r="S1025">
        <v>0.50394656948876382</v>
      </c>
      <c r="U1025">
        <v>5.0635811662275196E-2</v>
      </c>
      <c r="V1025">
        <v>87.3</v>
      </c>
      <c r="W1025">
        <v>86.81</v>
      </c>
      <c r="X1025">
        <f t="shared" si="16"/>
        <v>5.6286255815288589E-3</v>
      </c>
      <c r="Y1025">
        <v>3755300</v>
      </c>
      <c r="Z1025">
        <v>335633933</v>
      </c>
      <c r="AA1025">
        <v>325546957</v>
      </c>
      <c r="AB1025">
        <v>83908483</v>
      </c>
      <c r="AC1025">
        <v>4.4754712106998766E-2</v>
      </c>
      <c r="AD1025">
        <v>78793.41</v>
      </c>
      <c r="AE1025">
        <v>0.17469999999999999</v>
      </c>
      <c r="AF1025">
        <v>70184196.879999995</v>
      </c>
      <c r="AG1025">
        <v>43830600.460000001</v>
      </c>
      <c r="AH1025">
        <v>1299238.8799999999</v>
      </c>
      <c r="AI1025">
        <v>3773765.74</v>
      </c>
      <c r="AJ1025">
        <v>35369085.25</v>
      </c>
      <c r="AK1025">
        <v>9.5352956687536769E-11</v>
      </c>
      <c r="AL1025">
        <v>0.50394656948876382</v>
      </c>
    </row>
    <row r="1026" spans="2:38">
      <c r="B1026">
        <v>5.8583106267029936E-2</v>
      </c>
      <c r="C1026">
        <v>89</v>
      </c>
      <c r="D1026">
        <v>88.81</v>
      </c>
      <c r="E1026">
        <v>2.1371126483324641E-3</v>
      </c>
      <c r="F1026">
        <v>1232091</v>
      </c>
      <c r="G1026">
        <v>335633933</v>
      </c>
      <c r="H1026">
        <v>109680740.81999999</v>
      </c>
      <c r="I1026">
        <v>83908483</v>
      </c>
      <c r="J1026">
        <v>1.4683747768387137E-2</v>
      </c>
      <c r="K1026">
        <v>79017.62</v>
      </c>
      <c r="L1026">
        <v>0.1741</v>
      </c>
      <c r="M1026">
        <v>70184196.879999995</v>
      </c>
      <c r="N1026">
        <v>43830600.460000001</v>
      </c>
      <c r="O1026">
        <v>1299238.8799999999</v>
      </c>
      <c r="P1026">
        <v>3773765.74</v>
      </c>
      <c r="Q1026">
        <v>35369085.25</v>
      </c>
      <c r="R1026">
        <v>3.388606935432088E-10</v>
      </c>
      <c r="S1026">
        <v>0.50394656948876382</v>
      </c>
      <c r="U1026">
        <v>5.8639897165942242E-2</v>
      </c>
      <c r="V1026">
        <v>86</v>
      </c>
      <c r="W1026">
        <v>84.08</v>
      </c>
      <c r="X1026">
        <f t="shared" si="16"/>
        <v>2.2577610536218273E-2</v>
      </c>
      <c r="Y1026">
        <v>2898047</v>
      </c>
      <c r="Z1026">
        <v>335633933</v>
      </c>
      <c r="AA1026">
        <v>243667791.75999999</v>
      </c>
      <c r="AB1026">
        <v>83908483</v>
      </c>
      <c r="AC1026">
        <v>3.4538188468977563E-2</v>
      </c>
      <c r="AD1026">
        <v>78260.86</v>
      </c>
      <c r="AE1026">
        <v>0.17469999999999999</v>
      </c>
      <c r="AF1026">
        <v>70184196.879999995</v>
      </c>
      <c r="AG1026">
        <v>43830600.460000001</v>
      </c>
      <c r="AH1026">
        <v>1299238.8799999999</v>
      </c>
      <c r="AI1026">
        <v>3773765.74</v>
      </c>
      <c r="AJ1026">
        <v>35369085.25</v>
      </c>
      <c r="AK1026">
        <v>4.1018006792906811E-10</v>
      </c>
      <c r="AL1026">
        <v>0.50394656948876382</v>
      </c>
    </row>
    <row r="1027" spans="2:38">
      <c r="B1027">
        <v>3.0783636682858259E-2</v>
      </c>
      <c r="C1027">
        <v>86.75</v>
      </c>
      <c r="D1027">
        <v>86.5</v>
      </c>
      <c r="E1027">
        <v>2.886002886002886E-3</v>
      </c>
      <c r="F1027">
        <v>216306</v>
      </c>
      <c r="G1027">
        <v>335633933</v>
      </c>
      <c r="H1027">
        <v>18565543.98</v>
      </c>
      <c r="I1027">
        <v>83908483</v>
      </c>
      <c r="J1027">
        <v>2.577879998140355E-3</v>
      </c>
      <c r="K1027">
        <v>78651.8</v>
      </c>
      <c r="L1027">
        <v>0.1741</v>
      </c>
      <c r="M1027">
        <v>70184196.879999995</v>
      </c>
      <c r="N1027">
        <v>43830600.460000001</v>
      </c>
      <c r="O1027">
        <v>1299238.8799999999</v>
      </c>
      <c r="P1027">
        <v>3773765.74</v>
      </c>
      <c r="Q1027">
        <v>35369085.25</v>
      </c>
      <c r="R1027">
        <v>3.7282145051013537E-10</v>
      </c>
      <c r="S1027">
        <v>0.50394656948876382</v>
      </c>
      <c r="U1027">
        <v>4.8552512008308568E-2</v>
      </c>
      <c r="V1027">
        <v>76.5</v>
      </c>
      <c r="W1027">
        <v>76.25</v>
      </c>
      <c r="X1027">
        <f t="shared" si="16"/>
        <v>3.2733224222585926E-3</v>
      </c>
      <c r="Y1027">
        <v>151506</v>
      </c>
      <c r="Z1027">
        <v>335633933</v>
      </c>
      <c r="AA1027">
        <v>11581118.639999999</v>
      </c>
      <c r="AB1027">
        <v>83908483</v>
      </c>
      <c r="AC1027">
        <v>1.8056100477945717E-3</v>
      </c>
      <c r="AD1027">
        <v>77745.52</v>
      </c>
      <c r="AE1027">
        <v>0.189</v>
      </c>
      <c r="AF1027">
        <v>70184196.879999995</v>
      </c>
      <c r="AG1027">
        <v>43830600.460000001</v>
      </c>
      <c r="AH1027">
        <v>1299238.8799999999</v>
      </c>
      <c r="AI1027">
        <v>3773765.74</v>
      </c>
      <c r="AJ1027">
        <v>35369085.25</v>
      </c>
      <c r="AK1027">
        <v>1.498509450954936E-9</v>
      </c>
      <c r="AL1027">
        <v>0.50394656948876382</v>
      </c>
    </row>
    <row r="1028" spans="2:38">
      <c r="B1028">
        <v>4.4195604264697055E-2</v>
      </c>
      <c r="C1028">
        <v>85.39</v>
      </c>
      <c r="D1028">
        <v>85.2</v>
      </c>
      <c r="E1028">
        <v>2.2275631631396651E-3</v>
      </c>
      <c r="F1028">
        <v>673556</v>
      </c>
      <c r="G1028">
        <v>335633933</v>
      </c>
      <c r="H1028">
        <v>57413913.439999998</v>
      </c>
      <c r="I1028">
        <v>83908483</v>
      </c>
      <c r="J1028">
        <v>8.0272694239985239E-3</v>
      </c>
      <c r="K1028">
        <v>79286.740000000005</v>
      </c>
      <c r="L1028">
        <v>0.1741</v>
      </c>
      <c r="M1028">
        <v>70184196.879999995</v>
      </c>
      <c r="N1028">
        <v>43830600.460000001</v>
      </c>
      <c r="O1028">
        <v>1299238.8799999999</v>
      </c>
      <c r="P1028">
        <v>3773765.74</v>
      </c>
      <c r="Q1028">
        <v>35369085.25</v>
      </c>
      <c r="R1028">
        <v>6.6834876198057172E-10</v>
      </c>
      <c r="S1028">
        <v>0.50394656948876382</v>
      </c>
      <c r="U1028">
        <v>4.4040633478452836E-2</v>
      </c>
      <c r="V1028">
        <v>77.7</v>
      </c>
      <c r="W1028">
        <v>77.599999999999994</v>
      </c>
      <c r="X1028">
        <f t="shared" si="16"/>
        <v>1.2878300064392597E-3</v>
      </c>
      <c r="Y1028">
        <v>229561</v>
      </c>
      <c r="Z1028">
        <v>335633933</v>
      </c>
      <c r="AA1028">
        <v>17857550.190000001</v>
      </c>
      <c r="AB1028">
        <v>83908483</v>
      </c>
      <c r="AC1028">
        <v>2.7358497233229686E-3</v>
      </c>
      <c r="AD1028">
        <v>77830.34</v>
      </c>
      <c r="AE1028">
        <v>0.189</v>
      </c>
      <c r="AF1028">
        <v>70184196.879999995</v>
      </c>
      <c r="AG1028">
        <v>43830600.460000001</v>
      </c>
      <c r="AH1028">
        <v>1299238.8799999999</v>
      </c>
      <c r="AI1028">
        <v>3773765.74</v>
      </c>
      <c r="AJ1028">
        <v>35369085.25</v>
      </c>
      <c r="AK1028">
        <v>1.1907126478393649E-9</v>
      </c>
      <c r="AL1028">
        <v>0.50394656948876382</v>
      </c>
    </row>
    <row r="1029" spans="2:38">
      <c r="B1029">
        <v>2.4006272995958679E-2</v>
      </c>
      <c r="C1029">
        <v>82.98</v>
      </c>
      <c r="D1029">
        <v>82.8</v>
      </c>
      <c r="E1029">
        <v>2.1715526601520907E-3</v>
      </c>
      <c r="F1029">
        <v>153052</v>
      </c>
      <c r="G1029">
        <v>335633933</v>
      </c>
      <c r="H1029">
        <v>12564038.68</v>
      </c>
      <c r="I1029">
        <v>83908483</v>
      </c>
      <c r="J1029">
        <v>1.8240348833383152E-3</v>
      </c>
      <c r="K1029">
        <v>78615</v>
      </c>
      <c r="L1029">
        <v>0.1741</v>
      </c>
      <c r="M1029">
        <v>70184196.879999995</v>
      </c>
      <c r="N1029">
        <v>43830600.460000001</v>
      </c>
      <c r="O1029">
        <v>1299238.8799999999</v>
      </c>
      <c r="P1029">
        <v>3773765.74</v>
      </c>
      <c r="Q1029">
        <v>35369085.25</v>
      </c>
      <c r="R1029">
        <v>7.3011591417690417E-10</v>
      </c>
      <c r="S1029">
        <v>0.50394656948876382</v>
      </c>
      <c r="U1029">
        <v>2.5490441084593179E-2</v>
      </c>
      <c r="V1029">
        <v>79.650000000000006</v>
      </c>
      <c r="W1029">
        <v>79.52</v>
      </c>
      <c r="X1029">
        <f t="shared" si="16"/>
        <v>1.6334736445311258E-3</v>
      </c>
      <c r="Y1029">
        <v>585576</v>
      </c>
      <c r="Z1029">
        <v>335633933</v>
      </c>
      <c r="AA1029">
        <v>46541580.480000004</v>
      </c>
      <c r="AB1029">
        <v>83908483</v>
      </c>
      <c r="AC1029">
        <v>6.9787461179580618E-3</v>
      </c>
      <c r="AD1029">
        <v>78045.31</v>
      </c>
      <c r="AE1029">
        <v>0.189</v>
      </c>
      <c r="AF1029">
        <v>70184196.879999995</v>
      </c>
      <c r="AG1029">
        <v>43830600.460000001</v>
      </c>
      <c r="AH1029">
        <v>1299238.8799999999</v>
      </c>
      <c r="AI1029">
        <v>3773765.74</v>
      </c>
      <c r="AJ1029">
        <v>35369085.25</v>
      </c>
      <c r="AK1029">
        <v>1.7716613176302995E-10</v>
      </c>
      <c r="AL1029">
        <v>0.50394656948876382</v>
      </c>
    </row>
    <row r="1030" spans="2:38">
      <c r="B1030">
        <v>4.0258891989786834E-2</v>
      </c>
      <c r="C1030">
        <v>83.43</v>
      </c>
      <c r="D1030">
        <v>83</v>
      </c>
      <c r="E1030">
        <v>5.1673376194196572E-3</v>
      </c>
      <c r="F1030">
        <v>185352</v>
      </c>
      <c r="G1030">
        <v>335633933</v>
      </c>
      <c r="H1030">
        <v>15356413.199999999</v>
      </c>
      <c r="I1030">
        <v>83908483</v>
      </c>
      <c r="J1030">
        <v>2.2089780838964756E-3</v>
      </c>
      <c r="K1030">
        <v>78897.73</v>
      </c>
      <c r="L1030">
        <v>0.1741</v>
      </c>
      <c r="M1030">
        <v>70184196.879999995</v>
      </c>
      <c r="N1030">
        <v>43830600.460000001</v>
      </c>
      <c r="O1030">
        <v>1299238.8799999999</v>
      </c>
      <c r="P1030">
        <v>3773765.74</v>
      </c>
      <c r="Q1030">
        <v>35369085.25</v>
      </c>
      <c r="R1030">
        <v>2.2682540242628203E-9</v>
      </c>
      <c r="S1030">
        <v>0.50394656948876382</v>
      </c>
      <c r="U1030">
        <v>3.1571547261455855E-2</v>
      </c>
      <c r="V1030">
        <v>79</v>
      </c>
      <c r="W1030">
        <v>78.7</v>
      </c>
      <c r="X1030">
        <f t="shared" si="16"/>
        <v>3.8046924540265973E-3</v>
      </c>
      <c r="Y1030">
        <v>337371</v>
      </c>
      <c r="Z1030">
        <v>335633933</v>
      </c>
      <c r="AA1030">
        <v>26594955.93</v>
      </c>
      <c r="AB1030">
        <v>83908483</v>
      </c>
      <c r="AC1030">
        <v>4.0207019354646179E-3</v>
      </c>
      <c r="AD1030">
        <v>78105.98</v>
      </c>
      <c r="AE1030">
        <v>0.189</v>
      </c>
      <c r="AF1030">
        <v>70184196.879999995</v>
      </c>
      <c r="AG1030">
        <v>43830600.460000001</v>
      </c>
      <c r="AH1030">
        <v>1299238.8799999999</v>
      </c>
      <c r="AI1030">
        <v>3773765.74</v>
      </c>
      <c r="AJ1030">
        <v>35369085.25</v>
      </c>
      <c r="AK1030">
        <v>1.1959516987442887E-9</v>
      </c>
      <c r="AL1030">
        <v>0.50394656948876382</v>
      </c>
    </row>
    <row r="1031" spans="2:38">
      <c r="B1031">
        <v>2.70659372300604E-2</v>
      </c>
      <c r="C1031">
        <v>85.9</v>
      </c>
      <c r="D1031">
        <v>85.7</v>
      </c>
      <c r="E1031">
        <v>2.331002331002364E-3</v>
      </c>
      <c r="F1031">
        <v>55021</v>
      </c>
      <c r="G1031">
        <v>335633933</v>
      </c>
      <c r="H1031">
        <v>4723002.6400000006</v>
      </c>
      <c r="I1031">
        <v>83908483</v>
      </c>
      <c r="J1031">
        <v>6.5572631077122443E-4</v>
      </c>
      <c r="K1031">
        <v>78863.34</v>
      </c>
      <c r="L1031">
        <v>0.1741</v>
      </c>
      <c r="M1031">
        <v>70184196.879999995</v>
      </c>
      <c r="N1031">
        <v>43830600.460000001</v>
      </c>
      <c r="O1031">
        <v>1299238.8799999999</v>
      </c>
      <c r="P1031">
        <v>3773765.74</v>
      </c>
      <c r="Q1031">
        <v>35369085.25</v>
      </c>
      <c r="R1031">
        <v>3.0389498562343549E-9</v>
      </c>
      <c r="S1031">
        <v>0.50394656948876382</v>
      </c>
      <c r="U1031">
        <v>1.8511276235171445E-2</v>
      </c>
      <c r="V1031">
        <v>76.69</v>
      </c>
      <c r="W1031">
        <v>76.400000000000006</v>
      </c>
      <c r="X1031">
        <f t="shared" si="16"/>
        <v>3.7886210725715857E-3</v>
      </c>
      <c r="Y1031">
        <v>145433</v>
      </c>
      <c r="Z1031">
        <v>335633933</v>
      </c>
      <c r="AA1031">
        <v>11111081.200000001</v>
      </c>
      <c r="AB1031">
        <v>83908483</v>
      </c>
      <c r="AC1031">
        <v>1.7332335754419491E-3</v>
      </c>
      <c r="AD1031">
        <v>77877.42</v>
      </c>
      <c r="AE1031">
        <v>0.189</v>
      </c>
      <c r="AF1031">
        <v>70184196.879999995</v>
      </c>
      <c r="AG1031">
        <v>43830600.460000001</v>
      </c>
      <c r="AH1031">
        <v>1299238.8799999999</v>
      </c>
      <c r="AI1031">
        <v>3773765.74</v>
      </c>
      <c r="AJ1031">
        <v>35369085.25</v>
      </c>
      <c r="AK1031">
        <v>2.46704749757687E-10</v>
      </c>
      <c r="AL1031">
        <v>0.50394656948876382</v>
      </c>
    </row>
    <row r="1032" spans="2:38">
      <c r="B1032">
        <v>2.7809965237543519E-2</v>
      </c>
      <c r="C1032">
        <v>87.53</v>
      </c>
      <c r="D1032">
        <v>87.5</v>
      </c>
      <c r="E1032">
        <v>3.4279837742102651E-4</v>
      </c>
      <c r="F1032">
        <v>365060</v>
      </c>
      <c r="G1032">
        <v>335633933</v>
      </c>
      <c r="H1032">
        <v>31793075.400000002</v>
      </c>
      <c r="I1032">
        <v>83908483</v>
      </c>
      <c r="J1032">
        <v>4.3506924085375256E-3</v>
      </c>
      <c r="K1032">
        <v>78848.009999999995</v>
      </c>
      <c r="L1032">
        <v>0.1741</v>
      </c>
      <c r="M1032">
        <v>70184196.879999995</v>
      </c>
      <c r="N1032">
        <v>43830600.460000001</v>
      </c>
      <c r="O1032">
        <v>1299238.8799999999</v>
      </c>
      <c r="P1032">
        <v>3773765.74</v>
      </c>
      <c r="Q1032">
        <v>35369085.25</v>
      </c>
      <c r="R1032">
        <v>7.5065108992734127E-10</v>
      </c>
      <c r="S1032">
        <v>0.50394656948876382</v>
      </c>
      <c r="U1032">
        <v>5.1157125456759982E-2</v>
      </c>
      <c r="V1032">
        <v>76.489999999999995</v>
      </c>
      <c r="W1032">
        <v>76.069999999999993</v>
      </c>
      <c r="X1032">
        <f t="shared" si="16"/>
        <v>5.5060304142632629E-3</v>
      </c>
      <c r="Y1032">
        <v>218014</v>
      </c>
      <c r="Z1032">
        <v>335633933</v>
      </c>
      <c r="AA1032">
        <v>16702052.539999999</v>
      </c>
      <c r="AB1032">
        <v>83908483</v>
      </c>
      <c r="AC1032">
        <v>2.5982355085599628E-3</v>
      </c>
      <c r="AD1032">
        <v>77980.289999999994</v>
      </c>
      <c r="AE1032">
        <v>0.189</v>
      </c>
      <c r="AF1032">
        <v>70184196.879999995</v>
      </c>
      <c r="AG1032">
        <v>43830600.460000001</v>
      </c>
      <c r="AH1032">
        <v>1299238.8799999999</v>
      </c>
      <c r="AI1032">
        <v>3773765.74</v>
      </c>
      <c r="AJ1032">
        <v>35369085.25</v>
      </c>
      <c r="AK1032">
        <v>1.7819309746887369E-9</v>
      </c>
      <c r="AL1032">
        <v>0.50394656948876382</v>
      </c>
    </row>
    <row r="1033" spans="2:38">
      <c r="B1033">
        <v>0.10411357844921731</v>
      </c>
      <c r="C1033">
        <v>86.7</v>
      </c>
      <c r="D1033">
        <v>86</v>
      </c>
      <c r="E1033">
        <v>8.1065431383903052E-3</v>
      </c>
      <c r="F1033">
        <v>366935</v>
      </c>
      <c r="G1033">
        <v>335633933</v>
      </c>
      <c r="H1033">
        <v>31211491.100000001</v>
      </c>
      <c r="I1033">
        <v>83908483</v>
      </c>
      <c r="J1033">
        <v>4.3730381825637342E-3</v>
      </c>
      <c r="K1033">
        <v>78356.320000000007</v>
      </c>
      <c r="L1033">
        <v>0.17469999999999999</v>
      </c>
      <c r="M1033">
        <v>70184196.879999995</v>
      </c>
      <c r="N1033">
        <v>43830600.460000001</v>
      </c>
      <c r="O1033">
        <v>1299238.8799999999</v>
      </c>
      <c r="P1033">
        <v>3773765.74</v>
      </c>
      <c r="Q1033">
        <v>35369085.25</v>
      </c>
      <c r="R1033">
        <v>7.7147801026680921E-10</v>
      </c>
      <c r="S1033">
        <v>0.50394656948876382</v>
      </c>
      <c r="U1033">
        <v>2.2240371929383624E-2</v>
      </c>
      <c r="V1033">
        <v>78.849999999999994</v>
      </c>
      <c r="W1033">
        <v>78.8</v>
      </c>
      <c r="X1033">
        <f t="shared" si="16"/>
        <v>6.3431652394541278E-4</v>
      </c>
      <c r="Y1033">
        <v>198066</v>
      </c>
      <c r="Z1033">
        <v>335633933</v>
      </c>
      <c r="AA1033">
        <v>15639291.359999999</v>
      </c>
      <c r="AB1033">
        <v>83908483</v>
      </c>
      <c r="AC1033">
        <v>2.3605003084133935E-3</v>
      </c>
      <c r="AD1033">
        <v>78569.59</v>
      </c>
      <c r="AE1033">
        <v>0.189</v>
      </c>
      <c r="AF1033">
        <v>70184196.879999995</v>
      </c>
      <c r="AG1033">
        <v>43830600.460000001</v>
      </c>
      <c r="AH1033">
        <v>1299238.8799999999</v>
      </c>
      <c r="AI1033">
        <v>3773765.74</v>
      </c>
      <c r="AJ1033">
        <v>35369085.25</v>
      </c>
      <c r="AK1033">
        <v>2.500551278578382E-10</v>
      </c>
      <c r="AL1033">
        <v>0.50394656948876382</v>
      </c>
    </row>
    <row r="1034" spans="2:38">
      <c r="B1034">
        <v>2.2905364677516644E-2</v>
      </c>
      <c r="C1034">
        <v>83.6</v>
      </c>
      <c r="D1034">
        <v>82.6</v>
      </c>
      <c r="E1034">
        <v>1.2033694344163659E-2</v>
      </c>
      <c r="F1034">
        <v>188912</v>
      </c>
      <c r="G1034">
        <v>335633933</v>
      </c>
      <c r="H1034">
        <v>15691030.720000001</v>
      </c>
      <c r="I1034">
        <v>83908483</v>
      </c>
      <c r="J1034">
        <v>2.2514052601809043E-3</v>
      </c>
      <c r="K1034">
        <v>78283.3</v>
      </c>
      <c r="L1034">
        <v>0.17469999999999999</v>
      </c>
      <c r="M1034">
        <v>70184196.879999995</v>
      </c>
      <c r="N1034">
        <v>43830600.460000001</v>
      </c>
      <c r="O1034">
        <v>1299238.8799999999</v>
      </c>
      <c r="P1034">
        <v>3773765.74</v>
      </c>
      <c r="Q1034">
        <v>35369085.25</v>
      </c>
      <c r="R1034">
        <v>4.6070368426701263E-11</v>
      </c>
      <c r="S1034">
        <v>0.50394656948876382</v>
      </c>
      <c r="U1034">
        <v>2.178267401101646E-2</v>
      </c>
      <c r="V1034">
        <v>79.5</v>
      </c>
      <c r="W1034">
        <v>79.400000000000006</v>
      </c>
      <c r="X1034">
        <f t="shared" si="16"/>
        <v>1.258653241032024E-3</v>
      </c>
      <c r="Y1034">
        <v>196544</v>
      </c>
      <c r="Z1034">
        <v>335633933</v>
      </c>
      <c r="AA1034">
        <v>15580042.879999999</v>
      </c>
      <c r="AB1034">
        <v>83908483</v>
      </c>
      <c r="AC1034">
        <v>2.3423614987771856E-3</v>
      </c>
      <c r="AD1034">
        <v>77874.22</v>
      </c>
      <c r="AE1034">
        <v>0.189</v>
      </c>
      <c r="AF1034">
        <v>70184196.879999995</v>
      </c>
      <c r="AG1034">
        <v>43830600.460000001</v>
      </c>
      <c r="AH1034">
        <v>1299238.8799999999</v>
      </c>
      <c r="AI1034">
        <v>3773765.74</v>
      </c>
      <c r="AJ1034">
        <v>35369085.25</v>
      </c>
      <c r="AK1034">
        <v>3.9921923209149446E-10</v>
      </c>
      <c r="AL1034">
        <v>0.50394656948876382</v>
      </c>
    </row>
    <row r="1035" spans="2:38">
      <c r="B1035">
        <v>2.1660649819494553E-2</v>
      </c>
      <c r="C1035">
        <v>82.95</v>
      </c>
      <c r="D1035">
        <v>82.94</v>
      </c>
      <c r="E1035">
        <v>1.2056181807227821E-4</v>
      </c>
      <c r="F1035">
        <v>196012</v>
      </c>
      <c r="G1035">
        <v>335633933</v>
      </c>
      <c r="H1035">
        <v>16268996</v>
      </c>
      <c r="I1035">
        <v>83908483</v>
      </c>
      <c r="J1035">
        <v>2.3360212578268161E-3</v>
      </c>
      <c r="K1035">
        <v>78488.22</v>
      </c>
      <c r="L1035">
        <v>0.17469999999999999</v>
      </c>
      <c r="M1035">
        <v>70184196.879999995</v>
      </c>
      <c r="N1035">
        <v>43830600.460000001</v>
      </c>
      <c r="O1035">
        <v>1299238.8799999999</v>
      </c>
      <c r="P1035">
        <v>3773765.74</v>
      </c>
      <c r="Q1035">
        <v>35369085.25</v>
      </c>
      <c r="R1035">
        <v>2.6545080238672879E-10</v>
      </c>
      <c r="S1035">
        <v>0.50394656948876382</v>
      </c>
      <c r="U1035">
        <v>3.4393700787401449E-2</v>
      </c>
      <c r="V1035">
        <v>78.92</v>
      </c>
      <c r="W1035">
        <v>78.900000000000006</v>
      </c>
      <c r="X1035">
        <f t="shared" si="16"/>
        <v>2.5345330122919811E-4</v>
      </c>
      <c r="Y1035">
        <v>708293</v>
      </c>
      <c r="Z1035">
        <v>335633933</v>
      </c>
      <c r="AA1035">
        <v>55799322.539999999</v>
      </c>
      <c r="AB1035">
        <v>83908483</v>
      </c>
      <c r="AC1035">
        <v>8.4412561719176826E-3</v>
      </c>
      <c r="AD1035">
        <v>77114.490000000005</v>
      </c>
      <c r="AE1035">
        <v>0.189</v>
      </c>
      <c r="AF1035">
        <v>70184196.879999995</v>
      </c>
      <c r="AG1035">
        <v>43830600.460000001</v>
      </c>
      <c r="AH1035">
        <v>1299238.8799999999</v>
      </c>
      <c r="AI1035">
        <v>3773765.74</v>
      </c>
      <c r="AJ1035">
        <v>35369085.25</v>
      </c>
      <c r="AK1035">
        <v>1.5938197400498042E-11</v>
      </c>
      <c r="AL1035">
        <v>0.50394656948876382</v>
      </c>
    </row>
    <row r="1036" spans="2:38">
      <c r="B1036">
        <v>2.4096385542168676E-2</v>
      </c>
      <c r="C1036">
        <v>83.5</v>
      </c>
      <c r="D1036">
        <v>83.25</v>
      </c>
      <c r="E1036">
        <v>2.9985007496251873E-3</v>
      </c>
      <c r="F1036">
        <v>156508</v>
      </c>
      <c r="G1036">
        <v>335633933</v>
      </c>
      <c r="H1036">
        <v>13046506.880000001</v>
      </c>
      <c r="I1036">
        <v>83908483</v>
      </c>
      <c r="J1036">
        <v>1.8652226140234236E-3</v>
      </c>
      <c r="K1036">
        <v>78349.66</v>
      </c>
      <c r="L1036">
        <v>0.17469999999999999</v>
      </c>
      <c r="M1036">
        <v>70184196.879999995</v>
      </c>
      <c r="N1036">
        <v>43830600.460000001</v>
      </c>
      <c r="O1036">
        <v>1299238.8799999999</v>
      </c>
      <c r="P1036">
        <v>3773765.74</v>
      </c>
      <c r="Q1036">
        <v>35369085.25</v>
      </c>
      <c r="R1036">
        <v>1.285130741897737E-10</v>
      </c>
      <c r="S1036">
        <v>0.50394656948876382</v>
      </c>
      <c r="U1036">
        <v>5.0191835964526005E-2</v>
      </c>
      <c r="V1036">
        <v>78.989999999999995</v>
      </c>
      <c r="W1036">
        <v>78.760000000000005</v>
      </c>
      <c r="X1036">
        <f t="shared" si="16"/>
        <v>2.9160063391440857E-3</v>
      </c>
      <c r="Y1036">
        <v>409925</v>
      </c>
      <c r="Z1036">
        <v>335633933</v>
      </c>
      <c r="AA1036">
        <v>32265196.749999996</v>
      </c>
      <c r="AB1036">
        <v>83908483</v>
      </c>
      <c r="AC1036">
        <v>4.8853820894366549E-3</v>
      </c>
      <c r="AD1036">
        <v>77191.34</v>
      </c>
      <c r="AE1036">
        <v>0.19489999999999999</v>
      </c>
      <c r="AF1036">
        <v>70184196.879999995</v>
      </c>
      <c r="AG1036">
        <v>43830600.460000001</v>
      </c>
      <c r="AH1036">
        <v>1299238.8799999999</v>
      </c>
      <c r="AI1036">
        <v>3773765.74</v>
      </c>
      <c r="AJ1036">
        <v>35369085.25</v>
      </c>
      <c r="AK1036">
        <v>1.098630368747561E-10</v>
      </c>
      <c r="AL1036">
        <v>0.50394656948876382</v>
      </c>
    </row>
    <row r="1037" spans="2:38">
      <c r="B1037">
        <v>3.084223013048629E-2</v>
      </c>
      <c r="C1037">
        <v>83.68</v>
      </c>
      <c r="D1037">
        <v>83.21</v>
      </c>
      <c r="E1037">
        <v>5.632452513631891E-3</v>
      </c>
      <c r="F1037">
        <v>75615</v>
      </c>
      <c r="G1037">
        <v>335633933</v>
      </c>
      <c r="H1037">
        <v>6313852.5</v>
      </c>
      <c r="I1037">
        <v>83908483</v>
      </c>
      <c r="J1037">
        <v>9.0116037492895683E-4</v>
      </c>
      <c r="K1037">
        <v>77992.789999999994</v>
      </c>
      <c r="L1037">
        <v>0.17469999999999999</v>
      </c>
      <c r="M1037">
        <v>70184196.879999995</v>
      </c>
      <c r="N1037">
        <v>43830600.460000001</v>
      </c>
      <c r="O1037">
        <v>1299238.8799999999</v>
      </c>
      <c r="P1037">
        <v>3773765.74</v>
      </c>
      <c r="Q1037">
        <v>35369085.25</v>
      </c>
      <c r="R1037">
        <v>2.1147531018012723E-9</v>
      </c>
      <c r="S1037">
        <v>0.50394656948876382</v>
      </c>
      <c r="U1037">
        <v>3.8774233896185041E-2</v>
      </c>
      <c r="V1037">
        <v>79.95</v>
      </c>
      <c r="W1037">
        <v>79.099999999999994</v>
      </c>
      <c r="X1037">
        <f t="shared" si="16"/>
        <v>1.0688462747563765E-2</v>
      </c>
      <c r="Y1037">
        <v>277430</v>
      </c>
      <c r="Z1037">
        <v>335633933</v>
      </c>
      <c r="AA1037">
        <v>21914195.699999999</v>
      </c>
      <c r="AB1037">
        <v>83908483</v>
      </c>
      <c r="AC1037">
        <v>3.306340313648621E-3</v>
      </c>
      <c r="AD1037">
        <v>77084.490000000005</v>
      </c>
      <c r="AE1037">
        <v>0.19489999999999999</v>
      </c>
      <c r="AF1037">
        <v>70184196.879999995</v>
      </c>
      <c r="AG1037">
        <v>43830600.460000001</v>
      </c>
      <c r="AH1037">
        <v>1299238.8799999999</v>
      </c>
      <c r="AI1037">
        <v>3773765.74</v>
      </c>
      <c r="AJ1037">
        <v>35369085.25</v>
      </c>
      <c r="AK1037">
        <v>1.5352267349818706E-9</v>
      </c>
      <c r="AL1037">
        <v>0.50394656948876382</v>
      </c>
    </row>
    <row r="1038" spans="2:38">
      <c r="B1038">
        <v>1.8779342723004626E-2</v>
      </c>
      <c r="C1038">
        <v>84.98</v>
      </c>
      <c r="D1038">
        <v>84.8</v>
      </c>
      <c r="E1038">
        <v>2.1203910943574842E-3</v>
      </c>
      <c r="F1038">
        <v>329010</v>
      </c>
      <c r="G1038">
        <v>335633933</v>
      </c>
      <c r="H1038">
        <v>27844116.299999997</v>
      </c>
      <c r="I1038">
        <v>83908483</v>
      </c>
      <c r="J1038">
        <v>3.9210576599269468E-3</v>
      </c>
      <c r="K1038">
        <v>78084.240000000005</v>
      </c>
      <c r="L1038">
        <v>0.17469999999999999</v>
      </c>
      <c r="M1038">
        <v>70184196.879999995</v>
      </c>
      <c r="N1038">
        <v>43830600.460000001</v>
      </c>
      <c r="O1038">
        <v>1299238.8799999999</v>
      </c>
      <c r="P1038">
        <v>3773765.74</v>
      </c>
      <c r="Q1038">
        <v>35369085.25</v>
      </c>
      <c r="R1038">
        <v>4.2770011339071301E-10</v>
      </c>
      <c r="S1038">
        <v>0.50394656948876382</v>
      </c>
      <c r="U1038">
        <v>3.0456852791878122E-2</v>
      </c>
      <c r="V1038">
        <v>81.8</v>
      </c>
      <c r="W1038">
        <v>81.7</v>
      </c>
      <c r="X1038">
        <f t="shared" si="16"/>
        <v>1.2232415902139978E-3</v>
      </c>
      <c r="Y1038">
        <v>661080</v>
      </c>
      <c r="Z1038">
        <v>335633933</v>
      </c>
      <c r="AA1038">
        <v>54036679.199999996</v>
      </c>
      <c r="AB1038">
        <v>83908483</v>
      </c>
      <c r="AC1038">
        <v>7.8785836230646673E-3</v>
      </c>
      <c r="AD1038">
        <v>78225.98</v>
      </c>
      <c r="AE1038">
        <v>0.19489999999999999</v>
      </c>
      <c r="AF1038">
        <v>70184196.879999995</v>
      </c>
      <c r="AG1038">
        <v>43830600.460000001</v>
      </c>
      <c r="AH1038">
        <v>1299238.8799999999</v>
      </c>
      <c r="AI1038">
        <v>3773765.74</v>
      </c>
      <c r="AJ1038">
        <v>35369085.25</v>
      </c>
      <c r="AK1038">
        <v>1.4599910785649434E-10</v>
      </c>
      <c r="AL1038">
        <v>0.50394656948876382</v>
      </c>
    </row>
    <row r="1039" spans="2:38">
      <c r="B1039">
        <v>3.2596041909196703E-2</v>
      </c>
      <c r="C1039">
        <v>86</v>
      </c>
      <c r="D1039">
        <v>85.74</v>
      </c>
      <c r="E1039">
        <v>3.0278327704670446E-3</v>
      </c>
      <c r="F1039">
        <v>730201</v>
      </c>
      <c r="G1039">
        <v>335633933</v>
      </c>
      <c r="H1039">
        <v>62541715.650000006</v>
      </c>
      <c r="I1039">
        <v>83908483</v>
      </c>
      <c r="J1039">
        <v>8.7023501545129833E-3</v>
      </c>
      <c r="K1039">
        <v>78571.06</v>
      </c>
      <c r="L1039">
        <v>0.17469999999999999</v>
      </c>
      <c r="M1039">
        <v>70184196.879999995</v>
      </c>
      <c r="N1039">
        <v>43830600.460000001</v>
      </c>
      <c r="O1039">
        <v>1299238.8799999999</v>
      </c>
      <c r="P1039">
        <v>3773765.74</v>
      </c>
      <c r="Q1039">
        <v>35369085.25</v>
      </c>
      <c r="R1039">
        <v>2.368087665386E-10</v>
      </c>
      <c r="S1039">
        <v>0.50394656948876382</v>
      </c>
      <c r="U1039">
        <v>4.7340165934602357E-2</v>
      </c>
      <c r="V1039">
        <v>83.2</v>
      </c>
      <c r="W1039">
        <v>83</v>
      </c>
      <c r="X1039">
        <f t="shared" si="16"/>
        <v>2.406738868832766E-3</v>
      </c>
      <c r="Y1039">
        <v>218706</v>
      </c>
      <c r="Z1039">
        <v>335633933</v>
      </c>
      <c r="AA1039">
        <v>18019187.34</v>
      </c>
      <c r="AB1039">
        <v>83908483</v>
      </c>
      <c r="AC1039">
        <v>2.6064825888939026E-3</v>
      </c>
      <c r="AD1039">
        <v>77740.31</v>
      </c>
      <c r="AE1039">
        <v>0.19489999999999999</v>
      </c>
      <c r="AF1039">
        <v>70184196.879999995</v>
      </c>
      <c r="AG1039">
        <v>43830600.460000001</v>
      </c>
      <c r="AH1039">
        <v>1299238.8799999999</v>
      </c>
      <c r="AI1039">
        <v>3773765.74</v>
      </c>
      <c r="AJ1039">
        <v>35369085.25</v>
      </c>
      <c r="AK1039">
        <v>5.785128607461676E-10</v>
      </c>
      <c r="AL1039">
        <v>0.50394656948876382</v>
      </c>
    </row>
    <row r="1040" spans="2:38">
      <c r="B1040">
        <v>4.9346879535558781E-2</v>
      </c>
      <c r="C1040">
        <v>85.25</v>
      </c>
      <c r="D1040">
        <v>85.2</v>
      </c>
      <c r="E1040">
        <v>5.8668231152827414E-4</v>
      </c>
      <c r="F1040">
        <v>893518</v>
      </c>
      <c r="G1040">
        <v>335633933</v>
      </c>
      <c r="H1040">
        <v>75412919.200000003</v>
      </c>
      <c r="I1040">
        <v>83908483</v>
      </c>
      <c r="J1040">
        <v>1.0648720702053451E-2</v>
      </c>
      <c r="K1040">
        <v>78801.429999999993</v>
      </c>
      <c r="L1040">
        <v>0.17469999999999999</v>
      </c>
      <c r="M1040">
        <v>70184196.879999995</v>
      </c>
      <c r="N1040">
        <v>43830600.460000001</v>
      </c>
      <c r="O1040">
        <v>1299238.8799999999</v>
      </c>
      <c r="P1040">
        <v>3773765.74</v>
      </c>
      <c r="Q1040">
        <v>35369085.25</v>
      </c>
      <c r="R1040">
        <v>3.5028434401884388E-10</v>
      </c>
      <c r="S1040">
        <v>0.50394656948876382</v>
      </c>
      <c r="U1040">
        <v>5.6256062075654721E-2</v>
      </c>
      <c r="V1040">
        <v>80.989999999999995</v>
      </c>
      <c r="W1040">
        <v>80.5</v>
      </c>
      <c r="X1040">
        <f t="shared" si="16"/>
        <v>6.0684872128304521E-3</v>
      </c>
      <c r="Y1040">
        <v>290723</v>
      </c>
      <c r="Z1040">
        <v>335633933</v>
      </c>
      <c r="AA1040">
        <v>23705553.420000002</v>
      </c>
      <c r="AB1040">
        <v>83908483</v>
      </c>
      <c r="AC1040">
        <v>3.4647629131848326E-3</v>
      </c>
      <c r="AD1040">
        <v>77886.990000000005</v>
      </c>
      <c r="AE1040">
        <v>0.19489999999999999</v>
      </c>
      <c r="AF1040">
        <v>70184196.879999995</v>
      </c>
      <c r="AG1040">
        <v>43830600.460000001</v>
      </c>
      <c r="AH1040">
        <v>1299238.8799999999</v>
      </c>
      <c r="AI1040">
        <v>3773765.74</v>
      </c>
      <c r="AJ1040">
        <v>35369085.25</v>
      </c>
      <c r="AK1040">
        <v>8.4165607625468519E-10</v>
      </c>
      <c r="AL1040">
        <v>0.50394656948876382</v>
      </c>
    </row>
    <row r="1041" spans="2:38">
      <c r="B1041">
        <v>5.0635811662275196E-2</v>
      </c>
      <c r="C1041">
        <v>87.3</v>
      </c>
      <c r="D1041">
        <v>86.81</v>
      </c>
      <c r="E1041">
        <v>5.6286255815288589E-3</v>
      </c>
      <c r="F1041">
        <v>3755300</v>
      </c>
      <c r="G1041">
        <v>335633933</v>
      </c>
      <c r="H1041">
        <v>325546957</v>
      </c>
      <c r="I1041">
        <v>83908483</v>
      </c>
      <c r="J1041">
        <v>4.4754712106998766E-2</v>
      </c>
      <c r="K1041">
        <v>78793.41</v>
      </c>
      <c r="L1041">
        <v>0.17469999999999999</v>
      </c>
      <c r="M1041">
        <v>70184196.879999995</v>
      </c>
      <c r="N1041">
        <v>43830600.460000001</v>
      </c>
      <c r="O1041">
        <v>1299238.8799999999</v>
      </c>
      <c r="P1041">
        <v>3773765.74</v>
      </c>
      <c r="Q1041">
        <v>35369085.25</v>
      </c>
      <c r="R1041">
        <v>9.5352956687536769E-11</v>
      </c>
      <c r="S1041">
        <v>0.50394656948876382</v>
      </c>
      <c r="U1041">
        <v>5.25574847489442E-2</v>
      </c>
      <c r="V1041">
        <v>83.24</v>
      </c>
      <c r="W1041">
        <v>83.15</v>
      </c>
      <c r="X1041">
        <f t="shared" si="16"/>
        <v>1.0817957809963244E-3</v>
      </c>
      <c r="Y1041">
        <v>416369</v>
      </c>
      <c r="Z1041">
        <v>335633933</v>
      </c>
      <c r="AA1041">
        <v>34641900.800000004</v>
      </c>
      <c r="AB1041">
        <v>83908483</v>
      </c>
      <c r="AC1041">
        <v>4.96218004560993E-3</v>
      </c>
      <c r="AD1041">
        <v>78628.81</v>
      </c>
      <c r="AE1041">
        <v>0.19489999999999999</v>
      </c>
      <c r="AF1041">
        <v>70184196.879999995</v>
      </c>
      <c r="AG1041">
        <v>43830600.460000001</v>
      </c>
      <c r="AH1041">
        <v>1299238.8799999999</v>
      </c>
      <c r="AI1041">
        <v>3773765.74</v>
      </c>
      <c r="AJ1041">
        <v>35369085.25</v>
      </c>
      <c r="AK1041">
        <v>6.4449911768662078E-10</v>
      </c>
      <c r="AL1041">
        <v>0.50394656948876382</v>
      </c>
    </row>
    <row r="1042" spans="2:38">
      <c r="B1042">
        <v>5.8639897165942242E-2</v>
      </c>
      <c r="C1042">
        <v>86</v>
      </c>
      <c r="D1042">
        <v>84.08</v>
      </c>
      <c r="E1042">
        <v>2.2577610536218273E-2</v>
      </c>
      <c r="F1042">
        <v>2898047</v>
      </c>
      <c r="G1042">
        <v>335633933</v>
      </c>
      <c r="H1042">
        <v>243667791.75999999</v>
      </c>
      <c r="I1042">
        <v>83908483</v>
      </c>
      <c r="J1042">
        <v>3.4538188468977563E-2</v>
      </c>
      <c r="K1042">
        <v>78260.86</v>
      </c>
      <c r="L1042">
        <v>0.17469999999999999</v>
      </c>
      <c r="M1042">
        <v>70184196.879999995</v>
      </c>
      <c r="N1042">
        <v>43830600.460000001</v>
      </c>
      <c r="O1042">
        <v>1299238.8799999999</v>
      </c>
      <c r="P1042">
        <v>3773765.74</v>
      </c>
      <c r="Q1042">
        <v>35369085.25</v>
      </c>
      <c r="R1042">
        <v>4.1018006792906811E-10</v>
      </c>
      <c r="S1042">
        <v>0.50394656948876382</v>
      </c>
      <c r="U1042">
        <v>2.8409423043198771E-2</v>
      </c>
      <c r="V1042">
        <v>85.49</v>
      </c>
      <c r="W1042">
        <v>85</v>
      </c>
      <c r="X1042">
        <f t="shared" si="16"/>
        <v>5.7481377206873704E-3</v>
      </c>
      <c r="Y1042">
        <v>421151</v>
      </c>
      <c r="Z1042">
        <v>335633933</v>
      </c>
      <c r="AA1042">
        <v>35839950.099999994</v>
      </c>
      <c r="AB1042">
        <v>83908483</v>
      </c>
      <c r="AC1042">
        <v>5.0191707076863729E-3</v>
      </c>
      <c r="AD1042">
        <v>78827.740000000005</v>
      </c>
      <c r="AE1042">
        <v>0.19489999999999999</v>
      </c>
      <c r="AF1042">
        <v>70184196.879999995</v>
      </c>
      <c r="AG1042">
        <v>43830600.460000001</v>
      </c>
      <c r="AH1042">
        <v>1299238.8799999999</v>
      </c>
      <c r="AI1042">
        <v>3773765.74</v>
      </c>
      <c r="AJ1042">
        <v>35369085.25</v>
      </c>
      <c r="AK1042">
        <v>3.6538103593057265E-10</v>
      </c>
      <c r="AL1042">
        <v>0.50394656948876382</v>
      </c>
    </row>
    <row r="1043" spans="2:38">
      <c r="B1043">
        <v>4.8552512008308568E-2</v>
      </c>
      <c r="C1043">
        <v>76.5</v>
      </c>
      <c r="D1043">
        <v>76.25</v>
      </c>
      <c r="E1043">
        <v>3.2733224222585926E-3</v>
      </c>
      <c r="F1043">
        <v>151506</v>
      </c>
      <c r="G1043">
        <v>335633933</v>
      </c>
      <c r="H1043">
        <v>11581118.639999999</v>
      </c>
      <c r="I1043">
        <v>83908483</v>
      </c>
      <c r="J1043">
        <v>1.8056100477945717E-3</v>
      </c>
      <c r="K1043">
        <v>77745.52</v>
      </c>
      <c r="L1043">
        <v>0.189</v>
      </c>
      <c r="M1043">
        <v>70184196.879999995</v>
      </c>
      <c r="N1043">
        <v>43830600.460000001</v>
      </c>
      <c r="O1043">
        <v>1299238.8799999999</v>
      </c>
      <c r="P1043">
        <v>3773765.74</v>
      </c>
      <c r="Q1043">
        <v>35369085.25</v>
      </c>
      <c r="R1043">
        <v>1.498509450954936E-9</v>
      </c>
      <c r="S1043">
        <v>0.50394656948876382</v>
      </c>
      <c r="U1043">
        <v>4.1055718475073312E-2</v>
      </c>
      <c r="V1043">
        <v>84.48</v>
      </c>
      <c r="W1043">
        <v>84.2</v>
      </c>
      <c r="X1043">
        <f t="shared" si="16"/>
        <v>3.3198956604221144E-3</v>
      </c>
      <c r="Y1043">
        <v>797789</v>
      </c>
      <c r="Z1043">
        <v>335633933</v>
      </c>
      <c r="AA1043">
        <v>67014276</v>
      </c>
      <c r="AB1043">
        <v>83908483</v>
      </c>
      <c r="AC1043">
        <v>9.5078467811174714E-3</v>
      </c>
      <c r="AD1043">
        <v>78029.509999999995</v>
      </c>
      <c r="AE1043">
        <v>0.19489999999999999</v>
      </c>
      <c r="AF1043">
        <v>70184196.879999995</v>
      </c>
      <c r="AG1043">
        <v>43830600.460000001</v>
      </c>
      <c r="AH1043">
        <v>1299238.8799999999</v>
      </c>
      <c r="AI1043">
        <v>3773765.74</v>
      </c>
      <c r="AJ1043">
        <v>35369085.25</v>
      </c>
      <c r="AK1043">
        <v>2.8062996946068456E-10</v>
      </c>
      <c r="AL1043">
        <v>0.50394656948876382</v>
      </c>
    </row>
    <row r="1044" spans="2:38">
      <c r="B1044">
        <v>4.4040633478452836E-2</v>
      </c>
      <c r="C1044">
        <v>77.7</v>
      </c>
      <c r="D1044">
        <v>77.599999999999994</v>
      </c>
      <c r="E1044">
        <v>1.2878300064392597E-3</v>
      </c>
      <c r="F1044">
        <v>229561</v>
      </c>
      <c r="G1044">
        <v>335633933</v>
      </c>
      <c r="H1044">
        <v>17857550.190000001</v>
      </c>
      <c r="I1044">
        <v>83908483</v>
      </c>
      <c r="J1044">
        <v>2.7358497233229686E-3</v>
      </c>
      <c r="K1044">
        <v>77830.34</v>
      </c>
      <c r="L1044">
        <v>0.189</v>
      </c>
      <c r="M1044">
        <v>70184196.879999995</v>
      </c>
      <c r="N1044">
        <v>43830600.460000001</v>
      </c>
      <c r="O1044">
        <v>1299238.8799999999</v>
      </c>
      <c r="P1044">
        <v>3773765.74</v>
      </c>
      <c r="Q1044">
        <v>35369085.25</v>
      </c>
      <c r="R1044">
        <v>1.1907126478393649E-9</v>
      </c>
      <c r="S1044">
        <v>0.50394656948876382</v>
      </c>
      <c r="U1044">
        <v>2.8135990621336527E-2</v>
      </c>
      <c r="V1044">
        <v>85.7</v>
      </c>
      <c r="W1044">
        <v>84.71</v>
      </c>
      <c r="X1044">
        <f t="shared" si="16"/>
        <v>1.1619036441523492E-2</v>
      </c>
      <c r="Y1044">
        <v>128317</v>
      </c>
      <c r="Z1044">
        <v>335633933</v>
      </c>
      <c r="AA1044">
        <v>10985218.369999999</v>
      </c>
      <c r="AB1044">
        <v>83908483</v>
      </c>
      <c r="AC1044">
        <v>1.529249432384566E-3</v>
      </c>
      <c r="AD1044">
        <v>78469.33</v>
      </c>
      <c r="AE1044">
        <v>0.19489999999999999</v>
      </c>
      <c r="AF1044">
        <v>70184196.879999995</v>
      </c>
      <c r="AG1044">
        <v>43830600.460000001</v>
      </c>
      <c r="AH1044">
        <v>1299238.8799999999</v>
      </c>
      <c r="AI1044">
        <v>3773765.74</v>
      </c>
      <c r="AJ1044">
        <v>35369085.25</v>
      </c>
      <c r="AK1044">
        <v>1.8112524553591149E-10</v>
      </c>
      <c r="AL1044">
        <v>0.50394656948876382</v>
      </c>
    </row>
    <row r="1045" spans="2:38">
      <c r="B1045">
        <v>2.5490441084593179E-2</v>
      </c>
      <c r="C1045">
        <v>79.650000000000006</v>
      </c>
      <c r="D1045">
        <v>79.52</v>
      </c>
      <c r="E1045">
        <v>1.6334736445311258E-3</v>
      </c>
      <c r="F1045">
        <v>585576</v>
      </c>
      <c r="G1045">
        <v>335633933</v>
      </c>
      <c r="H1045">
        <v>46541580.480000004</v>
      </c>
      <c r="I1045">
        <v>83908483</v>
      </c>
      <c r="J1045">
        <v>6.9787461179580618E-3</v>
      </c>
      <c r="K1045">
        <v>78045.31</v>
      </c>
      <c r="L1045">
        <v>0.189</v>
      </c>
      <c r="M1045">
        <v>70184196.879999995</v>
      </c>
      <c r="N1045">
        <v>43830600.460000001</v>
      </c>
      <c r="O1045">
        <v>1299238.8799999999</v>
      </c>
      <c r="P1045">
        <v>3773765.74</v>
      </c>
      <c r="Q1045">
        <v>35369085.25</v>
      </c>
      <c r="R1045">
        <v>1.7716613176302995E-10</v>
      </c>
      <c r="S1045">
        <v>0.50394656948876382</v>
      </c>
      <c r="U1045">
        <v>2.0263188540817455E-2</v>
      </c>
      <c r="V1045">
        <v>85.9</v>
      </c>
      <c r="W1045">
        <v>85.55</v>
      </c>
      <c r="X1045">
        <f t="shared" si="16"/>
        <v>4.0828229804608755E-3</v>
      </c>
      <c r="Y1045">
        <v>156312</v>
      </c>
      <c r="Z1045">
        <v>335633933</v>
      </c>
      <c r="AA1045">
        <v>13355297.279999999</v>
      </c>
      <c r="AB1045">
        <v>83908483</v>
      </c>
      <c r="AC1045">
        <v>1.8628867357785505E-3</v>
      </c>
      <c r="AD1045">
        <v>79397.009999999995</v>
      </c>
      <c r="AE1045">
        <v>0.19489999999999999</v>
      </c>
      <c r="AF1045">
        <v>70184196.879999995</v>
      </c>
      <c r="AG1045">
        <v>43830600.460000001</v>
      </c>
      <c r="AH1045">
        <v>1299238.8799999999</v>
      </c>
      <c r="AI1045">
        <v>3773765.74</v>
      </c>
      <c r="AJ1045">
        <v>35369085.25</v>
      </c>
      <c r="AK1045">
        <v>3.5759381425139652E-10</v>
      </c>
      <c r="AL1045">
        <v>0.50394656948876382</v>
      </c>
    </row>
    <row r="1046" spans="2:38">
      <c r="B1046">
        <v>3.1571547261455855E-2</v>
      </c>
      <c r="C1046">
        <v>79</v>
      </c>
      <c r="D1046">
        <v>78.7</v>
      </c>
      <c r="E1046">
        <v>3.8046924540265973E-3</v>
      </c>
      <c r="F1046">
        <v>337371</v>
      </c>
      <c r="G1046">
        <v>335633933</v>
      </c>
      <c r="H1046">
        <v>26594955.93</v>
      </c>
      <c r="I1046">
        <v>83908483</v>
      </c>
      <c r="J1046">
        <v>4.0207019354646179E-3</v>
      </c>
      <c r="K1046">
        <v>78105.98</v>
      </c>
      <c r="L1046">
        <v>0.189</v>
      </c>
      <c r="M1046">
        <v>70184196.879999995</v>
      </c>
      <c r="N1046">
        <v>43830600.460000001</v>
      </c>
      <c r="O1046">
        <v>1299238.8799999999</v>
      </c>
      <c r="P1046">
        <v>3773765.74</v>
      </c>
      <c r="Q1046">
        <v>35369085.25</v>
      </c>
      <c r="R1046">
        <v>1.1959516987442887E-9</v>
      </c>
      <c r="S1046">
        <v>0.50394656948876382</v>
      </c>
      <c r="U1046">
        <v>2.6354319180087848E-2</v>
      </c>
      <c r="V1046">
        <v>86.15</v>
      </c>
      <c r="W1046">
        <v>86</v>
      </c>
      <c r="X1046">
        <f t="shared" ref="X1046:X1109" si="17">(V1046-W1046)/AVERAGE(V1046:W1046)</f>
        <v>1.7426662794075595E-3</v>
      </c>
      <c r="Y1046">
        <v>344473</v>
      </c>
      <c r="Z1046">
        <v>335633933</v>
      </c>
      <c r="AA1046">
        <v>29573007.049999997</v>
      </c>
      <c r="AB1046">
        <v>83908483</v>
      </c>
      <c r="AC1046">
        <v>4.1053417686028239E-3</v>
      </c>
      <c r="AD1046">
        <v>78987.09</v>
      </c>
      <c r="AE1046">
        <v>0.19489999999999999</v>
      </c>
      <c r="AF1046">
        <v>70184196.879999995</v>
      </c>
      <c r="AG1046">
        <v>43830600.460000001</v>
      </c>
      <c r="AH1046">
        <v>1299238.8799999999</v>
      </c>
      <c r="AI1046">
        <v>3773765.74</v>
      </c>
      <c r="AJ1046">
        <v>35369085.25</v>
      </c>
      <c r="AK1046">
        <v>6.995296523096184E-10</v>
      </c>
      <c r="AL1046">
        <v>0.50394656948876382</v>
      </c>
    </row>
    <row r="1047" spans="2:38">
      <c r="B1047">
        <v>1.8511276235171445E-2</v>
      </c>
      <c r="C1047">
        <v>76.69</v>
      </c>
      <c r="D1047">
        <v>76.400000000000006</v>
      </c>
      <c r="E1047">
        <v>3.7886210725715857E-3</v>
      </c>
      <c r="F1047">
        <v>145433</v>
      </c>
      <c r="G1047">
        <v>335633933</v>
      </c>
      <c r="H1047">
        <v>11111081.200000001</v>
      </c>
      <c r="I1047">
        <v>83908483</v>
      </c>
      <c r="J1047">
        <v>1.7332335754419491E-3</v>
      </c>
      <c r="K1047">
        <v>77877.42</v>
      </c>
      <c r="L1047">
        <v>0.189</v>
      </c>
      <c r="M1047">
        <v>70184196.879999995</v>
      </c>
      <c r="N1047">
        <v>43830600.460000001</v>
      </c>
      <c r="O1047">
        <v>1299238.8799999999</v>
      </c>
      <c r="P1047">
        <v>3773765.74</v>
      </c>
      <c r="Q1047">
        <v>35369085.25</v>
      </c>
      <c r="R1047">
        <v>2.46704749757687E-10</v>
      </c>
      <c r="S1047">
        <v>0.50394656948876382</v>
      </c>
      <c r="U1047">
        <v>5.6455344747801894E-2</v>
      </c>
      <c r="V1047">
        <v>84.89</v>
      </c>
      <c r="W1047">
        <v>84.65</v>
      </c>
      <c r="X1047">
        <f t="shared" si="17"/>
        <v>2.8311902795799793E-3</v>
      </c>
      <c r="Y1047">
        <v>649213</v>
      </c>
      <c r="Z1047">
        <v>335633933</v>
      </c>
      <c r="AA1047">
        <v>54605305.43</v>
      </c>
      <c r="AB1047">
        <v>83908483</v>
      </c>
      <c r="AC1047">
        <v>7.7371557295345212E-3</v>
      </c>
      <c r="AD1047">
        <v>78539.19</v>
      </c>
      <c r="AE1047">
        <v>0.19489999999999999</v>
      </c>
      <c r="AF1047">
        <v>70184196.879999995</v>
      </c>
      <c r="AG1047">
        <v>43830600.460000001</v>
      </c>
      <c r="AH1047">
        <v>1299238.8799999999</v>
      </c>
      <c r="AI1047">
        <v>3773765.74</v>
      </c>
      <c r="AJ1047">
        <v>35369085.25</v>
      </c>
      <c r="AK1047">
        <v>0</v>
      </c>
      <c r="AL1047">
        <v>0.50394656948876382</v>
      </c>
    </row>
    <row r="1048" spans="2:38">
      <c r="B1048">
        <v>5.1157125456759982E-2</v>
      </c>
      <c r="C1048">
        <v>76.489999999999995</v>
      </c>
      <c r="D1048">
        <v>76.069999999999993</v>
      </c>
      <c r="E1048">
        <v>5.5060304142632629E-3</v>
      </c>
      <c r="F1048">
        <v>218014</v>
      </c>
      <c r="G1048">
        <v>335633933</v>
      </c>
      <c r="H1048">
        <v>16702052.539999999</v>
      </c>
      <c r="I1048">
        <v>83908483</v>
      </c>
      <c r="J1048">
        <v>2.5982355085599628E-3</v>
      </c>
      <c r="K1048">
        <v>77980.289999999994</v>
      </c>
      <c r="L1048">
        <v>0.189</v>
      </c>
      <c r="M1048">
        <v>70184196.879999995</v>
      </c>
      <c r="N1048">
        <v>43830600.460000001</v>
      </c>
      <c r="O1048">
        <v>1299238.8799999999</v>
      </c>
      <c r="P1048">
        <v>3773765.74</v>
      </c>
      <c r="Q1048">
        <v>35369085.25</v>
      </c>
      <c r="R1048">
        <v>1.7819309746887369E-9</v>
      </c>
      <c r="S1048">
        <v>0.50394656948876382</v>
      </c>
      <c r="U1048">
        <v>1.3879250520471599E-3</v>
      </c>
      <c r="V1048">
        <v>7.27</v>
      </c>
      <c r="W1048">
        <v>7.2</v>
      </c>
      <c r="X1048">
        <f t="shared" si="17"/>
        <v>9.6751900483758677E-3</v>
      </c>
      <c r="Y1048">
        <v>3607</v>
      </c>
      <c r="Z1048">
        <v>15000000</v>
      </c>
      <c r="AA1048">
        <v>26006.47</v>
      </c>
      <c r="AB1048">
        <v>11880000</v>
      </c>
      <c r="AC1048">
        <v>3.0361952861952861E-4</v>
      </c>
      <c r="AD1048">
        <v>82074.45</v>
      </c>
      <c r="AE1048">
        <v>0.1741</v>
      </c>
      <c r="AF1048">
        <v>219240000</v>
      </c>
      <c r="AG1048">
        <v>33140000</v>
      </c>
      <c r="AH1048">
        <v>-10030000</v>
      </c>
      <c r="AI1048">
        <v>43730000</v>
      </c>
      <c r="AJ1048">
        <v>43730000</v>
      </c>
      <c r="AK1048">
        <v>3.2267387275583098E-7</v>
      </c>
      <c r="AL1048">
        <v>0.19946177704798396</v>
      </c>
    </row>
    <row r="1049" spans="2:38">
      <c r="B1049">
        <v>2.2240371929383624E-2</v>
      </c>
      <c r="C1049">
        <v>78.849999999999994</v>
      </c>
      <c r="D1049">
        <v>78.8</v>
      </c>
      <c r="E1049">
        <v>6.3431652394541278E-4</v>
      </c>
      <c r="F1049">
        <v>198066</v>
      </c>
      <c r="G1049">
        <v>335633933</v>
      </c>
      <c r="H1049">
        <v>15639291.359999999</v>
      </c>
      <c r="I1049">
        <v>83908483</v>
      </c>
      <c r="J1049">
        <v>2.3605003084133935E-3</v>
      </c>
      <c r="K1049">
        <v>78569.59</v>
      </c>
      <c r="L1049">
        <v>0.189</v>
      </c>
      <c r="M1049">
        <v>70184196.879999995</v>
      </c>
      <c r="N1049">
        <v>43830600.460000001</v>
      </c>
      <c r="O1049">
        <v>1299238.8799999999</v>
      </c>
      <c r="P1049">
        <v>3773765.74</v>
      </c>
      <c r="Q1049">
        <v>35369085.25</v>
      </c>
      <c r="R1049">
        <v>2.500551278578382E-10</v>
      </c>
      <c r="S1049">
        <v>0.50394656948876382</v>
      </c>
      <c r="U1049">
        <v>3.178991015894949E-2</v>
      </c>
      <c r="V1049">
        <v>7.25</v>
      </c>
      <c r="W1049">
        <v>7.15</v>
      </c>
      <c r="X1049">
        <f t="shared" si="17"/>
        <v>1.388888888888884E-2</v>
      </c>
      <c r="Y1049">
        <v>3872</v>
      </c>
      <c r="Z1049">
        <v>15000000</v>
      </c>
      <c r="AA1049">
        <v>27684.800000000003</v>
      </c>
      <c r="AB1049">
        <v>11880000</v>
      </c>
      <c r="AC1049">
        <v>3.2592592592592591E-4</v>
      </c>
      <c r="AD1049">
        <v>81459.289999999994</v>
      </c>
      <c r="AE1049">
        <v>0.1741</v>
      </c>
      <c r="AF1049">
        <v>219240000</v>
      </c>
      <c r="AG1049">
        <v>33140000</v>
      </c>
      <c r="AH1049">
        <v>-10030000</v>
      </c>
      <c r="AI1049">
        <v>43730000</v>
      </c>
      <c r="AJ1049">
        <v>43730000</v>
      </c>
      <c r="AK1049">
        <v>4.4901676105730642E-7</v>
      </c>
      <c r="AL1049">
        <v>0.19946177704798396</v>
      </c>
    </row>
    <row r="1050" spans="2:38">
      <c r="B1050">
        <v>2.178267401101646E-2</v>
      </c>
      <c r="C1050">
        <v>79.5</v>
      </c>
      <c r="D1050">
        <v>79.400000000000006</v>
      </c>
      <c r="E1050">
        <v>1.258653241032024E-3</v>
      </c>
      <c r="F1050">
        <v>196544</v>
      </c>
      <c r="G1050">
        <v>335633933</v>
      </c>
      <c r="H1050">
        <v>15580042.879999999</v>
      </c>
      <c r="I1050">
        <v>83908483</v>
      </c>
      <c r="J1050">
        <v>2.3423614987771856E-3</v>
      </c>
      <c r="K1050">
        <v>77874.22</v>
      </c>
      <c r="L1050">
        <v>0.189</v>
      </c>
      <c r="M1050">
        <v>70184196.879999995</v>
      </c>
      <c r="N1050">
        <v>43830600.460000001</v>
      </c>
      <c r="O1050">
        <v>1299238.8799999999</v>
      </c>
      <c r="P1050">
        <v>3773765.74</v>
      </c>
      <c r="Q1050">
        <v>35369085.25</v>
      </c>
      <c r="R1050">
        <v>3.9921923209149446E-10</v>
      </c>
      <c r="S1050">
        <v>0.50394656948876382</v>
      </c>
      <c r="U1050">
        <v>4.0027605244996559E-2</v>
      </c>
      <c r="V1050">
        <v>7.35</v>
      </c>
      <c r="W1050">
        <v>7.14</v>
      </c>
      <c r="X1050">
        <f t="shared" si="17"/>
        <v>2.8985507246376808E-2</v>
      </c>
      <c r="Y1050">
        <v>23295</v>
      </c>
      <c r="Z1050">
        <v>15000000</v>
      </c>
      <c r="AA1050">
        <v>168655.80000000002</v>
      </c>
      <c r="AB1050">
        <v>11880000</v>
      </c>
      <c r="AC1050">
        <v>1.9608585858585858E-3</v>
      </c>
      <c r="AD1050">
        <v>80461.34</v>
      </c>
      <c r="AE1050">
        <v>0.1741</v>
      </c>
      <c r="AF1050">
        <v>219240000</v>
      </c>
      <c r="AG1050">
        <v>33140000</v>
      </c>
      <c r="AH1050">
        <v>-10030000</v>
      </c>
      <c r="AI1050">
        <v>43730000</v>
      </c>
      <c r="AJ1050">
        <v>43730000</v>
      </c>
      <c r="AK1050">
        <v>7.4633736802485103E-8</v>
      </c>
      <c r="AL1050">
        <v>0.19946177704798396</v>
      </c>
    </row>
    <row r="1051" spans="2:38">
      <c r="B1051">
        <v>3.4393700787401449E-2</v>
      </c>
      <c r="C1051">
        <v>78.92</v>
      </c>
      <c r="D1051">
        <v>78.900000000000006</v>
      </c>
      <c r="E1051">
        <v>2.5345330122919811E-4</v>
      </c>
      <c r="F1051">
        <v>708293</v>
      </c>
      <c r="G1051">
        <v>335633933</v>
      </c>
      <c r="H1051">
        <v>55799322.539999999</v>
      </c>
      <c r="I1051">
        <v>83908483</v>
      </c>
      <c r="J1051">
        <v>8.4412561719176826E-3</v>
      </c>
      <c r="K1051">
        <v>77114.490000000005</v>
      </c>
      <c r="L1051">
        <v>0.189</v>
      </c>
      <c r="M1051">
        <v>70184196.879999995</v>
      </c>
      <c r="N1051">
        <v>43830600.460000001</v>
      </c>
      <c r="O1051">
        <v>1299238.8799999999</v>
      </c>
      <c r="P1051">
        <v>3773765.74</v>
      </c>
      <c r="Q1051">
        <v>35369085.25</v>
      </c>
      <c r="R1051">
        <v>1.5938197400498042E-11</v>
      </c>
      <c r="S1051">
        <v>0.50394656948876382</v>
      </c>
      <c r="U1051">
        <v>1.2422360248447185E-2</v>
      </c>
      <c r="V1051">
        <v>7.25</v>
      </c>
      <c r="W1051">
        <v>7.14</v>
      </c>
      <c r="X1051">
        <f t="shared" si="17"/>
        <v>1.5288394718554596E-2</v>
      </c>
      <c r="Y1051">
        <v>504</v>
      </c>
      <c r="Z1051">
        <v>15000000</v>
      </c>
      <c r="AA1051">
        <v>3603.6000000000004</v>
      </c>
      <c r="AB1051">
        <v>11880000</v>
      </c>
      <c r="AC1051">
        <v>4.2424242424242423E-5</v>
      </c>
      <c r="AD1051">
        <v>79491.14</v>
      </c>
      <c r="AE1051">
        <v>0.1741</v>
      </c>
      <c r="AF1051">
        <v>219240000</v>
      </c>
      <c r="AG1051">
        <v>33140000</v>
      </c>
      <c r="AH1051">
        <v>-10030000</v>
      </c>
      <c r="AI1051">
        <v>43730000</v>
      </c>
      <c r="AJ1051">
        <v>43730000</v>
      </c>
      <c r="AK1051">
        <v>0</v>
      </c>
      <c r="AL1051">
        <v>0.19946177704798396</v>
      </c>
    </row>
    <row r="1052" spans="2:38">
      <c r="B1052">
        <v>5.0191835964526005E-2</v>
      </c>
      <c r="C1052">
        <v>78.989999999999995</v>
      </c>
      <c r="D1052">
        <v>78.760000000000005</v>
      </c>
      <c r="E1052">
        <v>2.9160063391440857E-3</v>
      </c>
      <c r="F1052">
        <v>409925</v>
      </c>
      <c r="G1052">
        <v>335633933</v>
      </c>
      <c r="H1052">
        <v>32265196.749999996</v>
      </c>
      <c r="I1052">
        <v>83908483</v>
      </c>
      <c r="J1052">
        <v>4.8853820894366549E-3</v>
      </c>
      <c r="K1052">
        <v>77191.34</v>
      </c>
      <c r="L1052">
        <v>0.19489999999999999</v>
      </c>
      <c r="M1052">
        <v>70184196.879999995</v>
      </c>
      <c r="N1052">
        <v>43830600.460000001</v>
      </c>
      <c r="O1052">
        <v>1299238.8799999999</v>
      </c>
      <c r="P1052">
        <v>3773765.74</v>
      </c>
      <c r="Q1052">
        <v>35369085.25</v>
      </c>
      <c r="R1052">
        <v>1.098630368747561E-10</v>
      </c>
      <c r="S1052">
        <v>0.50394656948876382</v>
      </c>
      <c r="U1052">
        <v>2.6370575988896531E-2</v>
      </c>
      <c r="V1052">
        <v>7.15</v>
      </c>
      <c r="W1052">
        <v>7.13</v>
      </c>
      <c r="X1052">
        <f t="shared" si="17"/>
        <v>2.8011204481793364E-3</v>
      </c>
      <c r="Y1052">
        <v>36456</v>
      </c>
      <c r="Z1052">
        <v>15000000</v>
      </c>
      <c r="AA1052">
        <v>260660.40000000002</v>
      </c>
      <c r="AB1052">
        <v>11880000</v>
      </c>
      <c r="AC1052">
        <v>3.0686868686868687E-3</v>
      </c>
      <c r="AD1052">
        <v>79333.06</v>
      </c>
      <c r="AE1052">
        <v>0.1741</v>
      </c>
      <c r="AF1052">
        <v>219240000</v>
      </c>
      <c r="AG1052">
        <v>33140000</v>
      </c>
      <c r="AH1052">
        <v>-10030000</v>
      </c>
      <c r="AI1052">
        <v>43730000</v>
      </c>
      <c r="AJ1052">
        <v>43730000</v>
      </c>
      <c r="AK1052">
        <v>2.6641731710856038E-8</v>
      </c>
      <c r="AL1052">
        <v>0.19946177704798396</v>
      </c>
    </row>
    <row r="1053" spans="2:38">
      <c r="B1053">
        <v>3.8774233896185041E-2</v>
      </c>
      <c r="C1053">
        <v>79.95</v>
      </c>
      <c r="D1053">
        <v>79.099999999999994</v>
      </c>
      <c r="E1053">
        <v>1.0688462747563765E-2</v>
      </c>
      <c r="F1053">
        <v>277430</v>
      </c>
      <c r="G1053">
        <v>335633933</v>
      </c>
      <c r="H1053">
        <v>21914195.699999999</v>
      </c>
      <c r="I1053">
        <v>83908483</v>
      </c>
      <c r="J1053">
        <v>3.306340313648621E-3</v>
      </c>
      <c r="K1053">
        <v>77084.490000000005</v>
      </c>
      <c r="L1053">
        <v>0.19489999999999999</v>
      </c>
      <c r="M1053">
        <v>70184196.879999995</v>
      </c>
      <c r="N1053">
        <v>43830600.460000001</v>
      </c>
      <c r="O1053">
        <v>1299238.8799999999</v>
      </c>
      <c r="P1053">
        <v>3773765.74</v>
      </c>
      <c r="Q1053">
        <v>35369085.25</v>
      </c>
      <c r="R1053">
        <v>1.5352267349818706E-9</v>
      </c>
      <c r="S1053">
        <v>0.50394656948876382</v>
      </c>
      <c r="U1053">
        <v>3.7526059763724869E-2</v>
      </c>
      <c r="V1053">
        <v>7.2</v>
      </c>
      <c r="W1053">
        <v>7.18</v>
      </c>
      <c r="X1053">
        <f t="shared" si="17"/>
        <v>2.7816411682893552E-3</v>
      </c>
      <c r="Y1053">
        <v>6702</v>
      </c>
      <c r="Z1053">
        <v>15000000</v>
      </c>
      <c r="AA1053">
        <v>48254.400000000001</v>
      </c>
      <c r="AB1053">
        <v>11880000</v>
      </c>
      <c r="AC1053">
        <v>5.6414141414141419E-4</v>
      </c>
      <c r="AD1053">
        <v>79017.62</v>
      </c>
      <c r="AE1053">
        <v>0.1741</v>
      </c>
      <c r="AF1053">
        <v>219240000</v>
      </c>
      <c r="AG1053">
        <v>33140000</v>
      </c>
      <c r="AH1053">
        <v>-10030000</v>
      </c>
      <c r="AI1053">
        <v>43730000</v>
      </c>
      <c r="AJ1053">
        <v>43730000</v>
      </c>
      <c r="AK1053">
        <v>5.7725623369772007E-8</v>
      </c>
      <c r="AL1053">
        <v>0.19946177704798396</v>
      </c>
    </row>
    <row r="1054" spans="2:38">
      <c r="B1054">
        <v>3.0456852791878122E-2</v>
      </c>
      <c r="C1054">
        <v>81.8</v>
      </c>
      <c r="D1054">
        <v>81.7</v>
      </c>
      <c r="E1054">
        <v>1.2232415902139978E-3</v>
      </c>
      <c r="F1054">
        <v>661080</v>
      </c>
      <c r="G1054">
        <v>335633933</v>
      </c>
      <c r="H1054">
        <v>54036679.199999996</v>
      </c>
      <c r="I1054">
        <v>83908483</v>
      </c>
      <c r="J1054">
        <v>7.8785836230646673E-3</v>
      </c>
      <c r="K1054">
        <v>78225.98</v>
      </c>
      <c r="L1054">
        <v>0.19489999999999999</v>
      </c>
      <c r="M1054">
        <v>70184196.879999995</v>
      </c>
      <c r="N1054">
        <v>43830600.460000001</v>
      </c>
      <c r="O1054">
        <v>1299238.8799999999</v>
      </c>
      <c r="P1054">
        <v>3773765.74</v>
      </c>
      <c r="Q1054">
        <v>35369085.25</v>
      </c>
      <c r="R1054">
        <v>1.4599910785649434E-10</v>
      </c>
      <c r="S1054">
        <v>0.50394656948876382</v>
      </c>
      <c r="U1054">
        <v>2.7894002789400182E-2</v>
      </c>
      <c r="V1054">
        <v>7.17</v>
      </c>
      <c r="W1054">
        <v>7.1</v>
      </c>
      <c r="X1054">
        <f t="shared" si="17"/>
        <v>9.810791871058204E-3</v>
      </c>
      <c r="Y1054">
        <v>7872</v>
      </c>
      <c r="Z1054">
        <v>15000000</v>
      </c>
      <c r="AA1054">
        <v>56520.959999999999</v>
      </c>
      <c r="AB1054">
        <v>11880000</v>
      </c>
      <c r="AC1054">
        <v>6.6262626262626268E-4</v>
      </c>
      <c r="AD1054">
        <v>78651.8</v>
      </c>
      <c r="AE1054">
        <v>0.1741</v>
      </c>
      <c r="AF1054">
        <v>219240000</v>
      </c>
      <c r="AG1054">
        <v>33140000</v>
      </c>
      <c r="AH1054">
        <v>-10030000</v>
      </c>
      <c r="AI1054">
        <v>43730000</v>
      </c>
      <c r="AJ1054">
        <v>43730000</v>
      </c>
      <c r="AK1054">
        <v>2.4675804152476961E-8</v>
      </c>
      <c r="AL1054">
        <v>0.19946177704798396</v>
      </c>
    </row>
    <row r="1055" spans="2:38">
      <c r="B1055">
        <v>4.7340165934602357E-2</v>
      </c>
      <c r="C1055">
        <v>83.2</v>
      </c>
      <c r="D1055">
        <v>83</v>
      </c>
      <c r="E1055">
        <v>2.406738868832766E-3</v>
      </c>
      <c r="F1055">
        <v>218706</v>
      </c>
      <c r="G1055">
        <v>335633933</v>
      </c>
      <c r="H1055">
        <v>18019187.34</v>
      </c>
      <c r="I1055">
        <v>83908483</v>
      </c>
      <c r="J1055">
        <v>2.6064825888939026E-3</v>
      </c>
      <c r="K1055">
        <v>77740.31</v>
      </c>
      <c r="L1055">
        <v>0.19489999999999999</v>
      </c>
      <c r="M1055">
        <v>70184196.879999995</v>
      </c>
      <c r="N1055">
        <v>43830600.460000001</v>
      </c>
      <c r="O1055">
        <v>1299238.8799999999</v>
      </c>
      <c r="P1055">
        <v>3773765.74</v>
      </c>
      <c r="Q1055">
        <v>35369085.25</v>
      </c>
      <c r="R1055">
        <v>5.785128607461676E-10</v>
      </c>
      <c r="S1055">
        <v>0.50394656948876382</v>
      </c>
      <c r="U1055">
        <v>1.9390581717451477E-2</v>
      </c>
      <c r="V1055">
        <v>7.2</v>
      </c>
      <c r="W1055">
        <v>7.15</v>
      </c>
      <c r="X1055">
        <f t="shared" si="17"/>
        <v>6.9686411149825532E-3</v>
      </c>
      <c r="Y1055">
        <v>6100</v>
      </c>
      <c r="Z1055">
        <v>15000000</v>
      </c>
      <c r="AA1055">
        <v>43737</v>
      </c>
      <c r="AB1055">
        <v>11880000</v>
      </c>
      <c r="AC1055">
        <v>5.1346801346801349E-4</v>
      </c>
      <c r="AD1055">
        <v>79286.740000000005</v>
      </c>
      <c r="AE1055">
        <v>0.1741</v>
      </c>
      <c r="AF1055">
        <v>219240000</v>
      </c>
      <c r="AG1055">
        <v>33140000</v>
      </c>
      <c r="AH1055">
        <v>-10030000</v>
      </c>
      <c r="AI1055">
        <v>43730000</v>
      </c>
      <c r="AJ1055">
        <v>43730000</v>
      </c>
      <c r="AK1055">
        <v>9.526640296926404E-8</v>
      </c>
      <c r="AL1055">
        <v>0.19946177704798396</v>
      </c>
    </row>
    <row r="1056" spans="2:38">
      <c r="B1056">
        <v>5.6256062075654721E-2</v>
      </c>
      <c r="C1056">
        <v>80.989999999999995</v>
      </c>
      <c r="D1056">
        <v>80.5</v>
      </c>
      <c r="E1056">
        <v>6.0684872128304521E-3</v>
      </c>
      <c r="F1056">
        <v>290723</v>
      </c>
      <c r="G1056">
        <v>335633933</v>
      </c>
      <c r="H1056">
        <v>23705553.420000002</v>
      </c>
      <c r="I1056">
        <v>83908483</v>
      </c>
      <c r="J1056">
        <v>3.4647629131848326E-3</v>
      </c>
      <c r="K1056">
        <v>77886.990000000005</v>
      </c>
      <c r="L1056">
        <v>0.19489999999999999</v>
      </c>
      <c r="M1056">
        <v>70184196.879999995</v>
      </c>
      <c r="N1056">
        <v>43830600.460000001</v>
      </c>
      <c r="O1056">
        <v>1299238.8799999999</v>
      </c>
      <c r="P1056">
        <v>3773765.74</v>
      </c>
      <c r="Q1056">
        <v>35369085.25</v>
      </c>
      <c r="R1056">
        <v>8.4165607625468519E-10</v>
      </c>
      <c r="S1056">
        <v>0.50394656948876382</v>
      </c>
      <c r="U1056">
        <v>3.3426183844011172E-2</v>
      </c>
      <c r="V1056">
        <v>7.25</v>
      </c>
      <c r="W1056">
        <v>7.15</v>
      </c>
      <c r="X1056">
        <f t="shared" si="17"/>
        <v>1.388888888888884E-2</v>
      </c>
      <c r="Y1056">
        <v>5500</v>
      </c>
      <c r="Z1056">
        <v>15000000</v>
      </c>
      <c r="AA1056">
        <v>39600</v>
      </c>
      <c r="AB1056">
        <v>11880000</v>
      </c>
      <c r="AC1056">
        <v>4.6296296296296298E-4</v>
      </c>
      <c r="AD1056">
        <v>78615</v>
      </c>
      <c r="AE1056">
        <v>0.1741</v>
      </c>
      <c r="AF1056">
        <v>219240000</v>
      </c>
      <c r="AG1056">
        <v>33140000</v>
      </c>
      <c r="AH1056">
        <v>-10030000</v>
      </c>
      <c r="AI1056">
        <v>43730000</v>
      </c>
      <c r="AJ1056">
        <v>43730000</v>
      </c>
      <c r="AK1056">
        <v>3.4592500345924883E-7</v>
      </c>
      <c r="AL1056">
        <v>0.19946177704798396</v>
      </c>
    </row>
    <row r="1057" spans="2:38">
      <c r="B1057">
        <v>5.25574847489442E-2</v>
      </c>
      <c r="C1057">
        <v>83.24</v>
      </c>
      <c r="D1057">
        <v>83.15</v>
      </c>
      <c r="E1057">
        <v>1.0817957809963244E-3</v>
      </c>
      <c r="F1057">
        <v>416369</v>
      </c>
      <c r="G1057">
        <v>335633933</v>
      </c>
      <c r="H1057">
        <v>34641900.800000004</v>
      </c>
      <c r="I1057">
        <v>83908483</v>
      </c>
      <c r="J1057">
        <v>4.96218004560993E-3</v>
      </c>
      <c r="K1057">
        <v>78628.81</v>
      </c>
      <c r="L1057">
        <v>0.19489999999999999</v>
      </c>
      <c r="M1057">
        <v>70184196.879999995</v>
      </c>
      <c r="N1057">
        <v>43830600.460000001</v>
      </c>
      <c r="O1057">
        <v>1299238.8799999999</v>
      </c>
      <c r="P1057">
        <v>3773765.74</v>
      </c>
      <c r="Q1057">
        <v>35369085.25</v>
      </c>
      <c r="R1057">
        <v>6.4449911768662078E-10</v>
      </c>
      <c r="S1057">
        <v>0.50394656948876382</v>
      </c>
      <c r="U1057">
        <v>2.3464458247066933E-2</v>
      </c>
      <c r="V1057">
        <v>7.16</v>
      </c>
      <c r="W1057">
        <v>7.15</v>
      </c>
      <c r="X1057">
        <f t="shared" si="17"/>
        <v>1.3976240391334433E-3</v>
      </c>
      <c r="Y1057">
        <v>822</v>
      </c>
      <c r="Z1057">
        <v>15000000</v>
      </c>
      <c r="AA1057">
        <v>6000.5999999999995</v>
      </c>
      <c r="AB1057">
        <v>11880000</v>
      </c>
      <c r="AC1057">
        <v>6.919191919191919E-5</v>
      </c>
      <c r="AD1057">
        <v>78897.73</v>
      </c>
      <c r="AE1057">
        <v>0.1741</v>
      </c>
      <c r="AF1057">
        <v>219240000</v>
      </c>
      <c r="AG1057">
        <v>33140000</v>
      </c>
      <c r="AH1057">
        <v>-10030000</v>
      </c>
      <c r="AI1057">
        <v>43730000</v>
      </c>
      <c r="AJ1057">
        <v>43730000</v>
      </c>
      <c r="AK1057">
        <v>4.4533755719599043E-6</v>
      </c>
      <c r="AL1057">
        <v>0.19946177704798396</v>
      </c>
    </row>
    <row r="1058" spans="2:38">
      <c r="B1058">
        <v>2.8409423043198771E-2</v>
      </c>
      <c r="C1058">
        <v>85.49</v>
      </c>
      <c r="D1058">
        <v>85</v>
      </c>
      <c r="E1058">
        <v>5.7481377206873704E-3</v>
      </c>
      <c r="F1058">
        <v>421151</v>
      </c>
      <c r="G1058">
        <v>335633933</v>
      </c>
      <c r="H1058">
        <v>35839950.099999994</v>
      </c>
      <c r="I1058">
        <v>83908483</v>
      </c>
      <c r="J1058">
        <v>5.0191707076863729E-3</v>
      </c>
      <c r="K1058">
        <v>78827.740000000005</v>
      </c>
      <c r="L1058">
        <v>0.19489999999999999</v>
      </c>
      <c r="M1058">
        <v>70184196.879999995</v>
      </c>
      <c r="N1058">
        <v>43830600.460000001</v>
      </c>
      <c r="O1058">
        <v>1299238.8799999999</v>
      </c>
      <c r="P1058">
        <v>3773765.74</v>
      </c>
      <c r="Q1058">
        <v>35369085.25</v>
      </c>
      <c r="R1058">
        <v>3.6538103593057265E-10</v>
      </c>
      <c r="S1058">
        <v>0.50394656948876382</v>
      </c>
      <c r="U1058">
        <v>2.7777777777777804E-2</v>
      </c>
      <c r="V1058">
        <v>7.27</v>
      </c>
      <c r="W1058">
        <v>7.12</v>
      </c>
      <c r="X1058">
        <f t="shared" si="17"/>
        <v>2.0847810979847042E-2</v>
      </c>
      <c r="Y1058">
        <v>11962</v>
      </c>
      <c r="Z1058">
        <v>15000000</v>
      </c>
      <c r="AA1058">
        <v>85049.82</v>
      </c>
      <c r="AB1058">
        <v>11880000</v>
      </c>
      <c r="AC1058">
        <v>1.0069023569023569E-3</v>
      </c>
      <c r="AD1058">
        <v>78863.34</v>
      </c>
      <c r="AE1058">
        <v>0.1741</v>
      </c>
      <c r="AF1058">
        <v>219240000</v>
      </c>
      <c r="AG1058">
        <v>33140000</v>
      </c>
      <c r="AH1058">
        <v>-10030000</v>
      </c>
      <c r="AI1058">
        <v>43730000</v>
      </c>
      <c r="AJ1058">
        <v>43730000</v>
      </c>
      <c r="AK1058">
        <v>4.9402581595925985E-8</v>
      </c>
      <c r="AL1058">
        <v>0.19946177704798396</v>
      </c>
    </row>
    <row r="1059" spans="2:38">
      <c r="B1059">
        <v>4.1055718475073312E-2</v>
      </c>
      <c r="C1059">
        <v>84.48</v>
      </c>
      <c r="D1059">
        <v>84.2</v>
      </c>
      <c r="E1059">
        <v>3.3198956604221144E-3</v>
      </c>
      <c r="F1059">
        <v>797789</v>
      </c>
      <c r="G1059">
        <v>335633933</v>
      </c>
      <c r="H1059">
        <v>67014276</v>
      </c>
      <c r="I1059">
        <v>83908483</v>
      </c>
      <c r="J1059">
        <v>9.5078467811174714E-3</v>
      </c>
      <c r="K1059">
        <v>78029.509999999995</v>
      </c>
      <c r="L1059">
        <v>0.19489999999999999</v>
      </c>
      <c r="M1059">
        <v>70184196.879999995</v>
      </c>
      <c r="N1059">
        <v>43830600.460000001</v>
      </c>
      <c r="O1059">
        <v>1299238.8799999999</v>
      </c>
      <c r="P1059">
        <v>3773765.74</v>
      </c>
      <c r="Q1059">
        <v>35369085.25</v>
      </c>
      <c r="R1059">
        <v>2.8062996946068456E-10</v>
      </c>
      <c r="S1059">
        <v>0.50394656948876382</v>
      </c>
      <c r="U1059">
        <v>3.4989503149055287E-2</v>
      </c>
      <c r="V1059">
        <v>7.22</v>
      </c>
      <c r="W1059">
        <v>7.14</v>
      </c>
      <c r="X1059">
        <f t="shared" si="17"/>
        <v>1.1142061281337058E-2</v>
      </c>
      <c r="Y1059">
        <v>11087</v>
      </c>
      <c r="Z1059">
        <v>15000000</v>
      </c>
      <c r="AA1059">
        <v>79161.179999999993</v>
      </c>
      <c r="AB1059">
        <v>11880000</v>
      </c>
      <c r="AC1059">
        <v>9.3324915824915828E-4</v>
      </c>
      <c r="AD1059">
        <v>78848.009999999995</v>
      </c>
      <c r="AE1059">
        <v>0.1741</v>
      </c>
      <c r="AF1059">
        <v>219240000</v>
      </c>
      <c r="AG1059">
        <v>33140000</v>
      </c>
      <c r="AH1059">
        <v>-10030000</v>
      </c>
      <c r="AI1059">
        <v>43730000</v>
      </c>
      <c r="AJ1059">
        <v>43730000</v>
      </c>
      <c r="AK1059">
        <v>8.7847388337608483E-8</v>
      </c>
      <c r="AL1059">
        <v>0.19946177704798396</v>
      </c>
    </row>
    <row r="1060" spans="2:38">
      <c r="B1060">
        <v>2.8135990621336527E-2</v>
      </c>
      <c r="C1060">
        <v>85.7</v>
      </c>
      <c r="D1060">
        <v>84.71</v>
      </c>
      <c r="E1060">
        <v>1.1619036441523492E-2</v>
      </c>
      <c r="F1060">
        <v>128317</v>
      </c>
      <c r="G1060">
        <v>335633933</v>
      </c>
      <c r="H1060">
        <v>10985218.369999999</v>
      </c>
      <c r="I1060">
        <v>83908483</v>
      </c>
      <c r="J1060">
        <v>1.529249432384566E-3</v>
      </c>
      <c r="K1060">
        <v>78469.33</v>
      </c>
      <c r="L1060">
        <v>0.19489999999999999</v>
      </c>
      <c r="M1060">
        <v>70184196.879999995</v>
      </c>
      <c r="N1060">
        <v>43830600.460000001</v>
      </c>
      <c r="O1060">
        <v>1299238.8799999999</v>
      </c>
      <c r="P1060">
        <v>3773765.74</v>
      </c>
      <c r="Q1060">
        <v>35369085.25</v>
      </c>
      <c r="R1060">
        <v>1.8112524553591149E-10</v>
      </c>
      <c r="S1060">
        <v>0.50394656948876382</v>
      </c>
      <c r="U1060">
        <v>3.2326071679550303E-2</v>
      </c>
      <c r="V1060">
        <v>7.2</v>
      </c>
      <c r="W1060">
        <v>7.15</v>
      </c>
      <c r="X1060">
        <f t="shared" si="17"/>
        <v>6.9686411149825532E-3</v>
      </c>
      <c r="Y1060">
        <v>60781</v>
      </c>
      <c r="Z1060">
        <v>15000000</v>
      </c>
      <c r="AA1060">
        <v>437015.39</v>
      </c>
      <c r="AB1060">
        <v>11880000</v>
      </c>
      <c r="AC1060">
        <v>5.1162457912457913E-3</v>
      </c>
      <c r="AD1060">
        <v>78356.320000000007</v>
      </c>
      <c r="AE1060">
        <v>0.17469999999999999</v>
      </c>
      <c r="AF1060">
        <v>219240000</v>
      </c>
      <c r="AG1060">
        <v>33140000</v>
      </c>
      <c r="AH1060">
        <v>-10030000</v>
      </c>
      <c r="AI1060">
        <v>43730000</v>
      </c>
      <c r="AJ1060">
        <v>43730000</v>
      </c>
      <c r="AK1060">
        <v>1.2628969145636536E-7</v>
      </c>
      <c r="AL1060">
        <v>0.19946177704798396</v>
      </c>
    </row>
    <row r="1061" spans="2:38">
      <c r="B1061">
        <v>2.0263188540817455E-2</v>
      </c>
      <c r="C1061">
        <v>85.9</v>
      </c>
      <c r="D1061">
        <v>85.55</v>
      </c>
      <c r="E1061">
        <v>4.0828229804608755E-3</v>
      </c>
      <c r="F1061">
        <v>156312</v>
      </c>
      <c r="G1061">
        <v>335633933</v>
      </c>
      <c r="H1061">
        <v>13355297.279999999</v>
      </c>
      <c r="I1061">
        <v>83908483</v>
      </c>
      <c r="J1061">
        <v>1.8628867357785505E-3</v>
      </c>
      <c r="K1061">
        <v>79397.009999999995</v>
      </c>
      <c r="L1061">
        <v>0.19489999999999999</v>
      </c>
      <c r="M1061">
        <v>70184196.879999995</v>
      </c>
      <c r="N1061">
        <v>43830600.460000001</v>
      </c>
      <c r="O1061">
        <v>1299238.8799999999</v>
      </c>
      <c r="P1061">
        <v>3773765.74</v>
      </c>
      <c r="Q1061">
        <v>35369085.25</v>
      </c>
      <c r="R1061">
        <v>3.5759381425139652E-10</v>
      </c>
      <c r="S1061">
        <v>0.50394656948876382</v>
      </c>
      <c r="U1061">
        <v>7.3170731707317069E-2</v>
      </c>
      <c r="V1061">
        <v>7.65</v>
      </c>
      <c r="W1061">
        <v>7.3</v>
      </c>
      <c r="X1061">
        <f t="shared" si="17"/>
        <v>4.6822742474916461E-2</v>
      </c>
      <c r="Y1061">
        <v>7500</v>
      </c>
      <c r="Z1061">
        <v>15000000</v>
      </c>
      <c r="AA1061">
        <v>57075</v>
      </c>
      <c r="AB1061">
        <v>11880000</v>
      </c>
      <c r="AC1061">
        <v>6.3131313131313137E-4</v>
      </c>
      <c r="AD1061">
        <v>78283.3</v>
      </c>
      <c r="AE1061">
        <v>0.17469999999999999</v>
      </c>
      <c r="AF1061">
        <v>219240000</v>
      </c>
      <c r="AG1061">
        <v>33140000</v>
      </c>
      <c r="AH1061">
        <v>-10030000</v>
      </c>
      <c r="AI1061">
        <v>43730000</v>
      </c>
      <c r="AJ1061">
        <v>43730000</v>
      </c>
      <c r="AK1061">
        <v>9.1612057291890394E-8</v>
      </c>
      <c r="AL1061">
        <v>0.19946177704798396</v>
      </c>
    </row>
    <row r="1062" spans="2:38">
      <c r="B1062">
        <v>2.6354319180087848E-2</v>
      </c>
      <c r="C1062">
        <v>86.15</v>
      </c>
      <c r="D1062">
        <v>86</v>
      </c>
      <c r="E1062">
        <v>1.7426662794075595E-3</v>
      </c>
      <c r="F1062">
        <v>344473</v>
      </c>
      <c r="G1062">
        <v>335633933</v>
      </c>
      <c r="H1062">
        <v>29573007.049999997</v>
      </c>
      <c r="I1062">
        <v>83908483</v>
      </c>
      <c r="J1062">
        <v>4.1053417686028239E-3</v>
      </c>
      <c r="K1062">
        <v>78987.09</v>
      </c>
      <c r="L1062">
        <v>0.19489999999999999</v>
      </c>
      <c r="M1062">
        <v>70184196.879999995</v>
      </c>
      <c r="N1062">
        <v>43830600.460000001</v>
      </c>
      <c r="O1062">
        <v>1299238.8799999999</v>
      </c>
      <c r="P1062">
        <v>3773765.74</v>
      </c>
      <c r="Q1062">
        <v>35369085.25</v>
      </c>
      <c r="R1062">
        <v>6.995296523096184E-10</v>
      </c>
      <c r="S1062">
        <v>0.50394656948876382</v>
      </c>
      <c r="U1062">
        <v>3.3222591362126241E-2</v>
      </c>
      <c r="V1062">
        <v>7.6</v>
      </c>
      <c r="W1062">
        <v>7.46</v>
      </c>
      <c r="X1062">
        <f t="shared" si="17"/>
        <v>1.8592297476759587E-2</v>
      </c>
      <c r="Y1062">
        <v>8501</v>
      </c>
      <c r="Z1062">
        <v>15000000</v>
      </c>
      <c r="AA1062">
        <v>65032.65</v>
      </c>
      <c r="AB1062">
        <v>11880000</v>
      </c>
      <c r="AC1062">
        <v>7.1557239057239055E-4</v>
      </c>
      <c r="AD1062">
        <v>78488.22</v>
      </c>
      <c r="AE1062">
        <v>0.17469999999999999</v>
      </c>
      <c r="AF1062">
        <v>219240000</v>
      </c>
      <c r="AG1062">
        <v>33140000</v>
      </c>
      <c r="AH1062">
        <v>-10030000</v>
      </c>
      <c r="AI1062">
        <v>43730000</v>
      </c>
      <c r="AJ1062">
        <v>43730000</v>
      </c>
      <c r="AK1062">
        <v>1.3942777224906704E-7</v>
      </c>
      <c r="AL1062">
        <v>0.19946177704798396</v>
      </c>
    </row>
    <row r="1063" spans="2:38">
      <c r="B1063">
        <v>5.6455344747801894E-2</v>
      </c>
      <c r="C1063">
        <v>84.89</v>
      </c>
      <c r="D1063">
        <v>84.65</v>
      </c>
      <c r="E1063">
        <v>2.8311902795799793E-3</v>
      </c>
      <c r="F1063">
        <v>649213</v>
      </c>
      <c r="G1063">
        <v>335633933</v>
      </c>
      <c r="H1063">
        <v>54605305.43</v>
      </c>
      <c r="I1063">
        <v>83908483</v>
      </c>
      <c r="J1063">
        <v>7.7371557295345212E-3</v>
      </c>
      <c r="K1063">
        <v>78539.19</v>
      </c>
      <c r="L1063">
        <v>0.19489999999999999</v>
      </c>
      <c r="M1063">
        <v>70184196.879999995</v>
      </c>
      <c r="N1063">
        <v>43830600.460000001</v>
      </c>
      <c r="O1063">
        <v>1299238.8799999999</v>
      </c>
      <c r="P1063">
        <v>3773765.74</v>
      </c>
      <c r="Q1063">
        <v>35369085.25</v>
      </c>
      <c r="R1063">
        <v>0</v>
      </c>
      <c r="S1063">
        <v>0.50394656948876382</v>
      </c>
      <c r="U1063">
        <v>9.536601746138347E-2</v>
      </c>
      <c r="V1063">
        <v>7.79</v>
      </c>
      <c r="W1063">
        <v>7.56</v>
      </c>
      <c r="X1063">
        <f t="shared" si="17"/>
        <v>2.9967426710097778E-2</v>
      </c>
      <c r="Y1063">
        <v>53604</v>
      </c>
      <c r="Z1063">
        <v>15000000</v>
      </c>
      <c r="AA1063">
        <v>413822.88</v>
      </c>
      <c r="AB1063">
        <v>11880000</v>
      </c>
      <c r="AC1063">
        <v>4.5121212121212121E-3</v>
      </c>
      <c r="AD1063">
        <v>78349.66</v>
      </c>
      <c r="AE1063">
        <v>0.17469999999999999</v>
      </c>
      <c r="AF1063">
        <v>219240000</v>
      </c>
      <c r="AG1063">
        <v>33140000</v>
      </c>
      <c r="AH1063">
        <v>-10030000</v>
      </c>
      <c r="AI1063">
        <v>43730000</v>
      </c>
      <c r="AJ1063">
        <v>43730000</v>
      </c>
      <c r="AK1063">
        <v>1.962977324917339E-7</v>
      </c>
      <c r="AL1063">
        <v>0.19946177704798396</v>
      </c>
    </row>
    <row r="1064" spans="2:38">
      <c r="B1064">
        <v>0</v>
      </c>
      <c r="C1064">
        <v>0</v>
      </c>
      <c r="D1064">
        <v>0</v>
      </c>
      <c r="E1064">
        <v>0</v>
      </c>
      <c r="F1064">
        <v>0</v>
      </c>
      <c r="G1064">
        <v>0</v>
      </c>
      <c r="H1064">
        <v>0</v>
      </c>
      <c r="I1064">
        <v>0</v>
      </c>
      <c r="J1064">
        <v>0</v>
      </c>
      <c r="K1064">
        <v>0</v>
      </c>
      <c r="L1064">
        <v>0</v>
      </c>
      <c r="M1064">
        <v>0</v>
      </c>
      <c r="N1064">
        <v>0</v>
      </c>
      <c r="O1064">
        <v>0</v>
      </c>
      <c r="P1064">
        <v>0</v>
      </c>
      <c r="Q1064">
        <v>0</v>
      </c>
      <c r="R1064">
        <v>0</v>
      </c>
      <c r="S1064">
        <v>0</v>
      </c>
      <c r="U1064">
        <v>9.7902097902097918E-2</v>
      </c>
      <c r="V1064">
        <v>7.36</v>
      </c>
      <c r="W1064">
        <v>6.88</v>
      </c>
      <c r="X1064">
        <f t="shared" si="17"/>
        <v>6.7415730337078705E-2</v>
      </c>
      <c r="Y1064">
        <v>53570</v>
      </c>
      <c r="Z1064">
        <v>15000000</v>
      </c>
      <c r="AA1064">
        <v>382489.8</v>
      </c>
      <c r="AB1064">
        <v>11880000</v>
      </c>
      <c r="AC1064">
        <v>4.5092592592592589E-3</v>
      </c>
      <c r="AD1064">
        <v>77992.789999999994</v>
      </c>
      <c r="AE1064">
        <v>0.17469999999999999</v>
      </c>
      <c r="AF1064">
        <v>219240000</v>
      </c>
      <c r="AG1064">
        <v>33140000</v>
      </c>
      <c r="AH1064">
        <v>-10030000</v>
      </c>
      <c r="AI1064">
        <v>43730000</v>
      </c>
      <c r="AJ1064">
        <v>43730000</v>
      </c>
      <c r="AK1064">
        <v>3.2545005853968112E-8</v>
      </c>
      <c r="AL1064">
        <v>0.19946177704798396</v>
      </c>
    </row>
    <row r="1065" spans="2:38">
      <c r="B1065" t="str">
        <v>Relative high-low price</v>
      </c>
      <c r="C1065" t="str">
        <v>Ask price</v>
      </c>
      <c r="D1065" t="str">
        <v xml:space="preserve">Bid price </v>
      </c>
      <c r="E1065" t="str">
        <v xml:space="preserve">Relative Bid-Ask Spread </v>
      </c>
      <c r="F1065" t="str">
        <v>daily trading volume</v>
      </c>
      <c r="G1065" t="str">
        <v xml:space="preserve">Common shares outstanding </v>
      </c>
      <c r="H1065" t="str">
        <v xml:space="preserve">Trading value </v>
      </c>
      <c r="I1065" t="str">
        <v xml:space="preserve">free float shares </v>
      </c>
      <c r="J1065" t="str">
        <v>Turnover</v>
      </c>
      <c r="K1065" t="str">
        <v>Daily kse-100 index</v>
      </c>
      <c r="L1065" t="str">
        <v xml:space="preserve">Risk free rate </v>
      </c>
      <c r="M1065" t="str">
        <v xml:space="preserve">Total assets </v>
      </c>
      <c r="N1065" t="str">
        <v xml:space="preserve">total liabilities </v>
      </c>
      <c r="O1065" t="str">
        <v>EBITDA</v>
      </c>
      <c r="P1065" t="str">
        <v xml:space="preserve">Cash and equivalents </v>
      </c>
      <c r="Q1065" t="str">
        <v xml:space="preserve">total debt </v>
      </c>
      <c r="R1065" t="str">
        <v>Amihud illiquidity ratio</v>
      </c>
      <c r="S1065" t="str">
        <v>Leverage ratio</v>
      </c>
      <c r="U1065">
        <v>3.4129692832764506E-2</v>
      </c>
      <c r="V1065">
        <v>7.4</v>
      </c>
      <c r="W1065">
        <v>7.22</v>
      </c>
      <c r="X1065">
        <f t="shared" si="17"/>
        <v>2.4623803009576003E-2</v>
      </c>
      <c r="Y1065">
        <v>202011</v>
      </c>
      <c r="Z1065">
        <v>15000000</v>
      </c>
      <c r="AA1065">
        <v>1460539.53</v>
      </c>
      <c r="AB1065">
        <v>11880000</v>
      </c>
      <c r="AC1065">
        <v>1.7004292929292928E-2</v>
      </c>
      <c r="AD1065">
        <v>78084.240000000005</v>
      </c>
      <c r="AE1065">
        <v>0.17469999999999999</v>
      </c>
      <c r="AF1065">
        <v>219240000</v>
      </c>
      <c r="AG1065">
        <v>33140000</v>
      </c>
      <c r="AH1065">
        <v>-10030000</v>
      </c>
      <c r="AI1065">
        <v>43730000</v>
      </c>
      <c r="AJ1065">
        <v>43730000</v>
      </c>
      <c r="AK1065">
        <v>7.4930614501754006E-9</v>
      </c>
      <c r="AL1065">
        <v>0.19946177704798396</v>
      </c>
    </row>
    <row r="1066" spans="2:38">
      <c r="B1066">
        <v>1.3879250520471599E-3</v>
      </c>
      <c r="C1066">
        <v>7.27</v>
      </c>
      <c r="D1066">
        <v>7.2</v>
      </c>
      <c r="E1066">
        <v>9.6751900483758677E-3</v>
      </c>
      <c r="F1066">
        <v>3607</v>
      </c>
      <c r="G1066">
        <v>15000000</v>
      </c>
      <c r="H1066">
        <v>26006.47</v>
      </c>
      <c r="I1066">
        <v>11880000</v>
      </c>
      <c r="J1066">
        <v>3.0361952861952861E-4</v>
      </c>
      <c r="K1066">
        <v>82074.45</v>
      </c>
      <c r="L1066">
        <v>0.1741</v>
      </c>
      <c r="M1066">
        <v>219240000</v>
      </c>
      <c r="N1066">
        <v>33140000</v>
      </c>
      <c r="O1066">
        <v>-10030000</v>
      </c>
      <c r="P1066">
        <v>43730000</v>
      </c>
      <c r="Q1066">
        <v>43730000</v>
      </c>
      <c r="R1066">
        <v>3.2267387275583098E-7</v>
      </c>
      <c r="S1066">
        <v>0.19946177704798396</v>
      </c>
      <c r="U1066">
        <v>2.0338983050847505E-2</v>
      </c>
      <c r="V1066">
        <v>7.45</v>
      </c>
      <c r="W1066">
        <v>7.3</v>
      </c>
      <c r="X1066">
        <f t="shared" si="17"/>
        <v>2.0338983050847505E-2</v>
      </c>
      <c r="Y1066">
        <v>1007</v>
      </c>
      <c r="Z1066">
        <v>15000000</v>
      </c>
      <c r="AA1066">
        <v>7361.1699999999992</v>
      </c>
      <c r="AB1066">
        <v>11880000</v>
      </c>
      <c r="AC1066">
        <v>8.476430976430976E-5</v>
      </c>
      <c r="AD1066">
        <v>78571.06</v>
      </c>
      <c r="AE1066">
        <v>0.17469999999999999</v>
      </c>
      <c r="AF1066">
        <v>219240000</v>
      </c>
      <c r="AG1066">
        <v>33140000</v>
      </c>
      <c r="AH1066">
        <v>-10030000</v>
      </c>
      <c r="AI1066">
        <v>43730000</v>
      </c>
      <c r="AJ1066">
        <v>43730000</v>
      </c>
      <c r="AK1066">
        <v>2.373687644704578E-6</v>
      </c>
      <c r="AL1066">
        <v>0.19946177704798396</v>
      </c>
    </row>
    <row r="1067" spans="2:38">
      <c r="B1067">
        <v>3.178991015894949E-2</v>
      </c>
      <c r="C1067">
        <v>7.25</v>
      </c>
      <c r="D1067">
        <v>7.15</v>
      </c>
      <c r="E1067">
        <v>1.388888888888884E-2</v>
      </c>
      <c r="F1067">
        <v>3872</v>
      </c>
      <c r="G1067">
        <v>15000000</v>
      </c>
      <c r="H1067">
        <v>27684.800000000003</v>
      </c>
      <c r="I1067">
        <v>11880000</v>
      </c>
      <c r="J1067">
        <v>3.2592592592592591E-4</v>
      </c>
      <c r="K1067">
        <v>81459.289999999994</v>
      </c>
      <c r="L1067">
        <v>0.1741</v>
      </c>
      <c r="M1067">
        <v>219240000</v>
      </c>
      <c r="N1067">
        <v>33140000</v>
      </c>
      <c r="O1067">
        <v>-10030000</v>
      </c>
      <c r="P1067">
        <v>43730000</v>
      </c>
      <c r="Q1067">
        <v>43730000</v>
      </c>
      <c r="R1067">
        <v>4.4901676105730642E-7</v>
      </c>
      <c r="S1067">
        <v>0.19946177704798396</v>
      </c>
      <c r="U1067">
        <v>6.2283737024221478E-2</v>
      </c>
      <c r="V1067">
        <v>7.49</v>
      </c>
      <c r="W1067">
        <v>7.26</v>
      </c>
      <c r="X1067">
        <f t="shared" si="17"/>
        <v>3.1186440677966158E-2</v>
      </c>
      <c r="Y1067">
        <v>56187</v>
      </c>
      <c r="Z1067">
        <v>15000000</v>
      </c>
      <c r="AA1067">
        <v>418031.28</v>
      </c>
      <c r="AB1067">
        <v>11880000</v>
      </c>
      <c r="AC1067">
        <v>4.7295454545454542E-3</v>
      </c>
      <c r="AD1067">
        <v>78801.429999999993</v>
      </c>
      <c r="AE1067">
        <v>0.17469999999999999</v>
      </c>
      <c r="AF1067">
        <v>219240000</v>
      </c>
      <c r="AG1067">
        <v>33140000</v>
      </c>
      <c r="AH1067">
        <v>-10030000</v>
      </c>
      <c r="AI1067">
        <v>43730000</v>
      </c>
      <c r="AJ1067">
        <v>43730000</v>
      </c>
      <c r="AK1067">
        <v>5.0361378648380737E-8</v>
      </c>
      <c r="AL1067">
        <v>0.19946177704798396</v>
      </c>
    </row>
    <row r="1068" spans="2:38">
      <c r="B1068">
        <v>4.0027605244996559E-2</v>
      </c>
      <c r="C1068">
        <v>7.35</v>
      </c>
      <c r="D1068">
        <v>7.14</v>
      </c>
      <c r="E1068">
        <v>2.8985507246376808E-2</v>
      </c>
      <c r="F1068">
        <v>23295</v>
      </c>
      <c r="G1068">
        <v>15000000</v>
      </c>
      <c r="H1068">
        <v>168655.80000000002</v>
      </c>
      <c r="I1068">
        <v>11880000</v>
      </c>
      <c r="J1068">
        <v>1.9608585858585858E-3</v>
      </c>
      <c r="K1068">
        <v>80461.34</v>
      </c>
      <c r="L1068">
        <v>0.1741</v>
      </c>
      <c r="M1068">
        <v>219240000</v>
      </c>
      <c r="N1068">
        <v>33140000</v>
      </c>
      <c r="O1068">
        <v>-10030000</v>
      </c>
      <c r="P1068">
        <v>43730000</v>
      </c>
      <c r="Q1068">
        <v>43730000</v>
      </c>
      <c r="R1068">
        <v>7.4633736802485103E-8</v>
      </c>
      <c r="S1068">
        <v>0.19946177704798396</v>
      </c>
      <c r="U1068">
        <v>3.8900067069081161E-2</v>
      </c>
      <c r="V1068">
        <v>7.6</v>
      </c>
      <c r="W1068">
        <v>7.45</v>
      </c>
      <c r="X1068">
        <f t="shared" si="17"/>
        <v>1.9933554817275677E-2</v>
      </c>
      <c r="Y1068">
        <v>2509</v>
      </c>
      <c r="Z1068">
        <v>15000000</v>
      </c>
      <c r="AA1068">
        <v>19068.399999999998</v>
      </c>
      <c r="AB1068">
        <v>11880000</v>
      </c>
      <c r="AC1068">
        <v>2.1119528619528621E-4</v>
      </c>
      <c r="AD1068">
        <v>78793.41</v>
      </c>
      <c r="AE1068">
        <v>0.17469999999999999</v>
      </c>
      <c r="AF1068">
        <v>219240000</v>
      </c>
      <c r="AG1068">
        <v>33140000</v>
      </c>
      <c r="AH1068">
        <v>-10030000</v>
      </c>
      <c r="AI1068">
        <v>43730000</v>
      </c>
      <c r="AJ1068">
        <v>43730000</v>
      </c>
      <c r="AK1068">
        <v>6.9923713228867066E-7</v>
      </c>
      <c r="AL1068">
        <v>0.19946177704798396</v>
      </c>
    </row>
    <row r="1069" spans="2:38">
      <c r="B1069">
        <v>1.2422360248447185E-2</v>
      </c>
      <c r="C1069">
        <v>7.25</v>
      </c>
      <c r="D1069">
        <v>7.14</v>
      </c>
      <c r="E1069">
        <v>1.5288394718554596E-2</v>
      </c>
      <c r="F1069">
        <v>504</v>
      </c>
      <c r="G1069">
        <v>15000000</v>
      </c>
      <c r="H1069">
        <v>3603.6000000000004</v>
      </c>
      <c r="I1069">
        <v>11880000</v>
      </c>
      <c r="J1069">
        <v>4.2424242424242423E-5</v>
      </c>
      <c r="K1069">
        <v>79491.14</v>
      </c>
      <c r="L1069">
        <v>0.1741</v>
      </c>
      <c r="M1069">
        <v>219240000</v>
      </c>
      <c r="N1069">
        <v>33140000</v>
      </c>
      <c r="O1069">
        <v>-10030000</v>
      </c>
      <c r="P1069">
        <v>43730000</v>
      </c>
      <c r="Q1069">
        <v>43730000</v>
      </c>
      <c r="R1069">
        <v>0</v>
      </c>
      <c r="S1069">
        <v>0.19946177704798396</v>
      </c>
      <c r="U1069">
        <v>5.870307167235491E-2</v>
      </c>
      <c r="V1069">
        <v>7.55</v>
      </c>
      <c r="W1069">
        <v>7.5</v>
      </c>
      <c r="X1069">
        <f t="shared" si="17"/>
        <v>6.644518272425225E-3</v>
      </c>
      <c r="Y1069">
        <v>3829</v>
      </c>
      <c r="Z1069">
        <v>15000000</v>
      </c>
      <c r="AA1069">
        <v>28717.5</v>
      </c>
      <c r="AB1069">
        <v>11880000</v>
      </c>
      <c r="AC1069">
        <v>3.2230639730639732E-4</v>
      </c>
      <c r="AD1069">
        <v>78260.86</v>
      </c>
      <c r="AE1069">
        <v>0.17469999999999999</v>
      </c>
      <c r="AF1069">
        <v>219240000</v>
      </c>
      <c r="AG1069">
        <v>33140000</v>
      </c>
      <c r="AH1069">
        <v>-10030000</v>
      </c>
      <c r="AI1069">
        <v>43730000</v>
      </c>
      <c r="AJ1069">
        <v>43730000</v>
      </c>
      <c r="AK1069">
        <v>4.7056719817231531E-7</v>
      </c>
      <c r="AL1069">
        <v>0.19946177704798396</v>
      </c>
    </row>
    <row r="1070" spans="2:38">
      <c r="B1070">
        <v>2.6370575988896531E-2</v>
      </c>
      <c r="C1070">
        <v>7.15</v>
      </c>
      <c r="D1070">
        <v>7.13</v>
      </c>
      <c r="E1070">
        <v>2.8011204481793364E-3</v>
      </c>
      <c r="F1070">
        <v>36456</v>
      </c>
      <c r="G1070">
        <v>15000000</v>
      </c>
      <c r="H1070">
        <v>260660.40000000002</v>
      </c>
      <c r="I1070">
        <v>11880000</v>
      </c>
      <c r="J1070">
        <v>3.0686868686868687E-3</v>
      </c>
      <c r="K1070">
        <v>79333.06</v>
      </c>
      <c r="L1070">
        <v>0.1741</v>
      </c>
      <c r="M1070">
        <v>219240000</v>
      </c>
      <c r="N1070">
        <v>33140000</v>
      </c>
      <c r="O1070">
        <v>-10030000</v>
      </c>
      <c r="P1070">
        <v>43730000</v>
      </c>
      <c r="Q1070">
        <v>43730000</v>
      </c>
      <c r="R1070">
        <v>2.6641731710856038E-8</v>
      </c>
      <c r="S1070">
        <v>0.19946177704798396</v>
      </c>
      <c r="U1070">
        <v>2.4324324324324405E-2</v>
      </c>
      <c r="V1070">
        <v>7.49</v>
      </c>
      <c r="W1070">
        <v>7.35</v>
      </c>
      <c r="X1070">
        <f t="shared" si="17"/>
        <v>1.8867924528301962E-2</v>
      </c>
      <c r="Y1070">
        <v>80</v>
      </c>
      <c r="Z1070">
        <v>15000000</v>
      </c>
      <c r="AA1070">
        <v>592</v>
      </c>
      <c r="AB1070">
        <v>11880000</v>
      </c>
      <c r="AC1070">
        <v>6.7340067340067342E-6</v>
      </c>
      <c r="AD1070">
        <v>77745.52</v>
      </c>
      <c r="AE1070">
        <v>0.189</v>
      </c>
      <c r="AF1070">
        <v>219240000</v>
      </c>
      <c r="AG1070">
        <v>33140000</v>
      </c>
      <c r="AH1070">
        <v>-10030000</v>
      </c>
      <c r="AI1070">
        <v>43730000</v>
      </c>
      <c r="AJ1070">
        <v>43730000</v>
      </c>
      <c r="AK1070">
        <v>0</v>
      </c>
      <c r="AL1070">
        <v>0.19946177704798396</v>
      </c>
    </row>
    <row r="1071" spans="2:38">
      <c r="B1071">
        <v>3.7526059763724869E-2</v>
      </c>
      <c r="C1071">
        <v>7.2</v>
      </c>
      <c r="D1071">
        <v>7.18</v>
      </c>
      <c r="E1071">
        <v>2.7816411682893552E-3</v>
      </c>
      <c r="F1071">
        <v>6702</v>
      </c>
      <c r="G1071">
        <v>15000000</v>
      </c>
      <c r="H1071">
        <v>48254.400000000001</v>
      </c>
      <c r="I1071">
        <v>11880000</v>
      </c>
      <c r="J1071">
        <v>5.6414141414141419E-4</v>
      </c>
      <c r="K1071">
        <v>79017.62</v>
      </c>
      <c r="L1071">
        <v>0.1741</v>
      </c>
      <c r="M1071">
        <v>219240000</v>
      </c>
      <c r="N1071">
        <v>33140000</v>
      </c>
      <c r="O1071">
        <v>-10030000</v>
      </c>
      <c r="P1071">
        <v>43730000</v>
      </c>
      <c r="Q1071">
        <v>43730000</v>
      </c>
      <c r="R1071">
        <v>5.7725623369772007E-8</v>
      </c>
      <c r="S1071">
        <v>0.19946177704798396</v>
      </c>
      <c r="U1071">
        <v>0.12080536912751683</v>
      </c>
      <c r="V1071">
        <v>7.5</v>
      </c>
      <c r="W1071">
        <v>7.4</v>
      </c>
      <c r="X1071">
        <f t="shared" si="17"/>
        <v>1.342281879194626E-2</v>
      </c>
      <c r="Y1071">
        <v>69034</v>
      </c>
      <c r="Z1071">
        <v>15000000</v>
      </c>
      <c r="AA1071">
        <v>510851.60000000003</v>
      </c>
      <c r="AB1071">
        <v>11880000</v>
      </c>
      <c r="AC1071">
        <v>5.8109427609427606E-3</v>
      </c>
      <c r="AD1071">
        <v>77830.34</v>
      </c>
      <c r="AE1071">
        <v>0.189</v>
      </c>
      <c r="AF1071">
        <v>219240000</v>
      </c>
      <c r="AG1071">
        <v>33140000</v>
      </c>
      <c r="AH1071">
        <v>-10030000</v>
      </c>
      <c r="AI1071">
        <v>43730000</v>
      </c>
      <c r="AJ1071">
        <v>43730000</v>
      </c>
      <c r="AK1071">
        <v>2.6100208618967396E-8</v>
      </c>
      <c r="AL1071">
        <v>0.19946177704798396</v>
      </c>
    </row>
    <row r="1072" spans="2:38">
      <c r="B1072">
        <v>2.7894002789400182E-2</v>
      </c>
      <c r="C1072">
        <v>7.17</v>
      </c>
      <c r="D1072">
        <v>7.1</v>
      </c>
      <c r="E1072">
        <v>9.810791871058204E-3</v>
      </c>
      <c r="F1072">
        <v>7872</v>
      </c>
      <c r="G1072">
        <v>15000000</v>
      </c>
      <c r="H1072">
        <v>56520.959999999999</v>
      </c>
      <c r="I1072">
        <v>11880000</v>
      </c>
      <c r="J1072">
        <v>6.6262626262626268E-4</v>
      </c>
      <c r="K1072">
        <v>78651.8</v>
      </c>
      <c r="L1072">
        <v>0.1741</v>
      </c>
      <c r="M1072">
        <v>219240000</v>
      </c>
      <c r="N1072">
        <v>33140000</v>
      </c>
      <c r="O1072">
        <v>-10030000</v>
      </c>
      <c r="P1072">
        <v>43730000</v>
      </c>
      <c r="Q1072">
        <v>43730000</v>
      </c>
      <c r="R1072">
        <v>2.4675804152476961E-8</v>
      </c>
      <c r="S1072">
        <v>0.19946177704798396</v>
      </c>
      <c r="U1072">
        <v>0.12176165803108802</v>
      </c>
      <c r="V1072">
        <v>7.6</v>
      </c>
      <c r="W1072">
        <v>7.35</v>
      </c>
      <c r="X1072">
        <f t="shared" si="17"/>
        <v>3.3444816053511704E-2</v>
      </c>
      <c r="Y1072">
        <v>53232</v>
      </c>
      <c r="Z1072">
        <v>15000000</v>
      </c>
      <c r="AA1072">
        <v>399240</v>
      </c>
      <c r="AB1072">
        <v>11880000</v>
      </c>
      <c r="AC1072">
        <v>4.4808080808080809E-3</v>
      </c>
      <c r="AD1072">
        <v>78045.31</v>
      </c>
      <c r="AE1072">
        <v>0.189</v>
      </c>
      <c r="AF1072">
        <v>219240000</v>
      </c>
      <c r="AG1072">
        <v>33140000</v>
      </c>
      <c r="AH1072">
        <v>-10030000</v>
      </c>
      <c r="AI1072">
        <v>43730000</v>
      </c>
      <c r="AJ1072">
        <v>43730000</v>
      </c>
      <c r="AK1072">
        <v>1.6587808226358498E-8</v>
      </c>
      <c r="AL1072">
        <v>0.19946177704798396</v>
      </c>
    </row>
    <row r="1073" spans="2:38">
      <c r="B1073">
        <v>1.9390581717451477E-2</v>
      </c>
      <c r="C1073">
        <v>7.2</v>
      </c>
      <c r="D1073">
        <v>7.15</v>
      </c>
      <c r="E1073">
        <v>6.9686411149825532E-3</v>
      </c>
      <c r="F1073">
        <v>6100</v>
      </c>
      <c r="G1073">
        <v>15000000</v>
      </c>
      <c r="H1073">
        <v>43737</v>
      </c>
      <c r="I1073">
        <v>11880000</v>
      </c>
      <c r="J1073">
        <v>5.1346801346801349E-4</v>
      </c>
      <c r="K1073">
        <v>79286.740000000005</v>
      </c>
      <c r="L1073">
        <v>0.1741</v>
      </c>
      <c r="M1073">
        <v>219240000</v>
      </c>
      <c r="N1073">
        <v>33140000</v>
      </c>
      <c r="O1073">
        <v>-10030000</v>
      </c>
      <c r="P1073">
        <v>43730000</v>
      </c>
      <c r="Q1073">
        <v>43730000</v>
      </c>
      <c r="R1073">
        <v>9.526640296926404E-8</v>
      </c>
      <c r="S1073">
        <v>0.19946177704798396</v>
      </c>
      <c r="U1073">
        <v>0.11764705882352938</v>
      </c>
      <c r="V1073">
        <v>7.64</v>
      </c>
      <c r="W1073">
        <v>7.54</v>
      </c>
      <c r="X1073">
        <f t="shared" si="17"/>
        <v>1.3175230566534867E-2</v>
      </c>
      <c r="Y1073">
        <v>33747</v>
      </c>
      <c r="Z1073">
        <v>15000000</v>
      </c>
      <c r="AA1073">
        <v>254789.85</v>
      </c>
      <c r="AB1073">
        <v>11880000</v>
      </c>
      <c r="AC1073">
        <v>2.8406565656565659E-3</v>
      </c>
      <c r="AD1073">
        <v>78105.98</v>
      </c>
      <c r="AE1073">
        <v>0.189</v>
      </c>
      <c r="AF1073">
        <v>219240000</v>
      </c>
      <c r="AG1073">
        <v>33140000</v>
      </c>
      <c r="AH1073">
        <v>-10030000</v>
      </c>
      <c r="AI1073">
        <v>43730000</v>
      </c>
      <c r="AJ1073">
        <v>43730000</v>
      </c>
      <c r="AK1073">
        <v>3.672944102778582E-8</v>
      </c>
      <c r="AL1073">
        <v>0.19946177704798396</v>
      </c>
    </row>
    <row r="1074" spans="2:38">
      <c r="B1074">
        <v>3.3426183844011172E-2</v>
      </c>
      <c r="C1074">
        <v>7.25</v>
      </c>
      <c r="D1074">
        <v>7.15</v>
      </c>
      <c r="E1074">
        <v>1.388888888888884E-2</v>
      </c>
      <c r="F1074">
        <v>5500</v>
      </c>
      <c r="G1074">
        <v>15000000</v>
      </c>
      <c r="H1074">
        <v>39600</v>
      </c>
      <c r="I1074">
        <v>11880000</v>
      </c>
      <c r="J1074">
        <v>4.6296296296296298E-4</v>
      </c>
      <c r="K1074">
        <v>78615</v>
      </c>
      <c r="L1074">
        <v>0.1741</v>
      </c>
      <c r="M1074">
        <v>219240000</v>
      </c>
      <c r="N1074">
        <v>33140000</v>
      </c>
      <c r="O1074">
        <v>-10030000</v>
      </c>
      <c r="P1074">
        <v>43730000</v>
      </c>
      <c r="Q1074">
        <v>43730000</v>
      </c>
      <c r="R1074">
        <v>3.4592500345924883E-7</v>
      </c>
      <c r="S1074">
        <v>0.19946177704798396</v>
      </c>
      <c r="U1074">
        <v>6.8965517241379309E-2</v>
      </c>
      <c r="V1074">
        <v>7.48</v>
      </c>
      <c r="W1074">
        <v>7.3</v>
      </c>
      <c r="X1074">
        <f t="shared" si="17"/>
        <v>2.4357239512855289E-2</v>
      </c>
      <c r="Y1074">
        <v>13138</v>
      </c>
      <c r="Z1074">
        <v>15000000</v>
      </c>
      <c r="AA1074">
        <v>98272.24</v>
      </c>
      <c r="AB1074">
        <v>11880000</v>
      </c>
      <c r="AC1074">
        <v>1.105892255892256E-3</v>
      </c>
      <c r="AD1074">
        <v>77877.42</v>
      </c>
      <c r="AE1074">
        <v>0.189</v>
      </c>
      <c r="AF1074">
        <v>219240000</v>
      </c>
      <c r="AG1074">
        <v>33140000</v>
      </c>
      <c r="AH1074">
        <v>-10030000</v>
      </c>
      <c r="AI1074">
        <v>43730000</v>
      </c>
      <c r="AJ1074">
        <v>43730000</v>
      </c>
      <c r="AK1074">
        <v>2.7281001709670453E-8</v>
      </c>
      <c r="AL1074">
        <v>0.19946177704798396</v>
      </c>
    </row>
    <row r="1075" spans="2:38">
      <c r="B1075">
        <v>2.3464458247066933E-2</v>
      </c>
      <c r="C1075">
        <v>7.16</v>
      </c>
      <c r="D1075">
        <v>7.15</v>
      </c>
      <c r="E1075">
        <v>1.3976240391334433E-3</v>
      </c>
      <c r="F1075">
        <v>822</v>
      </c>
      <c r="G1075">
        <v>15000000</v>
      </c>
      <c r="H1075">
        <v>6000.5999999999995</v>
      </c>
      <c r="I1075">
        <v>11880000</v>
      </c>
      <c r="J1075">
        <v>6.919191919191919E-5</v>
      </c>
      <c r="K1075">
        <v>78897.73</v>
      </c>
      <c r="L1075">
        <v>0.1741</v>
      </c>
      <c r="M1075">
        <v>219240000</v>
      </c>
      <c r="N1075">
        <v>33140000</v>
      </c>
      <c r="O1075">
        <v>-10030000</v>
      </c>
      <c r="P1075">
        <v>43730000</v>
      </c>
      <c r="Q1075">
        <v>43730000</v>
      </c>
      <c r="R1075">
        <v>4.4533755719599043E-6</v>
      </c>
      <c r="S1075">
        <v>0.19946177704798396</v>
      </c>
      <c r="U1075">
        <v>7.9452054794520555E-2</v>
      </c>
      <c r="V1075">
        <v>7.57</v>
      </c>
      <c r="W1075">
        <v>7.4</v>
      </c>
      <c r="X1075">
        <f t="shared" si="17"/>
        <v>2.2712090848363384E-2</v>
      </c>
      <c r="Y1075">
        <v>20743</v>
      </c>
      <c r="Z1075">
        <v>15000000</v>
      </c>
      <c r="AA1075">
        <v>154742.78</v>
      </c>
      <c r="AB1075">
        <v>11880000</v>
      </c>
      <c r="AC1075">
        <v>1.746043771043771E-3</v>
      </c>
      <c r="AD1075">
        <v>77980.289999999994</v>
      </c>
      <c r="AE1075">
        <v>0.189</v>
      </c>
      <c r="AF1075">
        <v>219240000</v>
      </c>
      <c r="AG1075">
        <v>33140000</v>
      </c>
      <c r="AH1075">
        <v>-10030000</v>
      </c>
      <c r="AI1075">
        <v>43730000</v>
      </c>
      <c r="AJ1075">
        <v>43730000</v>
      </c>
      <c r="AK1075">
        <v>2.3336217115338809E-7</v>
      </c>
      <c r="AL1075">
        <v>0.19946177704798396</v>
      </c>
    </row>
    <row r="1076" spans="2:38">
      <c r="B1076">
        <v>2.7777777777777804E-2</v>
      </c>
      <c r="C1076">
        <v>7.27</v>
      </c>
      <c r="D1076">
        <v>7.12</v>
      </c>
      <c r="E1076">
        <v>2.0847810979847042E-2</v>
      </c>
      <c r="F1076">
        <v>11962</v>
      </c>
      <c r="G1076">
        <v>15000000</v>
      </c>
      <c r="H1076">
        <v>85049.82</v>
      </c>
      <c r="I1076">
        <v>11880000</v>
      </c>
      <c r="J1076">
        <v>1.0069023569023569E-3</v>
      </c>
      <c r="K1076">
        <v>78863.34</v>
      </c>
      <c r="L1076">
        <v>0.1741</v>
      </c>
      <c r="M1076">
        <v>219240000</v>
      </c>
      <c r="N1076">
        <v>33140000</v>
      </c>
      <c r="O1076">
        <v>-10030000</v>
      </c>
      <c r="P1076">
        <v>43730000</v>
      </c>
      <c r="Q1076">
        <v>43730000</v>
      </c>
      <c r="R1076">
        <v>4.9402581595925985E-8</v>
      </c>
      <c r="S1076">
        <v>0.19946177704798396</v>
      </c>
      <c r="U1076">
        <v>6.7114093959731544E-2</v>
      </c>
      <c r="V1076">
        <v>7.4</v>
      </c>
      <c r="W1076">
        <v>7.2</v>
      </c>
      <c r="X1076">
        <f t="shared" si="17"/>
        <v>2.7397260273972626E-2</v>
      </c>
      <c r="Y1076">
        <v>3016</v>
      </c>
      <c r="Z1076">
        <v>15000000</v>
      </c>
      <c r="AA1076">
        <v>21715.200000000001</v>
      </c>
      <c r="AB1076">
        <v>11880000</v>
      </c>
      <c r="AC1076">
        <v>2.5387205387205388E-4</v>
      </c>
      <c r="AD1076">
        <v>78569.59</v>
      </c>
      <c r="AE1076">
        <v>0.189</v>
      </c>
      <c r="AF1076">
        <v>219240000</v>
      </c>
      <c r="AG1076">
        <v>33140000</v>
      </c>
      <c r="AH1076">
        <v>-10030000</v>
      </c>
      <c r="AI1076">
        <v>43730000</v>
      </c>
      <c r="AJ1076">
        <v>43730000</v>
      </c>
      <c r="AK1076">
        <v>1.3653844167832441E-6</v>
      </c>
      <c r="AL1076">
        <v>0.19946177704798396</v>
      </c>
    </row>
    <row r="1077" spans="2:38">
      <c r="B1077">
        <v>3.4989503149055287E-2</v>
      </c>
      <c r="C1077">
        <v>7.22</v>
      </c>
      <c r="D1077">
        <v>7.14</v>
      </c>
      <c r="E1077">
        <v>1.1142061281337058E-2</v>
      </c>
      <c r="F1077">
        <v>11087</v>
      </c>
      <c r="G1077">
        <v>15000000</v>
      </c>
      <c r="H1077">
        <v>79161.179999999993</v>
      </c>
      <c r="I1077">
        <v>11880000</v>
      </c>
      <c r="J1077">
        <v>9.3324915824915828E-4</v>
      </c>
      <c r="K1077">
        <v>78848.009999999995</v>
      </c>
      <c r="L1077">
        <v>0.1741</v>
      </c>
      <c r="M1077">
        <v>219240000</v>
      </c>
      <c r="N1077">
        <v>33140000</v>
      </c>
      <c r="O1077">
        <v>-10030000</v>
      </c>
      <c r="P1077">
        <v>43730000</v>
      </c>
      <c r="Q1077">
        <v>43730000</v>
      </c>
      <c r="R1077">
        <v>8.7847388337608483E-8</v>
      </c>
      <c r="S1077">
        <v>0.19946177704798396</v>
      </c>
      <c r="U1077">
        <v>9.5238095238095261E-2</v>
      </c>
      <c r="V1077">
        <v>7.59</v>
      </c>
      <c r="W1077">
        <v>7.3</v>
      </c>
      <c r="X1077">
        <f t="shared" si="17"/>
        <v>3.895231699126931E-2</v>
      </c>
      <c r="Y1077">
        <v>4603</v>
      </c>
      <c r="Z1077">
        <v>15000000</v>
      </c>
      <c r="AA1077">
        <v>34154.26</v>
      </c>
      <c r="AB1077">
        <v>11880000</v>
      </c>
      <c r="AC1077">
        <v>3.8745791245791246E-4</v>
      </c>
      <c r="AD1077">
        <v>77874.22</v>
      </c>
      <c r="AE1077">
        <v>0.189</v>
      </c>
      <c r="AF1077">
        <v>219240000</v>
      </c>
      <c r="AG1077">
        <v>33140000</v>
      </c>
      <c r="AH1077">
        <v>-10030000</v>
      </c>
      <c r="AI1077">
        <v>43730000</v>
      </c>
      <c r="AJ1077">
        <v>43730000</v>
      </c>
      <c r="AK1077">
        <v>3.1230852803330171E-7</v>
      </c>
      <c r="AL1077">
        <v>0.19946177704798396</v>
      </c>
    </row>
    <row r="1078" spans="2:38">
      <c r="B1078">
        <v>3.2326071679550303E-2</v>
      </c>
      <c r="C1078">
        <v>7.2</v>
      </c>
      <c r="D1078">
        <v>7.15</v>
      </c>
      <c r="E1078">
        <v>6.9686411149825532E-3</v>
      </c>
      <c r="F1078">
        <v>60781</v>
      </c>
      <c r="G1078">
        <v>15000000</v>
      </c>
      <c r="H1078">
        <v>437015.39</v>
      </c>
      <c r="I1078">
        <v>11880000</v>
      </c>
      <c r="J1078">
        <v>5.1162457912457913E-3</v>
      </c>
      <c r="K1078">
        <v>78356.320000000007</v>
      </c>
      <c r="L1078">
        <v>0.17469999999999999</v>
      </c>
      <c r="M1078">
        <v>219240000</v>
      </c>
      <c r="N1078">
        <v>33140000</v>
      </c>
      <c r="O1078">
        <v>-10030000</v>
      </c>
      <c r="P1078">
        <v>43730000</v>
      </c>
      <c r="Q1078">
        <v>43730000</v>
      </c>
      <c r="R1078">
        <v>1.2628969145636536E-7</v>
      </c>
      <c r="S1078">
        <v>0.19946177704798396</v>
      </c>
      <c r="U1078">
        <v>4.3596730245231648E-2</v>
      </c>
      <c r="V1078">
        <v>7.49</v>
      </c>
      <c r="W1078">
        <v>7.4</v>
      </c>
      <c r="X1078">
        <f t="shared" si="17"/>
        <v>1.2088650100738731E-2</v>
      </c>
      <c r="Y1078">
        <v>2684</v>
      </c>
      <c r="Z1078">
        <v>15000000</v>
      </c>
      <c r="AA1078">
        <v>20130</v>
      </c>
      <c r="AB1078">
        <v>11880000</v>
      </c>
      <c r="AC1078">
        <v>2.2592592592592591E-4</v>
      </c>
      <c r="AD1078">
        <v>77114.490000000005</v>
      </c>
      <c r="AE1078">
        <v>0.189</v>
      </c>
      <c r="AF1078">
        <v>219240000</v>
      </c>
      <c r="AG1078">
        <v>33140000</v>
      </c>
      <c r="AH1078">
        <v>-10030000</v>
      </c>
      <c r="AI1078">
        <v>43730000</v>
      </c>
      <c r="AJ1078">
        <v>43730000</v>
      </c>
      <c r="AK1078">
        <v>7.1806581791287191E-7</v>
      </c>
      <c r="AL1078">
        <v>0.19946177704798396</v>
      </c>
    </row>
    <row r="1079" spans="2:38">
      <c r="B1079">
        <v>7.3170731707317069E-2</v>
      </c>
      <c r="C1079">
        <v>7.65</v>
      </c>
      <c r="D1079">
        <v>7.3</v>
      </c>
      <c r="E1079">
        <v>4.6822742474916461E-2</v>
      </c>
      <c r="F1079">
        <v>7500</v>
      </c>
      <c r="G1079">
        <v>15000000</v>
      </c>
      <c r="H1079">
        <v>57075</v>
      </c>
      <c r="I1079">
        <v>11880000</v>
      </c>
      <c r="J1079">
        <v>6.3131313131313137E-4</v>
      </c>
      <c r="K1079">
        <v>78283.3</v>
      </c>
      <c r="L1079">
        <v>0.17469999999999999</v>
      </c>
      <c r="M1079">
        <v>219240000</v>
      </c>
      <c r="N1079">
        <v>33140000</v>
      </c>
      <c r="O1079">
        <v>-10030000</v>
      </c>
      <c r="P1079">
        <v>43730000</v>
      </c>
      <c r="Q1079">
        <v>43730000</v>
      </c>
      <c r="R1079">
        <v>9.1612057291890394E-8</v>
      </c>
      <c r="S1079">
        <v>0.19946177704798396</v>
      </c>
      <c r="U1079">
        <v>9.1218515997277053E-2</v>
      </c>
      <c r="V1079">
        <v>7.65</v>
      </c>
      <c r="W1079">
        <v>7.47</v>
      </c>
      <c r="X1079">
        <f t="shared" si="17"/>
        <v>2.3809523809523888E-2</v>
      </c>
      <c r="Y1079">
        <v>16972</v>
      </c>
      <c r="Z1079">
        <v>15000000</v>
      </c>
      <c r="AA1079">
        <v>129156.92</v>
      </c>
      <c r="AB1079">
        <v>11880000</v>
      </c>
      <c r="AC1079">
        <v>1.4286195286195287E-3</v>
      </c>
      <c r="AD1079">
        <v>77191.34</v>
      </c>
      <c r="AE1079">
        <v>0.19489999999999999</v>
      </c>
      <c r="AF1079">
        <v>219240000</v>
      </c>
      <c r="AG1079">
        <v>33140000</v>
      </c>
      <c r="AH1079">
        <v>-10030000</v>
      </c>
      <c r="AI1079">
        <v>43730000</v>
      </c>
      <c r="AJ1079">
        <v>43730000</v>
      </c>
      <c r="AK1079">
        <v>2.957579156123567E-7</v>
      </c>
      <c r="AL1079">
        <v>0.19946177704798396</v>
      </c>
    </row>
    <row r="1080" spans="2:38">
      <c r="B1080">
        <v>3.3222591362126241E-2</v>
      </c>
      <c r="C1080">
        <v>7.6</v>
      </c>
      <c r="D1080">
        <v>7.46</v>
      </c>
      <c r="E1080">
        <v>1.8592297476759587E-2</v>
      </c>
      <c r="F1080">
        <v>8501</v>
      </c>
      <c r="G1080">
        <v>15000000</v>
      </c>
      <c r="H1080">
        <v>65032.65</v>
      </c>
      <c r="I1080">
        <v>11880000</v>
      </c>
      <c r="J1080">
        <v>7.1557239057239055E-4</v>
      </c>
      <c r="K1080">
        <v>78488.22</v>
      </c>
      <c r="L1080">
        <v>0.17469999999999999</v>
      </c>
      <c r="M1080">
        <v>219240000</v>
      </c>
      <c r="N1080">
        <v>33140000</v>
      </c>
      <c r="O1080">
        <v>-10030000</v>
      </c>
      <c r="P1080">
        <v>43730000</v>
      </c>
      <c r="Q1080">
        <v>43730000</v>
      </c>
      <c r="R1080">
        <v>1.3942777224906704E-7</v>
      </c>
      <c r="S1080">
        <v>0.19946177704798396</v>
      </c>
      <c r="U1080">
        <v>9.4240837696335039E-2</v>
      </c>
      <c r="V1080">
        <v>7.3</v>
      </c>
      <c r="W1080">
        <v>7.25</v>
      </c>
      <c r="X1080">
        <f t="shared" si="17"/>
        <v>6.8728522336769515E-3</v>
      </c>
      <c r="Y1080">
        <v>17319</v>
      </c>
      <c r="Z1080">
        <v>15000000</v>
      </c>
      <c r="AA1080">
        <v>126948.27</v>
      </c>
      <c r="AB1080">
        <v>11880000</v>
      </c>
      <c r="AC1080">
        <v>1.4578282828282829E-3</v>
      </c>
      <c r="AD1080">
        <v>77084.490000000005</v>
      </c>
      <c r="AE1080">
        <v>0.19489999999999999</v>
      </c>
      <c r="AF1080">
        <v>219240000</v>
      </c>
      <c r="AG1080">
        <v>33140000</v>
      </c>
      <c r="AH1080">
        <v>-10030000</v>
      </c>
      <c r="AI1080">
        <v>43730000</v>
      </c>
      <c r="AJ1080">
        <v>43730000</v>
      </c>
      <c r="AK1080">
        <v>4.5562351473226849E-7</v>
      </c>
      <c r="AL1080">
        <v>0.19946177704798396</v>
      </c>
    </row>
    <row r="1081" spans="2:38">
      <c r="B1081">
        <v>9.536601746138347E-2</v>
      </c>
      <c r="C1081">
        <v>7.79</v>
      </c>
      <c r="D1081">
        <v>7.56</v>
      </c>
      <c r="E1081">
        <v>2.9967426710097778E-2</v>
      </c>
      <c r="F1081">
        <v>53604</v>
      </c>
      <c r="G1081">
        <v>15000000</v>
      </c>
      <c r="H1081">
        <v>413822.88</v>
      </c>
      <c r="I1081">
        <v>11880000</v>
      </c>
      <c r="J1081">
        <v>4.5121212121212121E-3</v>
      </c>
      <c r="K1081">
        <v>78349.66</v>
      </c>
      <c r="L1081">
        <v>0.17469999999999999</v>
      </c>
      <c r="M1081">
        <v>219240000</v>
      </c>
      <c r="N1081">
        <v>33140000</v>
      </c>
      <c r="O1081">
        <v>-10030000</v>
      </c>
      <c r="P1081">
        <v>43730000</v>
      </c>
      <c r="Q1081">
        <v>43730000</v>
      </c>
      <c r="R1081">
        <v>1.962977324917339E-7</v>
      </c>
      <c r="S1081">
        <v>0.19946177704798396</v>
      </c>
      <c r="U1081">
        <v>2.590993214065402E-2</v>
      </c>
      <c r="V1081">
        <v>8</v>
      </c>
      <c r="W1081">
        <v>7.76</v>
      </c>
      <c r="X1081">
        <f t="shared" si="17"/>
        <v>3.0456852791878201E-2</v>
      </c>
      <c r="Y1081">
        <v>2</v>
      </c>
      <c r="Z1081">
        <v>15000000</v>
      </c>
      <c r="AA1081">
        <v>15.56</v>
      </c>
      <c r="AB1081">
        <v>11880000</v>
      </c>
      <c r="AC1081">
        <v>1.6835016835016834E-7</v>
      </c>
      <c r="AD1081">
        <v>78225.98</v>
      </c>
      <c r="AE1081">
        <v>0.19489999999999999</v>
      </c>
      <c r="AF1081">
        <v>219240000</v>
      </c>
      <c r="AG1081">
        <v>33140000</v>
      </c>
      <c r="AH1081">
        <v>-10030000</v>
      </c>
      <c r="AI1081">
        <v>43730000</v>
      </c>
      <c r="AJ1081">
        <v>43730000</v>
      </c>
      <c r="AK1081">
        <v>0</v>
      </c>
      <c r="AL1081">
        <v>0.19946177704798396</v>
      </c>
    </row>
    <row r="1082" spans="2:38">
      <c r="B1082">
        <v>9.7902097902097918E-2</v>
      </c>
      <c r="C1082">
        <v>7.36</v>
      </c>
      <c r="D1082">
        <v>6.88</v>
      </c>
      <c r="E1082">
        <v>6.7415730337078705E-2</v>
      </c>
      <c r="F1082">
        <v>53570</v>
      </c>
      <c r="G1082">
        <v>15000000</v>
      </c>
      <c r="H1082">
        <v>382489.8</v>
      </c>
      <c r="I1082">
        <v>11880000</v>
      </c>
      <c r="J1082">
        <v>4.5092592592592589E-3</v>
      </c>
      <c r="K1082">
        <v>77992.789999999994</v>
      </c>
      <c r="L1082">
        <v>0.17469999999999999</v>
      </c>
      <c r="M1082">
        <v>219240000</v>
      </c>
      <c r="N1082">
        <v>33140000</v>
      </c>
      <c r="O1082">
        <v>-10030000</v>
      </c>
      <c r="P1082">
        <v>43730000</v>
      </c>
      <c r="Q1082">
        <v>43730000</v>
      </c>
      <c r="R1082">
        <v>3.2545005853968112E-8</v>
      </c>
      <c r="S1082">
        <v>0.19946177704798396</v>
      </c>
      <c r="U1082">
        <v>6.853582554517143E-2</v>
      </c>
      <c r="V1082">
        <v>7.9</v>
      </c>
      <c r="W1082">
        <v>7.76</v>
      </c>
      <c r="X1082">
        <f t="shared" si="17"/>
        <v>1.7879948914431745E-2</v>
      </c>
      <c r="Y1082">
        <v>6013</v>
      </c>
      <c r="Z1082">
        <v>15000000</v>
      </c>
      <c r="AA1082">
        <v>46781.14</v>
      </c>
      <c r="AB1082">
        <v>11880000</v>
      </c>
      <c r="AC1082">
        <v>5.0614478114478117E-4</v>
      </c>
      <c r="AD1082">
        <v>77740.31</v>
      </c>
      <c r="AE1082">
        <v>0.19489999999999999</v>
      </c>
      <c r="AF1082">
        <v>219240000</v>
      </c>
      <c r="AG1082">
        <v>33140000</v>
      </c>
      <c r="AH1082">
        <v>-10030000</v>
      </c>
      <c r="AI1082">
        <v>43730000</v>
      </c>
      <c r="AJ1082">
        <v>43730000</v>
      </c>
      <c r="AK1082">
        <v>1.0948752466297708E-6</v>
      </c>
      <c r="AL1082">
        <v>0.19946177704798396</v>
      </c>
    </row>
    <row r="1083" spans="2:38">
      <c r="B1083">
        <v>3.4129692832764506E-2</v>
      </c>
      <c r="C1083">
        <v>7.4</v>
      </c>
      <c r="D1083">
        <v>7.22</v>
      </c>
      <c r="E1083">
        <v>2.4623803009576003E-2</v>
      </c>
      <c r="F1083">
        <v>202011</v>
      </c>
      <c r="G1083">
        <v>15000000</v>
      </c>
      <c r="H1083">
        <v>1460539.53</v>
      </c>
      <c r="I1083">
        <v>11880000</v>
      </c>
      <c r="J1083">
        <v>1.7004292929292928E-2</v>
      </c>
      <c r="K1083">
        <v>78084.240000000005</v>
      </c>
      <c r="L1083">
        <v>0.17469999999999999</v>
      </c>
      <c r="M1083">
        <v>219240000</v>
      </c>
      <c r="N1083">
        <v>33140000</v>
      </c>
      <c r="O1083">
        <v>-10030000</v>
      </c>
      <c r="P1083">
        <v>43730000</v>
      </c>
      <c r="Q1083">
        <v>43730000</v>
      </c>
      <c r="R1083">
        <v>7.4930614501754006E-9</v>
      </c>
      <c r="S1083">
        <v>0.19946177704798396</v>
      </c>
      <c r="U1083">
        <v>4.7882136279926296E-2</v>
      </c>
      <c r="V1083">
        <v>8</v>
      </c>
      <c r="W1083">
        <v>7.91</v>
      </c>
      <c r="X1083">
        <f t="shared" si="17"/>
        <v>1.1313639220615946E-2</v>
      </c>
      <c r="Y1083">
        <v>2279</v>
      </c>
      <c r="Z1083">
        <v>15000000</v>
      </c>
      <c r="AA1083">
        <v>18687.8</v>
      </c>
      <c r="AB1083">
        <v>11880000</v>
      </c>
      <c r="AC1083">
        <v>1.9183501683501684E-4</v>
      </c>
      <c r="AD1083">
        <v>77886.990000000005</v>
      </c>
      <c r="AE1083">
        <v>0.19489999999999999</v>
      </c>
      <c r="AF1083">
        <v>219240000</v>
      </c>
      <c r="AG1083">
        <v>33140000</v>
      </c>
      <c r="AH1083">
        <v>-10030000</v>
      </c>
      <c r="AI1083">
        <v>43730000</v>
      </c>
      <c r="AJ1083">
        <v>43730000</v>
      </c>
      <c r="AK1083">
        <v>1.3377711662153871E-6</v>
      </c>
      <c r="AL1083">
        <v>0.19946177704798396</v>
      </c>
    </row>
    <row r="1084" spans="2:38">
      <c r="B1084">
        <v>2.0338983050847505E-2</v>
      </c>
      <c r="C1084">
        <v>7.45</v>
      </c>
      <c r="D1084">
        <v>7.3</v>
      </c>
      <c r="E1084">
        <v>2.0338983050847505E-2</v>
      </c>
      <c r="F1084">
        <v>1007</v>
      </c>
      <c r="G1084">
        <v>15000000</v>
      </c>
      <c r="H1084">
        <v>7361.1699999999992</v>
      </c>
      <c r="I1084">
        <v>11880000</v>
      </c>
      <c r="J1084">
        <v>8.476430976430976E-5</v>
      </c>
      <c r="K1084">
        <v>78571.06</v>
      </c>
      <c r="L1084">
        <v>0.17469999999999999</v>
      </c>
      <c r="M1084">
        <v>219240000</v>
      </c>
      <c r="N1084">
        <v>33140000</v>
      </c>
      <c r="O1084">
        <v>-10030000</v>
      </c>
      <c r="P1084">
        <v>43730000</v>
      </c>
      <c r="Q1084">
        <v>43730000</v>
      </c>
      <c r="R1084">
        <v>2.373687644704578E-6</v>
      </c>
      <c r="S1084">
        <v>0.19946177704798396</v>
      </c>
      <c r="U1084">
        <v>4.6398046398046483E-2</v>
      </c>
      <c r="V1084">
        <v>8</v>
      </c>
      <c r="W1084">
        <v>7.98</v>
      </c>
      <c r="X1084">
        <f t="shared" si="17"/>
        <v>2.5031289111388704E-3</v>
      </c>
      <c r="Y1084">
        <v>8460</v>
      </c>
      <c r="Z1084">
        <v>15000000</v>
      </c>
      <c r="AA1084">
        <v>67680</v>
      </c>
      <c r="AB1084">
        <v>11880000</v>
      </c>
      <c r="AC1084">
        <v>7.1212121212121211E-4</v>
      </c>
      <c r="AD1084">
        <v>78628.81</v>
      </c>
      <c r="AE1084">
        <v>0.19489999999999999</v>
      </c>
      <c r="AF1084">
        <v>219240000</v>
      </c>
      <c r="AG1084">
        <v>33140000</v>
      </c>
      <c r="AH1084">
        <v>-10030000</v>
      </c>
      <c r="AI1084">
        <v>43730000</v>
      </c>
      <c r="AJ1084">
        <v>43730000</v>
      </c>
      <c r="AK1084">
        <v>1.6811469456922263E-7</v>
      </c>
      <c r="AL1084">
        <v>0.19946177704798396</v>
      </c>
    </row>
    <row r="1085" spans="2:38">
      <c r="B1085">
        <v>6.2283737024221478E-2</v>
      </c>
      <c r="C1085">
        <v>7.49</v>
      </c>
      <c r="D1085">
        <v>7.26</v>
      </c>
      <c r="E1085">
        <v>3.1186440677966158E-2</v>
      </c>
      <c r="F1085">
        <v>56187</v>
      </c>
      <c r="G1085">
        <v>15000000</v>
      </c>
      <c r="H1085">
        <v>418031.28</v>
      </c>
      <c r="I1085">
        <v>11880000</v>
      </c>
      <c r="J1085">
        <v>4.7295454545454542E-3</v>
      </c>
      <c r="K1085">
        <v>78801.429999999993</v>
      </c>
      <c r="L1085">
        <v>0.17469999999999999</v>
      </c>
      <c r="M1085">
        <v>219240000</v>
      </c>
      <c r="N1085">
        <v>33140000</v>
      </c>
      <c r="O1085">
        <v>-10030000</v>
      </c>
      <c r="P1085">
        <v>43730000</v>
      </c>
      <c r="Q1085">
        <v>43730000</v>
      </c>
      <c r="R1085">
        <v>5.0361378648380737E-8</v>
      </c>
      <c r="S1085">
        <v>0.19946177704798396</v>
      </c>
      <c r="U1085">
        <v>8.5661080074487944E-2</v>
      </c>
      <c r="V1085">
        <v>8.09</v>
      </c>
      <c r="W1085">
        <v>7.9</v>
      </c>
      <c r="X1085">
        <f t="shared" si="17"/>
        <v>2.3764853033145652E-2</v>
      </c>
      <c r="Y1085">
        <v>3514</v>
      </c>
      <c r="Z1085">
        <v>15000000</v>
      </c>
      <c r="AA1085">
        <v>27795.74</v>
      </c>
      <c r="AB1085">
        <v>11880000</v>
      </c>
      <c r="AC1085">
        <v>2.9579124579124581E-4</v>
      </c>
      <c r="AD1085">
        <v>78827.740000000005</v>
      </c>
      <c r="AE1085">
        <v>0.19489999999999999</v>
      </c>
      <c r="AF1085">
        <v>219240000</v>
      </c>
      <c r="AG1085">
        <v>33140000</v>
      </c>
      <c r="AH1085">
        <v>-10030000</v>
      </c>
      <c r="AI1085">
        <v>43730000</v>
      </c>
      <c r="AJ1085">
        <v>43730000</v>
      </c>
      <c r="AK1085">
        <v>4.9344650378770087E-7</v>
      </c>
      <c r="AL1085">
        <v>0.19946177704798396</v>
      </c>
    </row>
    <row r="1086" spans="2:38">
      <c r="B1086">
        <v>3.8900067069081161E-2</v>
      </c>
      <c r="C1086">
        <v>7.6</v>
      </c>
      <c r="D1086">
        <v>7.45</v>
      </c>
      <c r="E1086">
        <v>1.9933554817275677E-2</v>
      </c>
      <c r="F1086">
        <v>2509</v>
      </c>
      <c r="G1086">
        <v>15000000</v>
      </c>
      <c r="H1086">
        <v>19068.399999999998</v>
      </c>
      <c r="I1086">
        <v>11880000</v>
      </c>
      <c r="J1086">
        <v>2.1119528619528621E-4</v>
      </c>
      <c r="K1086">
        <v>78793.41</v>
      </c>
      <c r="L1086">
        <v>0.17469999999999999</v>
      </c>
      <c r="M1086">
        <v>219240000</v>
      </c>
      <c r="N1086">
        <v>33140000</v>
      </c>
      <c r="O1086">
        <v>-10030000</v>
      </c>
      <c r="P1086">
        <v>43730000</v>
      </c>
      <c r="Q1086">
        <v>43730000</v>
      </c>
      <c r="R1086">
        <v>6.9923713228867066E-7</v>
      </c>
      <c r="S1086">
        <v>0.19946177704798396</v>
      </c>
      <c r="U1086">
        <v>4.7589993898718798E-2</v>
      </c>
      <c r="V1086">
        <v>8</v>
      </c>
      <c r="W1086">
        <v>7.81</v>
      </c>
      <c r="X1086">
        <f t="shared" si="17"/>
        <v>2.4035420619860901E-2</v>
      </c>
      <c r="Y1086">
        <v>2081</v>
      </c>
      <c r="Z1086">
        <v>15000000</v>
      </c>
      <c r="AA1086">
        <v>16689.62</v>
      </c>
      <c r="AB1086">
        <v>11880000</v>
      </c>
      <c r="AC1086">
        <v>1.7516835016835017E-4</v>
      </c>
      <c r="AD1086">
        <v>78029.509999999995</v>
      </c>
      <c r="AE1086">
        <v>0.19489999999999999</v>
      </c>
      <c r="AF1086">
        <v>219240000</v>
      </c>
      <c r="AG1086">
        <v>33140000</v>
      </c>
      <c r="AH1086">
        <v>-10030000</v>
      </c>
      <c r="AI1086">
        <v>43730000</v>
      </c>
      <c r="AJ1086">
        <v>43730000</v>
      </c>
      <c r="AK1086">
        <v>1.4904846180168712E-7</v>
      </c>
      <c r="AL1086">
        <v>0.19946177704798396</v>
      </c>
    </row>
    <row r="1087" spans="2:38">
      <c r="B1087">
        <v>5.870307167235491E-2</v>
      </c>
      <c r="C1087">
        <v>7.55</v>
      </c>
      <c r="D1087">
        <v>7.5</v>
      </c>
      <c r="E1087">
        <v>6.644518272425225E-3</v>
      </c>
      <c r="F1087">
        <v>3829</v>
      </c>
      <c r="G1087">
        <v>15000000</v>
      </c>
      <c r="H1087">
        <v>28717.5</v>
      </c>
      <c r="I1087">
        <v>11880000</v>
      </c>
      <c r="J1087">
        <v>3.2230639730639732E-4</v>
      </c>
      <c r="K1087">
        <v>78260.86</v>
      </c>
      <c r="L1087">
        <v>0.17469999999999999</v>
      </c>
      <c r="M1087">
        <v>219240000</v>
      </c>
      <c r="N1087">
        <v>33140000</v>
      </c>
      <c r="O1087">
        <v>-10030000</v>
      </c>
      <c r="P1087">
        <v>43730000</v>
      </c>
      <c r="Q1087">
        <v>43730000</v>
      </c>
      <c r="R1087">
        <v>4.7056719817231531E-7</v>
      </c>
      <c r="S1087">
        <v>0.19946177704798396</v>
      </c>
      <c r="U1087">
        <v>2.469135802469127E-2</v>
      </c>
      <c r="V1087">
        <v>8.1</v>
      </c>
      <c r="W1087">
        <v>8</v>
      </c>
      <c r="X1087">
        <f t="shared" si="17"/>
        <v>1.2422360248447159E-2</v>
      </c>
      <c r="Y1087">
        <v>14004</v>
      </c>
      <c r="Z1087">
        <v>15000000</v>
      </c>
      <c r="AA1087">
        <v>112592.15999999999</v>
      </c>
      <c r="AB1087">
        <v>11880000</v>
      </c>
      <c r="AC1087">
        <v>1.1787878787878788E-3</v>
      </c>
      <c r="AD1087">
        <v>78469.33</v>
      </c>
      <c r="AE1087">
        <v>0.19489999999999999</v>
      </c>
      <c r="AF1087">
        <v>219240000</v>
      </c>
      <c r="AG1087">
        <v>33140000</v>
      </c>
      <c r="AH1087">
        <v>-10030000</v>
      </c>
      <c r="AI1087">
        <v>43730000</v>
      </c>
      <c r="AJ1087">
        <v>43730000</v>
      </c>
      <c r="AK1087">
        <v>1.2320018131912703E-7</v>
      </c>
      <c r="AL1087">
        <v>0.19946177704798396</v>
      </c>
    </row>
    <row r="1088" spans="2:38">
      <c r="B1088">
        <v>2.4324324324324405E-2</v>
      </c>
      <c r="C1088">
        <v>7.49</v>
      </c>
      <c r="D1088">
        <v>7.35</v>
      </c>
      <c r="E1088">
        <v>1.8867924528301962E-2</v>
      </c>
      <c r="F1088">
        <v>80</v>
      </c>
      <c r="G1088">
        <v>15000000</v>
      </c>
      <c r="H1088">
        <v>592</v>
      </c>
      <c r="I1088">
        <v>11880000</v>
      </c>
      <c r="J1088">
        <v>6.7340067340067342E-6</v>
      </c>
      <c r="K1088">
        <v>77745.52</v>
      </c>
      <c r="L1088">
        <v>0.189</v>
      </c>
      <c r="M1088">
        <v>219240000</v>
      </c>
      <c r="N1088">
        <v>33140000</v>
      </c>
      <c r="O1088">
        <v>-10030000</v>
      </c>
      <c r="P1088">
        <v>43730000</v>
      </c>
      <c r="Q1088">
        <v>43730000</v>
      </c>
      <c r="R1088">
        <v>0</v>
      </c>
      <c r="S1088">
        <v>0.19946177704798396</v>
      </c>
      <c r="U1088">
        <v>4.9999999999999933E-2</v>
      </c>
      <c r="V1088">
        <v>8.1</v>
      </c>
      <c r="W1088">
        <v>7.81</v>
      </c>
      <c r="X1088">
        <f t="shared" si="17"/>
        <v>3.645505971087367E-2</v>
      </c>
      <c r="Y1088">
        <v>7203</v>
      </c>
      <c r="Z1088">
        <v>15000000</v>
      </c>
      <c r="AA1088">
        <v>57119.79</v>
      </c>
      <c r="AB1088">
        <v>11880000</v>
      </c>
      <c r="AC1088">
        <v>6.063131313131313E-4</v>
      </c>
      <c r="AD1088">
        <v>79397.009999999995</v>
      </c>
      <c r="AE1088">
        <v>0.19489999999999999</v>
      </c>
      <c r="AF1088">
        <v>219240000</v>
      </c>
      <c r="AG1088">
        <v>33140000</v>
      </c>
      <c r="AH1088">
        <v>-10030000</v>
      </c>
      <c r="AI1088">
        <v>43730000</v>
      </c>
      <c r="AJ1088">
        <v>43730000</v>
      </c>
      <c r="AK1088">
        <v>1.3146733791242638E-7</v>
      </c>
      <c r="AL1088">
        <v>0.19946177704798396</v>
      </c>
    </row>
    <row r="1089" spans="2:38">
      <c r="B1089">
        <v>0.12080536912751683</v>
      </c>
      <c r="C1089">
        <v>7.5</v>
      </c>
      <c r="D1089">
        <v>7.4</v>
      </c>
      <c r="E1089">
        <v>1.342281879194626E-2</v>
      </c>
      <c r="F1089">
        <v>69034</v>
      </c>
      <c r="G1089">
        <v>15000000</v>
      </c>
      <c r="H1089">
        <v>510851.60000000003</v>
      </c>
      <c r="I1089">
        <v>11880000</v>
      </c>
      <c r="J1089">
        <v>5.8109427609427606E-3</v>
      </c>
      <c r="K1089">
        <v>77830.34</v>
      </c>
      <c r="L1089">
        <v>0.189</v>
      </c>
      <c r="M1089">
        <v>219240000</v>
      </c>
      <c r="N1089">
        <v>33140000</v>
      </c>
      <c r="O1089">
        <v>-10030000</v>
      </c>
      <c r="P1089">
        <v>43730000</v>
      </c>
      <c r="Q1089">
        <v>43730000</v>
      </c>
      <c r="R1089">
        <v>2.6100208618967396E-8</v>
      </c>
      <c r="S1089">
        <v>0.19946177704798396</v>
      </c>
      <c r="U1089">
        <v>0.14332675871137418</v>
      </c>
      <c r="V1089">
        <v>8.15</v>
      </c>
      <c r="W1089">
        <v>8.14</v>
      </c>
      <c r="X1089">
        <f t="shared" si="17"/>
        <v>1.2277470841006491E-3</v>
      </c>
      <c r="Y1089">
        <v>60796</v>
      </c>
      <c r="Z1089">
        <v>15000000</v>
      </c>
      <c r="AA1089">
        <v>485760.04000000004</v>
      </c>
      <c r="AB1089">
        <v>11880000</v>
      </c>
      <c r="AC1089">
        <v>5.1175084175084174E-3</v>
      </c>
      <c r="AD1089">
        <v>78987.09</v>
      </c>
      <c r="AE1089">
        <v>0.19489999999999999</v>
      </c>
      <c r="AF1089">
        <v>219240000</v>
      </c>
      <c r="AG1089">
        <v>33140000</v>
      </c>
      <c r="AH1089">
        <v>-10030000</v>
      </c>
      <c r="AI1089">
        <v>43730000</v>
      </c>
      <c r="AJ1089">
        <v>43730000</v>
      </c>
      <c r="AK1089">
        <v>5.1401488302191961E-9</v>
      </c>
      <c r="AL1089">
        <v>0.19946177704798396</v>
      </c>
    </row>
    <row r="1090" spans="2:38">
      <c r="B1090">
        <v>0.12176165803108802</v>
      </c>
      <c r="C1090">
        <v>7.6</v>
      </c>
      <c r="D1090">
        <v>7.35</v>
      </c>
      <c r="E1090">
        <v>3.3444816053511704E-2</v>
      </c>
      <c r="F1090">
        <v>53232</v>
      </c>
      <c r="G1090">
        <v>15000000</v>
      </c>
      <c r="H1090">
        <v>399240</v>
      </c>
      <c r="I1090">
        <v>11880000</v>
      </c>
      <c r="J1090">
        <v>4.4808080808080809E-3</v>
      </c>
      <c r="K1090">
        <v>78045.31</v>
      </c>
      <c r="L1090">
        <v>0.189</v>
      </c>
      <c r="M1090">
        <v>219240000</v>
      </c>
      <c r="N1090">
        <v>33140000</v>
      </c>
      <c r="O1090">
        <v>-10030000</v>
      </c>
      <c r="P1090">
        <v>43730000</v>
      </c>
      <c r="Q1090">
        <v>43730000</v>
      </c>
      <c r="R1090">
        <v>1.6587808226358498E-8</v>
      </c>
      <c r="S1090">
        <v>0.19946177704798396</v>
      </c>
      <c r="U1090">
        <v>7.2794571252313478E-2</v>
      </c>
      <c r="V1090">
        <v>8.08</v>
      </c>
      <c r="W1090">
        <v>7.86</v>
      </c>
      <c r="X1090">
        <f t="shared" si="17"/>
        <v>2.7603513174403981E-2</v>
      </c>
      <c r="Y1090">
        <v>60400</v>
      </c>
      <c r="Z1090">
        <v>15000000</v>
      </c>
      <c r="AA1090">
        <v>483804</v>
      </c>
      <c r="AB1090">
        <v>11880000</v>
      </c>
      <c r="AC1090">
        <v>5.0841750841750842E-3</v>
      </c>
      <c r="AD1090">
        <v>78539.19</v>
      </c>
      <c r="AE1090">
        <v>0.19489999999999999</v>
      </c>
      <c r="AF1090">
        <v>219240000</v>
      </c>
      <c r="AG1090">
        <v>33140000</v>
      </c>
      <c r="AH1090">
        <v>-10030000</v>
      </c>
      <c r="AI1090">
        <v>43730000</v>
      </c>
      <c r="AJ1090">
        <v>43730000</v>
      </c>
      <c r="AK1090">
        <v>0</v>
      </c>
      <c r="AL1090">
        <v>0.19946177704798396</v>
      </c>
    </row>
    <row r="1091" spans="2:38">
      <c r="B1091">
        <v>0.11764705882352938</v>
      </c>
      <c r="C1091">
        <v>7.64</v>
      </c>
      <c r="D1091">
        <v>7.54</v>
      </c>
      <c r="E1091">
        <v>1.3175230566534867E-2</v>
      </c>
      <c r="F1091">
        <v>33747</v>
      </c>
      <c r="G1091">
        <v>15000000</v>
      </c>
      <c r="H1091">
        <v>254789.85</v>
      </c>
      <c r="I1091">
        <v>11880000</v>
      </c>
      <c r="J1091">
        <v>2.8406565656565659E-3</v>
      </c>
      <c r="K1091">
        <v>78105.98</v>
      </c>
      <c r="L1091">
        <v>0.189</v>
      </c>
      <c r="M1091">
        <v>219240000</v>
      </c>
      <c r="N1091">
        <v>33140000</v>
      </c>
      <c r="O1091">
        <v>-10030000</v>
      </c>
      <c r="P1091">
        <v>43730000</v>
      </c>
      <c r="Q1091">
        <v>43730000</v>
      </c>
      <c r="R1091">
        <v>3.672944102778582E-8</v>
      </c>
      <c r="S1091">
        <v>0.19946177704798396</v>
      </c>
      <c r="U1091">
        <v>8.9053360391548195E-2</v>
      </c>
      <c r="V1091">
        <v>42.5</v>
      </c>
      <c r="W1091">
        <v>42.01</v>
      </c>
      <c r="X1091">
        <f t="shared" si="17"/>
        <v>1.1596260797538801E-2</v>
      </c>
      <c r="Y1091">
        <v>84438</v>
      </c>
      <c r="Z1091">
        <v>380860000</v>
      </c>
      <c r="AA1091">
        <v>3582704.34</v>
      </c>
      <c r="AB1091">
        <v>179250000</v>
      </c>
      <c r="AC1091">
        <v>4.7106276150627612E-4</v>
      </c>
      <c r="AD1091">
        <v>82074.45</v>
      </c>
      <c r="AE1091">
        <v>0.1741</v>
      </c>
      <c r="AF1091">
        <v>41958240000</v>
      </c>
      <c r="AG1091">
        <v>16631849999.999998</v>
      </c>
      <c r="AH1091">
        <v>435200000</v>
      </c>
      <c r="AI1091">
        <v>292100000</v>
      </c>
      <c r="AJ1091">
        <v>8769580000</v>
      </c>
      <c r="AK1091">
        <v>6.944259054639191E-9</v>
      </c>
      <c r="AL1091">
        <v>0.20900733681870354</v>
      </c>
    </row>
    <row r="1092" spans="2:38">
      <c r="B1092">
        <v>6.8965517241379309E-2</v>
      </c>
      <c r="C1092">
        <v>7.48</v>
      </c>
      <c r="D1092">
        <v>7.3</v>
      </c>
      <c r="E1092">
        <v>2.4357239512855289E-2</v>
      </c>
      <c r="F1092">
        <v>13138</v>
      </c>
      <c r="G1092">
        <v>15000000</v>
      </c>
      <c r="H1092">
        <v>98272.24</v>
      </c>
      <c r="I1092">
        <v>11880000</v>
      </c>
      <c r="J1092">
        <v>1.105892255892256E-3</v>
      </c>
      <c r="K1092">
        <v>77877.42</v>
      </c>
      <c r="L1092">
        <v>0.189</v>
      </c>
      <c r="M1092">
        <v>219240000</v>
      </c>
      <c r="N1092">
        <v>33140000</v>
      </c>
      <c r="O1092">
        <v>-10030000</v>
      </c>
      <c r="P1092">
        <v>43730000</v>
      </c>
      <c r="Q1092">
        <v>43730000</v>
      </c>
      <c r="R1092">
        <v>2.7281001709670453E-8</v>
      </c>
      <c r="S1092">
        <v>0.19946177704798396</v>
      </c>
      <c r="U1092">
        <v>0.11354141066601124</v>
      </c>
      <c r="V1092">
        <v>43</v>
      </c>
      <c r="W1092">
        <v>42</v>
      </c>
      <c r="X1092">
        <f t="shared" si="17"/>
        <v>2.3529411764705882E-2</v>
      </c>
      <c r="Y1092">
        <v>27522</v>
      </c>
      <c r="Z1092">
        <v>380860000</v>
      </c>
      <c r="AA1092">
        <v>1139410.8</v>
      </c>
      <c r="AB1092">
        <v>179250000</v>
      </c>
      <c r="AC1092">
        <v>1.5353974895397488E-4</v>
      </c>
      <c r="AD1092">
        <v>81459.289999999994</v>
      </c>
      <c r="AE1092">
        <v>0.1741</v>
      </c>
      <c r="AF1092">
        <v>41958240000</v>
      </c>
      <c r="AG1092">
        <v>16631849999.999998</v>
      </c>
      <c r="AH1092">
        <v>435200000</v>
      </c>
      <c r="AI1092">
        <v>292100000</v>
      </c>
      <c r="AJ1092">
        <v>8769580000</v>
      </c>
      <c r="AK1092">
        <v>7.5659188548786793E-9</v>
      </c>
      <c r="AL1092">
        <v>0.20900733681870354</v>
      </c>
    </row>
    <row r="1093" spans="2:38">
      <c r="B1093">
        <v>7.9452054794520555E-2</v>
      </c>
      <c r="C1093">
        <v>7.57</v>
      </c>
      <c r="D1093">
        <v>7.4</v>
      </c>
      <c r="E1093">
        <v>2.2712090848363384E-2</v>
      </c>
      <c r="F1093">
        <v>20743</v>
      </c>
      <c r="G1093">
        <v>15000000</v>
      </c>
      <c r="H1093">
        <v>154742.78</v>
      </c>
      <c r="I1093">
        <v>11880000</v>
      </c>
      <c r="J1093">
        <v>1.746043771043771E-3</v>
      </c>
      <c r="K1093">
        <v>77980.289999999994</v>
      </c>
      <c r="L1093">
        <v>0.189</v>
      </c>
      <c r="M1093">
        <v>219240000</v>
      </c>
      <c r="N1093">
        <v>33140000</v>
      </c>
      <c r="O1093">
        <v>-10030000</v>
      </c>
      <c r="P1093">
        <v>43730000</v>
      </c>
      <c r="Q1093">
        <v>43730000</v>
      </c>
      <c r="R1093">
        <v>2.3336217115338809E-7</v>
      </c>
      <c r="S1093">
        <v>0.19946177704798396</v>
      </c>
      <c r="U1093">
        <v>5.3291154641683852E-2</v>
      </c>
      <c r="V1093">
        <v>41.75</v>
      </c>
      <c r="W1093">
        <v>41.04</v>
      </c>
      <c r="X1093">
        <f t="shared" si="17"/>
        <v>1.7151829931151129E-2</v>
      </c>
      <c r="Y1093">
        <v>3146</v>
      </c>
      <c r="Z1093">
        <v>380860000</v>
      </c>
      <c r="AA1093">
        <v>131376.95999999999</v>
      </c>
      <c r="AB1093">
        <v>179250000</v>
      </c>
      <c r="AC1093">
        <v>1.7550906555090656E-5</v>
      </c>
      <c r="AD1093">
        <v>80461.34</v>
      </c>
      <c r="AE1093">
        <v>0.1741</v>
      </c>
      <c r="AF1093">
        <v>41958240000</v>
      </c>
      <c r="AG1093">
        <v>16631849999.999998</v>
      </c>
      <c r="AH1093">
        <v>435200000</v>
      </c>
      <c r="AI1093">
        <v>292100000</v>
      </c>
      <c r="AJ1093">
        <v>8769580000</v>
      </c>
      <c r="AK1093">
        <v>1.4109464373245971E-7</v>
      </c>
      <c r="AL1093">
        <v>0.20900733681870354</v>
      </c>
    </row>
    <row r="1094" spans="2:38">
      <c r="B1094">
        <v>6.7114093959731544E-2</v>
      </c>
      <c r="C1094">
        <v>7.4</v>
      </c>
      <c r="D1094">
        <v>7.2</v>
      </c>
      <c r="E1094">
        <v>2.7397260273972626E-2</v>
      </c>
      <c r="F1094">
        <v>3016</v>
      </c>
      <c r="G1094">
        <v>15000000</v>
      </c>
      <c r="H1094">
        <v>21715.200000000001</v>
      </c>
      <c r="I1094">
        <v>11880000</v>
      </c>
      <c r="J1094">
        <v>2.5387205387205388E-4</v>
      </c>
      <c r="K1094">
        <v>78569.59</v>
      </c>
      <c r="L1094">
        <v>0.189</v>
      </c>
      <c r="M1094">
        <v>219240000</v>
      </c>
      <c r="N1094">
        <v>33140000</v>
      </c>
      <c r="O1094">
        <v>-10030000</v>
      </c>
      <c r="P1094">
        <v>43730000</v>
      </c>
      <c r="Q1094">
        <v>43730000</v>
      </c>
      <c r="R1094">
        <v>1.3653844167832441E-6</v>
      </c>
      <c r="S1094">
        <v>0.19946177704798396</v>
      </c>
      <c r="U1094">
        <v>4.878048780487805E-2</v>
      </c>
      <c r="V1094">
        <v>41</v>
      </c>
      <c r="W1094">
        <v>40.9</v>
      </c>
      <c r="X1094">
        <f t="shared" si="17"/>
        <v>2.4420024420024767E-3</v>
      </c>
      <c r="Y1094">
        <v>4985</v>
      </c>
      <c r="Z1094">
        <v>380860000</v>
      </c>
      <c r="AA1094">
        <v>204385</v>
      </c>
      <c r="AB1094">
        <v>179250000</v>
      </c>
      <c r="AC1094">
        <v>2.7810320781032077E-5</v>
      </c>
      <c r="AD1094">
        <v>79491.14</v>
      </c>
      <c r="AE1094">
        <v>0.1741</v>
      </c>
      <c r="AF1094">
        <v>41958240000</v>
      </c>
      <c r="AG1094">
        <v>16631849999.999998</v>
      </c>
      <c r="AH1094">
        <v>435200000</v>
      </c>
      <c r="AI1094">
        <v>292100000</v>
      </c>
      <c r="AJ1094">
        <v>8769580000</v>
      </c>
      <c r="AK1094">
        <v>1.5596650290087603E-7</v>
      </c>
      <c r="AL1094">
        <v>0.20900733681870354</v>
      </c>
    </row>
    <row r="1095" spans="2:38">
      <c r="B1095">
        <v>9.5238095238095261E-2</v>
      </c>
      <c r="C1095">
        <v>7.59</v>
      </c>
      <c r="D1095">
        <v>7.3</v>
      </c>
      <c r="E1095">
        <v>3.895231699126931E-2</v>
      </c>
      <c r="F1095">
        <v>4603</v>
      </c>
      <c r="G1095">
        <v>15000000</v>
      </c>
      <c r="H1095">
        <v>34154.26</v>
      </c>
      <c r="I1095">
        <v>11880000</v>
      </c>
      <c r="J1095">
        <v>3.8745791245791246E-4</v>
      </c>
      <c r="K1095">
        <v>77874.22</v>
      </c>
      <c r="L1095">
        <v>0.189</v>
      </c>
      <c r="M1095">
        <v>219240000</v>
      </c>
      <c r="N1095">
        <v>33140000</v>
      </c>
      <c r="O1095">
        <v>-10030000</v>
      </c>
      <c r="P1095">
        <v>43730000</v>
      </c>
      <c r="Q1095">
        <v>43730000</v>
      </c>
      <c r="R1095">
        <v>3.1230852803330171E-7</v>
      </c>
      <c r="S1095">
        <v>0.19946177704798396</v>
      </c>
      <c r="U1095">
        <v>6.6579167163822908E-2</v>
      </c>
      <c r="V1095">
        <v>42.99</v>
      </c>
      <c r="W1095">
        <v>41.25</v>
      </c>
      <c r="X1095">
        <f t="shared" si="17"/>
        <v>4.1310541310541356E-2</v>
      </c>
      <c r="Y1095">
        <v>18881</v>
      </c>
      <c r="Z1095">
        <v>380860000</v>
      </c>
      <c r="AA1095">
        <v>799610.35</v>
      </c>
      <c r="AB1095">
        <v>179250000</v>
      </c>
      <c r="AC1095">
        <v>1.0533333333333334E-4</v>
      </c>
      <c r="AD1095">
        <v>79333.06</v>
      </c>
      <c r="AE1095">
        <v>0.1741</v>
      </c>
      <c r="AF1095">
        <v>41958240000</v>
      </c>
      <c r="AG1095">
        <v>16631849999.999998</v>
      </c>
      <c r="AH1095">
        <v>435200000</v>
      </c>
      <c r="AI1095">
        <v>292100000</v>
      </c>
      <c r="AJ1095">
        <v>8769580000</v>
      </c>
      <c r="AK1095">
        <v>3.8035557323809345E-8</v>
      </c>
      <c r="AL1095">
        <v>0.20900733681870354</v>
      </c>
    </row>
    <row r="1096" spans="2:38">
      <c r="B1096">
        <v>4.3596730245231648E-2</v>
      </c>
      <c r="C1096">
        <v>7.49</v>
      </c>
      <c r="D1096">
        <v>7.4</v>
      </c>
      <c r="E1096">
        <v>1.2088650100738731E-2</v>
      </c>
      <c r="F1096">
        <v>2684</v>
      </c>
      <c r="G1096">
        <v>15000000</v>
      </c>
      <c r="H1096">
        <v>20130</v>
      </c>
      <c r="I1096">
        <v>11880000</v>
      </c>
      <c r="J1096">
        <v>2.2592592592592591E-4</v>
      </c>
      <c r="K1096">
        <v>77114.490000000005</v>
      </c>
      <c r="L1096">
        <v>0.189</v>
      </c>
      <c r="M1096">
        <v>219240000</v>
      </c>
      <c r="N1096">
        <v>33140000</v>
      </c>
      <c r="O1096">
        <v>-10030000</v>
      </c>
      <c r="P1096">
        <v>43730000</v>
      </c>
      <c r="Q1096">
        <v>43730000</v>
      </c>
      <c r="R1096">
        <v>7.1806581791287191E-7</v>
      </c>
      <c r="S1096">
        <v>0.19946177704798396</v>
      </c>
      <c r="U1096">
        <v>6.9730968753770065E-2</v>
      </c>
      <c r="V1096">
        <v>41.65</v>
      </c>
      <c r="W1096">
        <v>41.11</v>
      </c>
      <c r="X1096">
        <f t="shared" si="17"/>
        <v>1.3049782503624921E-2</v>
      </c>
      <c r="Y1096">
        <v>10106</v>
      </c>
      <c r="Z1096">
        <v>380860000</v>
      </c>
      <c r="AA1096">
        <v>415356.60000000003</v>
      </c>
      <c r="AB1096">
        <v>179250000</v>
      </c>
      <c r="AC1096">
        <v>5.6379358437935844E-5</v>
      </c>
      <c r="AD1096">
        <v>79017.62</v>
      </c>
      <c r="AE1096">
        <v>0.1741</v>
      </c>
      <c r="AF1096">
        <v>41958240000</v>
      </c>
      <c r="AG1096">
        <v>16631849999.999998</v>
      </c>
      <c r="AH1096">
        <v>435200000</v>
      </c>
      <c r="AI1096">
        <v>292100000</v>
      </c>
      <c r="AJ1096">
        <v>8769580000</v>
      </c>
      <c r="AK1096">
        <v>1.5327329676778476E-8</v>
      </c>
      <c r="AL1096">
        <v>0.20900733681870354</v>
      </c>
    </row>
    <row r="1097" spans="2:38">
      <c r="B1097">
        <v>9.1218515997277053E-2</v>
      </c>
      <c r="C1097">
        <v>7.65</v>
      </c>
      <c r="D1097">
        <v>7.47</v>
      </c>
      <c r="E1097">
        <v>2.3809523809523888E-2</v>
      </c>
      <c r="F1097">
        <v>16972</v>
      </c>
      <c r="G1097">
        <v>15000000</v>
      </c>
      <c r="H1097">
        <v>129156.92</v>
      </c>
      <c r="I1097">
        <v>11880000</v>
      </c>
      <c r="J1097">
        <v>1.4286195286195287E-3</v>
      </c>
      <c r="K1097">
        <v>77191.34</v>
      </c>
      <c r="L1097">
        <v>0.19489999999999999</v>
      </c>
      <c r="M1097">
        <v>219240000</v>
      </c>
      <c r="N1097">
        <v>33140000</v>
      </c>
      <c r="O1097">
        <v>-10030000</v>
      </c>
      <c r="P1097">
        <v>43730000</v>
      </c>
      <c r="Q1097">
        <v>43730000</v>
      </c>
      <c r="R1097">
        <v>2.957579156123567E-7</v>
      </c>
      <c r="S1097">
        <v>0.19946177704798396</v>
      </c>
      <c r="U1097">
        <v>2.3403217942467112E-2</v>
      </c>
      <c r="V1097">
        <v>41.2</v>
      </c>
      <c r="W1097">
        <v>40.54</v>
      </c>
      <c r="X1097">
        <f t="shared" si="17"/>
        <v>1.6148764374847163E-2</v>
      </c>
      <c r="Y1097">
        <v>6326</v>
      </c>
      <c r="Z1097">
        <v>380860000</v>
      </c>
      <c r="AA1097">
        <v>258353.84000000003</v>
      </c>
      <c r="AB1097">
        <v>179250000</v>
      </c>
      <c r="AC1097">
        <v>3.5291492329149235E-5</v>
      </c>
      <c r="AD1097">
        <v>78651.8</v>
      </c>
      <c r="AE1097">
        <v>0.1741</v>
      </c>
      <c r="AF1097">
        <v>41958240000</v>
      </c>
      <c r="AG1097">
        <v>16631849999.999998</v>
      </c>
      <c r="AH1097">
        <v>435200000</v>
      </c>
      <c r="AI1097">
        <v>292100000</v>
      </c>
      <c r="AJ1097">
        <v>8769580000</v>
      </c>
      <c r="AK1097">
        <v>3.4752350885010257E-8</v>
      </c>
      <c r="AL1097">
        <v>0.20900733681870354</v>
      </c>
    </row>
    <row r="1098" spans="2:38">
      <c r="B1098">
        <v>9.4240837696335039E-2</v>
      </c>
      <c r="C1098">
        <v>7.3</v>
      </c>
      <c r="D1098">
        <v>7.25</v>
      </c>
      <c r="E1098">
        <v>6.8728522336769515E-3</v>
      </c>
      <c r="F1098">
        <v>17319</v>
      </c>
      <c r="G1098">
        <v>15000000</v>
      </c>
      <c r="H1098">
        <v>126948.27</v>
      </c>
      <c r="I1098">
        <v>11880000</v>
      </c>
      <c r="J1098">
        <v>1.4578282828282829E-3</v>
      </c>
      <c r="K1098">
        <v>77084.490000000005</v>
      </c>
      <c r="L1098">
        <v>0.19489999999999999</v>
      </c>
      <c r="M1098">
        <v>219240000</v>
      </c>
      <c r="N1098">
        <v>33140000</v>
      </c>
      <c r="O1098">
        <v>-10030000</v>
      </c>
      <c r="P1098">
        <v>43730000</v>
      </c>
      <c r="Q1098">
        <v>43730000</v>
      </c>
      <c r="R1098">
        <v>4.5562351473226849E-7</v>
      </c>
      <c r="S1098">
        <v>0.19946177704798396</v>
      </c>
      <c r="U1098">
        <v>3.6125590980724979E-2</v>
      </c>
      <c r="V1098">
        <v>41.25</v>
      </c>
      <c r="W1098">
        <v>41.2</v>
      </c>
      <c r="X1098">
        <f t="shared" si="17"/>
        <v>1.2128562765311621E-3</v>
      </c>
      <c r="Y1098">
        <v>6669</v>
      </c>
      <c r="Z1098">
        <v>380860000</v>
      </c>
      <c r="AA1098">
        <v>274829.49</v>
      </c>
      <c r="AB1098">
        <v>179250000</v>
      </c>
      <c r="AC1098">
        <v>3.7205020920502093E-5</v>
      </c>
      <c r="AD1098">
        <v>79286.740000000005</v>
      </c>
      <c r="AE1098">
        <v>0.1741</v>
      </c>
      <c r="AF1098">
        <v>41958240000</v>
      </c>
      <c r="AG1098">
        <v>16631849999.999998</v>
      </c>
      <c r="AH1098">
        <v>435200000</v>
      </c>
      <c r="AI1098">
        <v>292100000</v>
      </c>
      <c r="AJ1098">
        <v>8769580000</v>
      </c>
      <c r="AK1098">
        <v>1.8636832675824622E-8</v>
      </c>
      <c r="AL1098">
        <v>0.20900733681870354</v>
      </c>
    </row>
    <row r="1099" spans="2:38">
      <c r="B1099">
        <v>2.590993214065402E-2</v>
      </c>
      <c r="C1099">
        <v>8</v>
      </c>
      <c r="D1099">
        <v>7.76</v>
      </c>
      <c r="E1099">
        <v>3.0456852791878201E-2</v>
      </c>
      <c r="F1099">
        <v>2</v>
      </c>
      <c r="G1099">
        <v>15000000</v>
      </c>
      <c r="H1099">
        <v>15.56</v>
      </c>
      <c r="I1099">
        <v>11880000</v>
      </c>
      <c r="J1099">
        <v>1.6835016835016834E-7</v>
      </c>
      <c r="K1099">
        <v>78225.98</v>
      </c>
      <c r="L1099">
        <v>0.19489999999999999</v>
      </c>
      <c r="M1099">
        <v>219240000</v>
      </c>
      <c r="N1099">
        <v>33140000</v>
      </c>
      <c r="O1099">
        <v>-10030000</v>
      </c>
      <c r="P1099">
        <v>43730000</v>
      </c>
      <c r="Q1099">
        <v>43730000</v>
      </c>
      <c r="R1099">
        <v>0</v>
      </c>
      <c r="S1099">
        <v>0.19946177704798396</v>
      </c>
      <c r="U1099">
        <v>1.6928657799274553E-2</v>
      </c>
      <c r="V1099">
        <v>41.5</v>
      </c>
      <c r="W1099">
        <v>41.05</v>
      </c>
      <c r="X1099">
        <f t="shared" si="17"/>
        <v>1.0902483343428294E-2</v>
      </c>
      <c r="Y1099">
        <v>3125</v>
      </c>
      <c r="Z1099">
        <v>380860000</v>
      </c>
      <c r="AA1099">
        <v>128125</v>
      </c>
      <c r="AB1099">
        <v>179250000</v>
      </c>
      <c r="AC1099">
        <v>1.7433751743375174E-5</v>
      </c>
      <c r="AD1099">
        <v>78615</v>
      </c>
      <c r="AE1099">
        <v>0.1741</v>
      </c>
      <c r="AF1099">
        <v>41958240000</v>
      </c>
      <c r="AG1099">
        <v>16631849999.999998</v>
      </c>
      <c r="AH1099">
        <v>435200000</v>
      </c>
      <c r="AI1099">
        <v>292100000</v>
      </c>
      <c r="AJ1099">
        <v>8769580000</v>
      </c>
      <c r="AK1099">
        <v>1.1405082389840404E-8</v>
      </c>
      <c r="AL1099">
        <v>0.20900733681870354</v>
      </c>
    </row>
    <row r="1100" spans="2:38">
      <c r="B1100">
        <v>6.853582554517143E-2</v>
      </c>
      <c r="C1100">
        <v>7.9</v>
      </c>
      <c r="D1100">
        <v>7.76</v>
      </c>
      <c r="E1100">
        <v>1.7879948914431745E-2</v>
      </c>
      <c r="F1100">
        <v>6013</v>
      </c>
      <c r="G1100">
        <v>15000000</v>
      </c>
      <c r="H1100">
        <v>46781.14</v>
      </c>
      <c r="I1100">
        <v>11880000</v>
      </c>
      <c r="J1100">
        <v>5.0614478114478117E-4</v>
      </c>
      <c r="K1100">
        <v>77740.31</v>
      </c>
      <c r="L1100">
        <v>0.19489999999999999</v>
      </c>
      <c r="M1100">
        <v>219240000</v>
      </c>
      <c r="N1100">
        <v>33140000</v>
      </c>
      <c r="O1100">
        <v>-10030000</v>
      </c>
      <c r="P1100">
        <v>43730000</v>
      </c>
      <c r="Q1100">
        <v>43730000</v>
      </c>
      <c r="R1100">
        <v>1.0948752466297708E-6</v>
      </c>
      <c r="S1100">
        <v>0.19946177704798396</v>
      </c>
      <c r="U1100">
        <v>3.6231003039513557E-2</v>
      </c>
      <c r="V1100">
        <v>41</v>
      </c>
      <c r="W1100">
        <v>40.549999999999997</v>
      </c>
      <c r="X1100">
        <f t="shared" si="17"/>
        <v>1.1036174126302952E-2</v>
      </c>
      <c r="Y1100">
        <v>2417</v>
      </c>
      <c r="Z1100">
        <v>380860000</v>
      </c>
      <c r="AA1100">
        <v>99242.02</v>
      </c>
      <c r="AB1100">
        <v>179250000</v>
      </c>
      <c r="AC1100">
        <v>1.3483960948396095E-5</v>
      </c>
      <c r="AD1100">
        <v>78897.73</v>
      </c>
      <c r="AE1100">
        <v>0.1741</v>
      </c>
      <c r="AF1100">
        <v>41958240000</v>
      </c>
      <c r="AG1100">
        <v>16631849999.999998</v>
      </c>
      <c r="AH1100">
        <v>435200000</v>
      </c>
      <c r="AI1100">
        <v>292100000</v>
      </c>
      <c r="AJ1100">
        <v>8769580000</v>
      </c>
      <c r="AK1100">
        <v>1.1643382095474317E-7</v>
      </c>
      <c r="AL1100">
        <v>0.20900733681870354</v>
      </c>
    </row>
    <row r="1101" spans="2:38">
      <c r="B1101">
        <v>4.7882136279926296E-2</v>
      </c>
      <c r="C1101">
        <v>8</v>
      </c>
      <c r="D1101">
        <v>7.91</v>
      </c>
      <c r="E1101">
        <v>1.1313639220615946E-2</v>
      </c>
      <c r="F1101">
        <v>2279</v>
      </c>
      <c r="G1101">
        <v>15000000</v>
      </c>
      <c r="H1101">
        <v>18687.8</v>
      </c>
      <c r="I1101">
        <v>11880000</v>
      </c>
      <c r="J1101">
        <v>1.9183501683501684E-4</v>
      </c>
      <c r="K1101">
        <v>77886.990000000005</v>
      </c>
      <c r="L1101">
        <v>0.19489999999999999</v>
      </c>
      <c r="M1101">
        <v>219240000</v>
      </c>
      <c r="N1101">
        <v>33140000</v>
      </c>
      <c r="O1101">
        <v>-10030000</v>
      </c>
      <c r="P1101">
        <v>43730000</v>
      </c>
      <c r="Q1101">
        <v>43730000</v>
      </c>
      <c r="R1101">
        <v>1.3377711662153871E-6</v>
      </c>
      <c r="S1101">
        <v>0.19946177704798396</v>
      </c>
      <c r="U1101">
        <v>9.8309555209206718E-3</v>
      </c>
      <c r="V1101">
        <v>41.87</v>
      </c>
      <c r="W1101">
        <v>41.54</v>
      </c>
      <c r="X1101">
        <f t="shared" si="17"/>
        <v>7.9127202973264185E-3</v>
      </c>
      <c r="Y1101">
        <v>1469</v>
      </c>
      <c r="Z1101">
        <v>380860000</v>
      </c>
      <c r="AA1101">
        <v>61022.26</v>
      </c>
      <c r="AB1101">
        <v>179250000</v>
      </c>
      <c r="AC1101">
        <v>8.1952580195258012E-6</v>
      </c>
      <c r="AD1101">
        <v>78863.34</v>
      </c>
      <c r="AE1101">
        <v>0.1741</v>
      </c>
      <c r="AF1101">
        <v>41958240000</v>
      </c>
      <c r="AG1101">
        <v>16631849999.999998</v>
      </c>
      <c r="AH1101">
        <v>435200000</v>
      </c>
      <c r="AI1101">
        <v>292100000</v>
      </c>
      <c r="AJ1101">
        <v>8769580000</v>
      </c>
      <c r="AK1101">
        <v>1.7562177051824051E-7</v>
      </c>
      <c r="AL1101">
        <v>0.20900733681870354</v>
      </c>
    </row>
    <row r="1102" spans="2:38">
      <c r="B1102">
        <v>4.6398046398046483E-2</v>
      </c>
      <c r="C1102">
        <v>8</v>
      </c>
      <c r="D1102">
        <v>7.98</v>
      </c>
      <c r="E1102">
        <v>2.5031289111388704E-3</v>
      </c>
      <c r="F1102">
        <v>8460</v>
      </c>
      <c r="G1102">
        <v>15000000</v>
      </c>
      <c r="H1102">
        <v>67680</v>
      </c>
      <c r="I1102">
        <v>11880000</v>
      </c>
      <c r="J1102">
        <v>7.1212121212121211E-4</v>
      </c>
      <c r="K1102">
        <v>78628.81</v>
      </c>
      <c r="L1102">
        <v>0.19489999999999999</v>
      </c>
      <c r="M1102">
        <v>219240000</v>
      </c>
      <c r="N1102">
        <v>33140000</v>
      </c>
      <c r="O1102">
        <v>-10030000</v>
      </c>
      <c r="P1102">
        <v>43730000</v>
      </c>
      <c r="Q1102">
        <v>43730000</v>
      </c>
      <c r="R1102">
        <v>1.6811469456922263E-7</v>
      </c>
      <c r="S1102">
        <v>0.19946177704798396</v>
      </c>
      <c r="U1102">
        <v>4.3795620437956137E-2</v>
      </c>
      <c r="V1102">
        <v>41.9</v>
      </c>
      <c r="W1102">
        <v>41.11</v>
      </c>
      <c r="X1102">
        <f t="shared" si="17"/>
        <v>1.9033851343211644E-2</v>
      </c>
      <c r="Y1102">
        <v>3616</v>
      </c>
      <c r="Z1102">
        <v>380860000</v>
      </c>
      <c r="AA1102">
        <v>151835.84</v>
      </c>
      <c r="AB1102">
        <v>179250000</v>
      </c>
      <c r="AC1102">
        <v>2.0172942817294281E-5</v>
      </c>
      <c r="AD1102">
        <v>78848.009999999995</v>
      </c>
      <c r="AE1102">
        <v>0.1741</v>
      </c>
      <c r="AF1102">
        <v>41958240000</v>
      </c>
      <c r="AG1102">
        <v>16631849999.999998</v>
      </c>
      <c r="AH1102">
        <v>435200000</v>
      </c>
      <c r="AI1102">
        <v>292100000</v>
      </c>
      <c r="AJ1102">
        <v>8769580000</v>
      </c>
      <c r="AK1102">
        <v>6.9744080336132338E-8</v>
      </c>
      <c r="AL1102">
        <v>0.20900733681870354</v>
      </c>
    </row>
    <row r="1103" spans="2:38">
      <c r="B1103">
        <v>8.5661080074487944E-2</v>
      </c>
      <c r="C1103">
        <v>8.09</v>
      </c>
      <c r="D1103">
        <v>7.9</v>
      </c>
      <c r="E1103">
        <v>2.3764853033145652E-2</v>
      </c>
      <c r="F1103">
        <v>3514</v>
      </c>
      <c r="G1103">
        <v>15000000</v>
      </c>
      <c r="H1103">
        <v>27795.74</v>
      </c>
      <c r="I1103">
        <v>11880000</v>
      </c>
      <c r="J1103">
        <v>2.9579124579124581E-4</v>
      </c>
      <c r="K1103">
        <v>78827.740000000005</v>
      </c>
      <c r="L1103">
        <v>0.19489999999999999</v>
      </c>
      <c r="M1103">
        <v>219240000</v>
      </c>
      <c r="N1103">
        <v>33140000</v>
      </c>
      <c r="O1103">
        <v>-10030000</v>
      </c>
      <c r="P1103">
        <v>43730000</v>
      </c>
      <c r="Q1103">
        <v>43730000</v>
      </c>
      <c r="R1103">
        <v>4.9344650378770087E-7</v>
      </c>
      <c r="S1103">
        <v>0.19946177704798396</v>
      </c>
      <c r="U1103">
        <v>3.365210022999638E-2</v>
      </c>
      <c r="V1103">
        <v>42</v>
      </c>
      <c r="W1103">
        <v>40.770000000000003</v>
      </c>
      <c r="X1103">
        <f t="shared" si="17"/>
        <v>2.9720913374410938E-2</v>
      </c>
      <c r="Y1103">
        <v>3404</v>
      </c>
      <c r="Z1103">
        <v>380860000</v>
      </c>
      <c r="AA1103">
        <v>141436.19999999998</v>
      </c>
      <c r="AB1103">
        <v>179250000</v>
      </c>
      <c r="AC1103">
        <v>1.8990237099023709E-5</v>
      </c>
      <c r="AD1103">
        <v>78356.320000000007</v>
      </c>
      <c r="AE1103">
        <v>0.17469999999999999</v>
      </c>
      <c r="AF1103">
        <v>41958240000</v>
      </c>
      <c r="AG1103">
        <v>16631849999.999998</v>
      </c>
      <c r="AH1103">
        <v>435200000</v>
      </c>
      <c r="AI1103">
        <v>292100000</v>
      </c>
      <c r="AJ1103">
        <v>8769580000</v>
      </c>
      <c r="AK1103">
        <v>8.2633463276829526E-8</v>
      </c>
      <c r="AL1103">
        <v>0.20900733681870354</v>
      </c>
    </row>
    <row r="1104" spans="2:38">
      <c r="B1104">
        <v>4.7589993898718798E-2</v>
      </c>
      <c r="C1104">
        <v>8</v>
      </c>
      <c r="D1104">
        <v>7.81</v>
      </c>
      <c r="E1104">
        <v>2.4035420619860901E-2</v>
      </c>
      <c r="F1104">
        <v>2081</v>
      </c>
      <c r="G1104">
        <v>15000000</v>
      </c>
      <c r="H1104">
        <v>16689.62</v>
      </c>
      <c r="I1104">
        <v>11880000</v>
      </c>
      <c r="J1104">
        <v>1.7516835016835017E-4</v>
      </c>
      <c r="K1104">
        <v>78029.509999999995</v>
      </c>
      <c r="L1104">
        <v>0.19489999999999999</v>
      </c>
      <c r="M1104">
        <v>219240000</v>
      </c>
      <c r="N1104">
        <v>33140000</v>
      </c>
      <c r="O1104">
        <v>-10030000</v>
      </c>
      <c r="P1104">
        <v>43730000</v>
      </c>
      <c r="Q1104">
        <v>43730000</v>
      </c>
      <c r="R1104">
        <v>1.4904846180168712E-7</v>
      </c>
      <c r="S1104">
        <v>0.19946177704798396</v>
      </c>
      <c r="U1104">
        <v>5.8788242351529595E-2</v>
      </c>
      <c r="V1104">
        <v>41</v>
      </c>
      <c r="W1104">
        <v>40.520000000000003</v>
      </c>
      <c r="X1104">
        <f t="shared" si="17"/>
        <v>1.1776251226692758E-2</v>
      </c>
      <c r="Y1104">
        <v>12070</v>
      </c>
      <c r="Z1104">
        <v>380860000</v>
      </c>
      <c r="AA1104">
        <v>495714.9</v>
      </c>
      <c r="AB1104">
        <v>179250000</v>
      </c>
      <c r="AC1104">
        <v>6.7336122733612275E-5</v>
      </c>
      <c r="AD1104">
        <v>78283.3</v>
      </c>
      <c r="AE1104">
        <v>0.17469999999999999</v>
      </c>
      <c r="AF1104">
        <v>41958240000</v>
      </c>
      <c r="AG1104">
        <v>16631849999.999998</v>
      </c>
      <c r="AH1104">
        <v>435200000</v>
      </c>
      <c r="AI1104">
        <v>292100000</v>
      </c>
      <c r="AJ1104">
        <v>8769580000</v>
      </c>
      <c r="AK1104">
        <v>2.5701032217076072E-8</v>
      </c>
      <c r="AL1104">
        <v>0.20900733681870354</v>
      </c>
    </row>
    <row r="1105" spans="2:38">
      <c r="B1105">
        <v>2.469135802469127E-2</v>
      </c>
      <c r="C1105">
        <v>8.1</v>
      </c>
      <c r="D1105">
        <v>8</v>
      </c>
      <c r="E1105">
        <v>1.2422360248447159E-2</v>
      </c>
      <c r="F1105">
        <v>14004</v>
      </c>
      <c r="G1105">
        <v>15000000</v>
      </c>
      <c r="H1105">
        <v>112592.15999999999</v>
      </c>
      <c r="I1105">
        <v>11880000</v>
      </c>
      <c r="J1105">
        <v>1.1787878787878788E-3</v>
      </c>
      <c r="K1105">
        <v>78469.33</v>
      </c>
      <c r="L1105">
        <v>0.19489999999999999</v>
      </c>
      <c r="M1105">
        <v>219240000</v>
      </c>
      <c r="N1105">
        <v>33140000</v>
      </c>
      <c r="O1105">
        <v>-10030000</v>
      </c>
      <c r="P1105">
        <v>43730000</v>
      </c>
      <c r="Q1105">
        <v>43730000</v>
      </c>
      <c r="R1105">
        <v>1.2320018131912703E-7</v>
      </c>
      <c r="S1105">
        <v>0.19946177704798396</v>
      </c>
      <c r="U1105">
        <v>7.2028811524609167E-3</v>
      </c>
      <c r="V1105">
        <v>41.99</v>
      </c>
      <c r="W1105">
        <v>40.71</v>
      </c>
      <c r="X1105">
        <f t="shared" si="17"/>
        <v>3.0955259975816229E-2</v>
      </c>
      <c r="Y1105">
        <v>7005</v>
      </c>
      <c r="Z1105">
        <v>380860000</v>
      </c>
      <c r="AA1105">
        <v>291408</v>
      </c>
      <c r="AB1105">
        <v>179250000</v>
      </c>
      <c r="AC1105">
        <v>3.9079497907949791E-5</v>
      </c>
      <c r="AD1105">
        <v>78488.22</v>
      </c>
      <c r="AE1105">
        <v>0.17469999999999999</v>
      </c>
      <c r="AF1105">
        <v>41958240000</v>
      </c>
      <c r="AG1105">
        <v>16631849999.999998</v>
      </c>
      <c r="AH1105">
        <v>435200000</v>
      </c>
      <c r="AI1105">
        <v>292100000</v>
      </c>
      <c r="AJ1105">
        <v>8769580000</v>
      </c>
      <c r="AK1105">
        <v>8.2689512786776666E-9</v>
      </c>
      <c r="AL1105">
        <v>0.20900733681870354</v>
      </c>
    </row>
    <row r="1106" spans="2:38">
      <c r="B1106">
        <v>4.9999999999999933E-2</v>
      </c>
      <c r="C1106">
        <v>8.1</v>
      </c>
      <c r="D1106">
        <v>7.81</v>
      </c>
      <c r="E1106">
        <v>3.645505971087367E-2</v>
      </c>
      <c r="F1106">
        <v>7203</v>
      </c>
      <c r="G1106">
        <v>15000000</v>
      </c>
      <c r="H1106">
        <v>57119.79</v>
      </c>
      <c r="I1106">
        <v>11880000</v>
      </c>
      <c r="J1106">
        <v>6.063131313131313E-4</v>
      </c>
      <c r="K1106">
        <v>79397.009999999995</v>
      </c>
      <c r="L1106">
        <v>0.19489999999999999</v>
      </c>
      <c r="M1106">
        <v>219240000</v>
      </c>
      <c r="N1106">
        <v>33140000</v>
      </c>
      <c r="O1106">
        <v>-10030000</v>
      </c>
      <c r="P1106">
        <v>43730000</v>
      </c>
      <c r="Q1106">
        <v>43730000</v>
      </c>
      <c r="R1106">
        <v>1.3146733791242638E-7</v>
      </c>
      <c r="S1106">
        <v>0.19946177704798396</v>
      </c>
      <c r="U1106">
        <v>6.9464544138928982E-2</v>
      </c>
      <c r="V1106">
        <v>41.99</v>
      </c>
      <c r="W1106">
        <v>41</v>
      </c>
      <c r="X1106">
        <f t="shared" si="17"/>
        <v>2.3858296180262726E-2</v>
      </c>
      <c r="Y1106">
        <v>8877</v>
      </c>
      <c r="Z1106">
        <v>380860000</v>
      </c>
      <c r="AA1106">
        <v>368395.5</v>
      </c>
      <c r="AB1106">
        <v>179250000</v>
      </c>
      <c r="AC1106">
        <v>4.9523012552301253E-5</v>
      </c>
      <c r="AD1106">
        <v>78349.66</v>
      </c>
      <c r="AE1106">
        <v>0.17469999999999999</v>
      </c>
      <c r="AF1106">
        <v>41958240000</v>
      </c>
      <c r="AG1106">
        <v>16631849999.999998</v>
      </c>
      <c r="AH1106">
        <v>435200000</v>
      </c>
      <c r="AI1106">
        <v>292100000</v>
      </c>
      <c r="AJ1106">
        <v>8769580000</v>
      </c>
      <c r="AK1106">
        <v>1.5127914125574405E-8</v>
      </c>
      <c r="AL1106">
        <v>0.20900733681870354</v>
      </c>
    </row>
    <row r="1107" spans="2:38">
      <c r="B1107">
        <v>0.14332675871137418</v>
      </c>
      <c r="C1107">
        <v>8.15</v>
      </c>
      <c r="D1107">
        <v>8.14</v>
      </c>
      <c r="E1107">
        <v>1.2277470841006491E-3</v>
      </c>
      <c r="F1107">
        <v>60796</v>
      </c>
      <c r="G1107">
        <v>15000000</v>
      </c>
      <c r="H1107">
        <v>485760.04000000004</v>
      </c>
      <c r="I1107">
        <v>11880000</v>
      </c>
      <c r="J1107">
        <v>5.1175084175084174E-3</v>
      </c>
      <c r="K1107">
        <v>78987.09</v>
      </c>
      <c r="L1107">
        <v>0.19489999999999999</v>
      </c>
      <c r="M1107">
        <v>219240000</v>
      </c>
      <c r="N1107">
        <v>33140000</v>
      </c>
      <c r="O1107">
        <v>-10030000</v>
      </c>
      <c r="P1107">
        <v>43730000</v>
      </c>
      <c r="Q1107">
        <v>43730000</v>
      </c>
      <c r="R1107">
        <v>5.1401488302191961E-9</v>
      </c>
      <c r="S1107">
        <v>0.19946177704798396</v>
      </c>
      <c r="U1107">
        <v>3.9291310112088598E-2</v>
      </c>
      <c r="V1107">
        <v>41.85</v>
      </c>
      <c r="W1107">
        <v>40.81</v>
      </c>
      <c r="X1107">
        <f t="shared" si="17"/>
        <v>2.5163319622550185E-2</v>
      </c>
      <c r="Y1107">
        <v>13960</v>
      </c>
      <c r="Z1107">
        <v>380860000</v>
      </c>
      <c r="AA1107">
        <v>576129.20000000007</v>
      </c>
      <c r="AB1107">
        <v>179250000</v>
      </c>
      <c r="AC1107">
        <v>7.7880055788005583E-5</v>
      </c>
      <c r="AD1107">
        <v>77992.789999999994</v>
      </c>
      <c r="AE1107">
        <v>0.17469999999999999</v>
      </c>
      <c r="AF1107">
        <v>41958240000</v>
      </c>
      <c r="AG1107">
        <v>16631849999.999998</v>
      </c>
      <c r="AH1107">
        <v>435200000</v>
      </c>
      <c r="AI1107">
        <v>292100000</v>
      </c>
      <c r="AJ1107">
        <v>8769580000</v>
      </c>
      <c r="AK1107">
        <v>3.9859141233450971E-8</v>
      </c>
      <c r="AL1107">
        <v>0.20900733681870354</v>
      </c>
    </row>
    <row r="1108" spans="2:38">
      <c r="B1108">
        <v>7.2794571252313478E-2</v>
      </c>
      <c r="C1108">
        <v>8.08</v>
      </c>
      <c r="D1108">
        <v>7.86</v>
      </c>
      <c r="E1108">
        <v>2.7603513174403981E-2</v>
      </c>
      <c r="F1108">
        <v>60400</v>
      </c>
      <c r="G1108">
        <v>15000000</v>
      </c>
      <c r="H1108">
        <v>483804</v>
      </c>
      <c r="I1108">
        <v>11880000</v>
      </c>
      <c r="J1108">
        <v>5.0841750841750842E-3</v>
      </c>
      <c r="K1108">
        <v>78539.19</v>
      </c>
      <c r="L1108">
        <v>0.19489999999999999</v>
      </c>
      <c r="M1108">
        <v>219240000</v>
      </c>
      <c r="N1108">
        <v>33140000</v>
      </c>
      <c r="O1108">
        <v>-10030000</v>
      </c>
      <c r="P1108">
        <v>43730000</v>
      </c>
      <c r="Q1108">
        <v>43730000</v>
      </c>
      <c r="R1108">
        <v>0</v>
      </c>
      <c r="S1108">
        <v>0.19946177704798396</v>
      </c>
      <c r="U1108">
        <v>4.6728971962616828E-2</v>
      </c>
      <c r="V1108">
        <v>42.5</v>
      </c>
      <c r="W1108">
        <v>42.2</v>
      </c>
      <c r="X1108">
        <f t="shared" si="17"/>
        <v>7.0838252656433799E-3</v>
      </c>
      <c r="Y1108">
        <v>11189</v>
      </c>
      <c r="Z1108">
        <v>380860000</v>
      </c>
      <c r="AA1108">
        <v>472623.36000000004</v>
      </c>
      <c r="AB1108">
        <v>179250000</v>
      </c>
      <c r="AC1108">
        <v>6.2421199442119941E-5</v>
      </c>
      <c r="AD1108">
        <v>78084.240000000005</v>
      </c>
      <c r="AE1108">
        <v>0.17469999999999999</v>
      </c>
      <c r="AF1108">
        <v>41958240000</v>
      </c>
      <c r="AG1108">
        <v>16631849999.999998</v>
      </c>
      <c r="AH1108">
        <v>435200000</v>
      </c>
      <c r="AI1108">
        <v>292100000</v>
      </c>
      <c r="AJ1108">
        <v>8769580000</v>
      </c>
      <c r="AK1108">
        <v>7.5404480103448371E-9</v>
      </c>
      <c r="AL1108">
        <v>0.20900733681870354</v>
      </c>
    </row>
    <row r="1109" spans="2:38">
      <c r="B1109">
        <v>0</v>
      </c>
      <c r="C1109">
        <v>0</v>
      </c>
      <c r="D1109">
        <v>0</v>
      </c>
      <c r="E1109">
        <v>0</v>
      </c>
      <c r="F1109">
        <v>0</v>
      </c>
      <c r="G1109">
        <v>0</v>
      </c>
      <c r="H1109">
        <v>0</v>
      </c>
      <c r="I1109">
        <v>0</v>
      </c>
      <c r="J1109">
        <v>0</v>
      </c>
      <c r="K1109">
        <v>0</v>
      </c>
      <c r="L1109">
        <v>0</v>
      </c>
      <c r="M1109">
        <v>0</v>
      </c>
      <c r="N1109">
        <v>0</v>
      </c>
      <c r="O1109">
        <v>0</v>
      </c>
      <c r="P1109">
        <v>0</v>
      </c>
      <c r="Q1109">
        <v>0</v>
      </c>
      <c r="R1109">
        <v>0</v>
      </c>
      <c r="S1109">
        <v>0</v>
      </c>
      <c r="U1109">
        <v>5.6745801968731809E-2</v>
      </c>
      <c r="V1109">
        <v>42.38</v>
      </c>
      <c r="W1109">
        <v>42.12</v>
      </c>
      <c r="X1109">
        <f t="shared" si="17"/>
        <v>6.1538461538462753E-3</v>
      </c>
      <c r="Y1109">
        <v>66553</v>
      </c>
      <c r="Z1109">
        <v>380860000</v>
      </c>
      <c r="AA1109">
        <v>2801215.77</v>
      </c>
      <c r="AB1109">
        <v>179250000</v>
      </c>
      <c r="AC1109">
        <v>3.7128591352859138E-4</v>
      </c>
      <c r="AD1109">
        <v>78571.06</v>
      </c>
      <c r="AE1109">
        <v>0.17469999999999999</v>
      </c>
      <c r="AF1109">
        <v>41958240000</v>
      </c>
      <c r="AG1109">
        <v>16631849999.999998</v>
      </c>
      <c r="AH1109">
        <v>435200000</v>
      </c>
      <c r="AI1109">
        <v>292100000</v>
      </c>
      <c r="AJ1109">
        <v>8769580000</v>
      </c>
      <c r="AK1109">
        <v>5.075248976582621E-9</v>
      </c>
      <c r="AL1109">
        <v>0.20900733681870354</v>
      </c>
    </row>
    <row r="1110" spans="2:38">
      <c r="B1110" t="str">
        <v>Relative high-low price</v>
      </c>
      <c r="C1110" t="str">
        <v>Ask price</v>
      </c>
      <c r="D1110" t="str">
        <v xml:space="preserve">Bid price </v>
      </c>
      <c r="E1110" t="str">
        <v xml:space="preserve">Relative Bid-Ask Spread </v>
      </c>
      <c r="F1110" t="str">
        <v>daily trading volume</v>
      </c>
      <c r="G1110" t="str">
        <v xml:space="preserve">Common shares outstanding </v>
      </c>
      <c r="H1110" t="str">
        <v xml:space="preserve">Trading value </v>
      </c>
      <c r="I1110" t="str">
        <v xml:space="preserve">free float shares </v>
      </c>
      <c r="J1110" t="str">
        <v>Turnover</v>
      </c>
      <c r="K1110" t="str">
        <v>Daily kse-100 index</v>
      </c>
      <c r="L1110" t="str">
        <v xml:space="preserve">Risk free rate </v>
      </c>
      <c r="M1110" t="str">
        <v xml:space="preserve">Total assets </v>
      </c>
      <c r="N1110" t="str">
        <v xml:space="preserve">total liabilities </v>
      </c>
      <c r="O1110" t="str">
        <v>EBITDA</v>
      </c>
      <c r="P1110" t="str">
        <v xml:space="preserve">Cash and equivalents </v>
      </c>
      <c r="Q1110" t="str">
        <v xml:space="preserve">total debt </v>
      </c>
      <c r="R1110" t="str">
        <v>Amihud illiquidity ratio</v>
      </c>
      <c r="S1110" t="str">
        <v>Leverage ratio</v>
      </c>
      <c r="U1110">
        <v>4.4563496895166158E-2</v>
      </c>
      <c r="V1110">
        <v>41.8</v>
      </c>
      <c r="W1110">
        <v>41.35</v>
      </c>
      <c r="X1110">
        <f t="shared" ref="X1110:X1173" si="18">(V1110-W1110)/AVERAGE(V1110:W1110)</f>
        <v>1.0823812387251851E-2</v>
      </c>
      <c r="Y1110">
        <v>22843</v>
      </c>
      <c r="Z1110">
        <v>380860000</v>
      </c>
      <c r="AA1110">
        <v>947984.5</v>
      </c>
      <c r="AB1110">
        <v>179250000</v>
      </c>
      <c r="AC1110">
        <v>1.2743654114365412E-4</v>
      </c>
      <c r="AD1110">
        <v>78801.429999999993</v>
      </c>
      <c r="AE1110">
        <v>0.17469999999999999</v>
      </c>
      <c r="AF1110">
        <v>41958240000</v>
      </c>
      <c r="AG1110">
        <v>16631849999.999998</v>
      </c>
      <c r="AH1110">
        <v>435200000</v>
      </c>
      <c r="AI1110">
        <v>292100000</v>
      </c>
      <c r="AJ1110">
        <v>8769580000</v>
      </c>
      <c r="AK1110">
        <v>1.9678470095519525E-8</v>
      </c>
      <c r="AL1110">
        <v>0.20900733681870354</v>
      </c>
    </row>
    <row r="1111" spans="2:38">
      <c r="B1111">
        <v>8.9053360391548195E-2</v>
      </c>
      <c r="C1111">
        <v>42.5</v>
      </c>
      <c r="D1111">
        <v>42.01</v>
      </c>
      <c r="E1111">
        <v>1.1596260797538801E-2</v>
      </c>
      <c r="F1111">
        <v>84438</v>
      </c>
      <c r="G1111">
        <v>380860000</v>
      </c>
      <c r="H1111">
        <v>3582704.34</v>
      </c>
      <c r="I1111">
        <v>179250000</v>
      </c>
      <c r="J1111">
        <v>4.7106276150627612E-4</v>
      </c>
      <c r="K1111">
        <v>82074.45</v>
      </c>
      <c r="L1111">
        <v>0.1741</v>
      </c>
      <c r="M1111">
        <v>41958240000</v>
      </c>
      <c r="N1111">
        <v>16631849999.999998</v>
      </c>
      <c r="O1111">
        <v>435200000</v>
      </c>
      <c r="P1111">
        <v>292100000</v>
      </c>
      <c r="Q1111">
        <v>8769580000</v>
      </c>
      <c r="R1111">
        <v>6.944259054639191E-9</v>
      </c>
      <c r="S1111">
        <v>0.20900733681870354</v>
      </c>
      <c r="U1111">
        <v>4.0816326530612242E-2</v>
      </c>
      <c r="V1111">
        <v>41.49</v>
      </c>
      <c r="W1111">
        <v>40.950000000000003</v>
      </c>
      <c r="X1111">
        <f t="shared" si="18"/>
        <v>1.3100436681222688E-2</v>
      </c>
      <c r="Y1111">
        <v>27212</v>
      </c>
      <c r="Z1111">
        <v>380860000</v>
      </c>
      <c r="AA1111">
        <v>1108616.8800000001</v>
      </c>
      <c r="AB1111">
        <v>179250000</v>
      </c>
      <c r="AC1111">
        <v>1.5181032078103208E-4</v>
      </c>
      <c r="AD1111">
        <v>78793.41</v>
      </c>
      <c r="AE1111">
        <v>0.17469999999999999</v>
      </c>
      <c r="AF1111">
        <v>41958240000</v>
      </c>
      <c r="AG1111">
        <v>16631849999.999998</v>
      </c>
      <c r="AH1111">
        <v>435200000</v>
      </c>
      <c r="AI1111">
        <v>292100000</v>
      </c>
      <c r="AJ1111">
        <v>8769580000</v>
      </c>
      <c r="AK1111">
        <v>2.0343171312171373E-8</v>
      </c>
      <c r="AL1111">
        <v>0.20900733681870354</v>
      </c>
    </row>
    <row r="1112" spans="2:38">
      <c r="B1112">
        <v>0.11354141066601124</v>
      </c>
      <c r="C1112">
        <v>43</v>
      </c>
      <c r="D1112">
        <v>42</v>
      </c>
      <c r="E1112">
        <v>2.3529411764705882E-2</v>
      </c>
      <c r="F1112">
        <v>27522</v>
      </c>
      <c r="G1112">
        <v>380860000</v>
      </c>
      <c r="H1112">
        <v>1139410.8</v>
      </c>
      <c r="I1112">
        <v>179250000</v>
      </c>
      <c r="J1112">
        <v>1.5353974895397488E-4</v>
      </c>
      <c r="K1112">
        <v>81459.289999999994</v>
      </c>
      <c r="L1112">
        <v>0.1741</v>
      </c>
      <c r="M1112">
        <v>41958240000</v>
      </c>
      <c r="N1112">
        <v>16631849999.999998</v>
      </c>
      <c r="O1112">
        <v>435200000</v>
      </c>
      <c r="P1112">
        <v>292100000</v>
      </c>
      <c r="Q1112">
        <v>8769580000</v>
      </c>
      <c r="R1112">
        <v>7.5659188548786793E-9</v>
      </c>
      <c r="S1112">
        <v>0.20900733681870354</v>
      </c>
      <c r="U1112">
        <v>7.762450315641807E-2</v>
      </c>
      <c r="V1112">
        <v>41.51</v>
      </c>
      <c r="W1112">
        <v>41.5</v>
      </c>
      <c r="X1112">
        <f t="shared" si="18"/>
        <v>2.4093482712921364E-4</v>
      </c>
      <c r="Y1112">
        <v>13615</v>
      </c>
      <c r="Z1112">
        <v>380860000</v>
      </c>
      <c r="AA1112">
        <v>567473.19999999995</v>
      </c>
      <c r="AB1112">
        <v>179250000</v>
      </c>
      <c r="AC1112">
        <v>7.5955369595536956E-5</v>
      </c>
      <c r="AD1112">
        <v>78260.86</v>
      </c>
      <c r="AE1112">
        <v>0.17469999999999999</v>
      </c>
      <c r="AF1112">
        <v>41958240000</v>
      </c>
      <c r="AG1112">
        <v>16631849999.999998</v>
      </c>
      <c r="AH1112">
        <v>435200000</v>
      </c>
      <c r="AI1112">
        <v>292100000</v>
      </c>
      <c r="AJ1112">
        <v>8769580000</v>
      </c>
      <c r="AK1112">
        <v>6.3647884299966939E-9</v>
      </c>
      <c r="AL1112">
        <v>0.20900733681870354</v>
      </c>
    </row>
    <row r="1113" spans="2:38">
      <c r="B1113">
        <v>5.3291154641683852E-2</v>
      </c>
      <c r="C1113">
        <v>41.75</v>
      </c>
      <c r="D1113">
        <v>41.04</v>
      </c>
      <c r="E1113">
        <v>1.7151829931151129E-2</v>
      </c>
      <c r="F1113">
        <v>3146</v>
      </c>
      <c r="G1113">
        <v>380860000</v>
      </c>
      <c r="H1113">
        <v>131376.95999999999</v>
      </c>
      <c r="I1113">
        <v>179250000</v>
      </c>
      <c r="J1113">
        <v>1.7550906555090656E-5</v>
      </c>
      <c r="K1113">
        <v>80461.34</v>
      </c>
      <c r="L1113">
        <v>0.1741</v>
      </c>
      <c r="M1113">
        <v>41958240000</v>
      </c>
      <c r="N1113">
        <v>16631849999.999998</v>
      </c>
      <c r="O1113">
        <v>435200000</v>
      </c>
      <c r="P1113">
        <v>292100000</v>
      </c>
      <c r="Q1113">
        <v>8769580000</v>
      </c>
      <c r="R1113">
        <v>1.4109464373245971E-7</v>
      </c>
      <c r="S1113">
        <v>0.20900733681870354</v>
      </c>
      <c r="U1113">
        <v>4.8206937095825922E-2</v>
      </c>
      <c r="V1113">
        <v>41.98</v>
      </c>
      <c r="W1113">
        <v>41.6</v>
      </c>
      <c r="X1113">
        <f t="shared" si="18"/>
        <v>9.0930844699687839E-3</v>
      </c>
      <c r="Y1113">
        <v>31771</v>
      </c>
      <c r="Z1113">
        <v>380860000</v>
      </c>
      <c r="AA1113">
        <v>1319449.6300000001</v>
      </c>
      <c r="AB1113">
        <v>179250000</v>
      </c>
      <c r="AC1113">
        <v>1.7724407252440726E-4</v>
      </c>
      <c r="AD1113">
        <v>77745.52</v>
      </c>
      <c r="AE1113">
        <v>0.189</v>
      </c>
      <c r="AF1113">
        <v>41958240000</v>
      </c>
      <c r="AG1113">
        <v>16631849999.999998</v>
      </c>
      <c r="AH1113">
        <v>435200000</v>
      </c>
      <c r="AI1113">
        <v>292100000</v>
      </c>
      <c r="AJ1113">
        <v>8769580000</v>
      </c>
      <c r="AK1113">
        <v>2.1800908855114355E-8</v>
      </c>
      <c r="AL1113">
        <v>0.20900733681870354</v>
      </c>
    </row>
    <row r="1114" spans="2:38">
      <c r="B1114">
        <v>4.878048780487805E-2</v>
      </c>
      <c r="C1114">
        <v>41</v>
      </c>
      <c r="D1114">
        <v>40.9</v>
      </c>
      <c r="E1114">
        <v>2.4420024420024767E-3</v>
      </c>
      <c r="F1114">
        <v>4985</v>
      </c>
      <c r="G1114">
        <v>380860000</v>
      </c>
      <c r="H1114">
        <v>204385</v>
      </c>
      <c r="I1114">
        <v>179250000</v>
      </c>
      <c r="J1114">
        <v>2.7810320781032077E-5</v>
      </c>
      <c r="K1114">
        <v>79491.14</v>
      </c>
      <c r="L1114">
        <v>0.1741</v>
      </c>
      <c r="M1114">
        <v>41958240000</v>
      </c>
      <c r="N1114">
        <v>16631849999.999998</v>
      </c>
      <c r="O1114">
        <v>435200000</v>
      </c>
      <c r="P1114">
        <v>292100000</v>
      </c>
      <c r="Q1114">
        <v>8769580000</v>
      </c>
      <c r="R1114">
        <v>1.5596650290087603E-7</v>
      </c>
      <c r="S1114">
        <v>0.20900733681870354</v>
      </c>
      <c r="U1114">
        <v>7.8463140840180551E-2</v>
      </c>
      <c r="V1114">
        <v>42.87</v>
      </c>
      <c r="W1114">
        <v>41.9</v>
      </c>
      <c r="X1114">
        <f t="shared" si="18"/>
        <v>2.2885454759938632E-2</v>
      </c>
      <c r="Y1114">
        <v>52597</v>
      </c>
      <c r="Z1114">
        <v>380860000</v>
      </c>
      <c r="AA1114">
        <v>2249047.7199999997</v>
      </c>
      <c r="AB1114">
        <v>179250000</v>
      </c>
      <c r="AC1114">
        <v>2.9342817294281728E-4</v>
      </c>
      <c r="AD1114">
        <v>77830.34</v>
      </c>
      <c r="AE1114">
        <v>0.189</v>
      </c>
      <c r="AF1114">
        <v>41958240000</v>
      </c>
      <c r="AG1114">
        <v>16631849999.999998</v>
      </c>
      <c r="AH1114">
        <v>435200000</v>
      </c>
      <c r="AI1114">
        <v>292100000</v>
      </c>
      <c r="AJ1114">
        <v>8769580000</v>
      </c>
      <c r="AK1114">
        <v>6.9601792719114056E-9</v>
      </c>
      <c r="AL1114">
        <v>0.20900733681870354</v>
      </c>
    </row>
    <row r="1115" spans="2:38">
      <c r="B1115">
        <v>6.6579167163822908E-2</v>
      </c>
      <c r="C1115">
        <v>42.99</v>
      </c>
      <c r="D1115">
        <v>41.25</v>
      </c>
      <c r="E1115">
        <v>4.1310541310541356E-2</v>
      </c>
      <c r="F1115">
        <v>18881</v>
      </c>
      <c r="G1115">
        <v>380860000</v>
      </c>
      <c r="H1115">
        <v>799610.35</v>
      </c>
      <c r="I1115">
        <v>179250000</v>
      </c>
      <c r="J1115">
        <v>1.0533333333333334E-4</v>
      </c>
      <c r="K1115">
        <v>79333.06</v>
      </c>
      <c r="L1115">
        <v>0.1741</v>
      </c>
      <c r="M1115">
        <v>41958240000</v>
      </c>
      <c r="N1115">
        <v>16631849999.999998</v>
      </c>
      <c r="O1115">
        <v>435200000</v>
      </c>
      <c r="P1115">
        <v>292100000</v>
      </c>
      <c r="Q1115">
        <v>8769580000</v>
      </c>
      <c r="R1115">
        <v>3.8035557323809345E-8</v>
      </c>
      <c r="S1115">
        <v>0.20900733681870354</v>
      </c>
      <c r="U1115">
        <v>0.12178141231075251</v>
      </c>
      <c r="V1115">
        <f>TREND(V1112:V1114)</f>
        <v>41.44</v>
      </c>
      <c r="W1115">
        <v>41.9</v>
      </c>
      <c r="X1115">
        <f t="shared" si="18"/>
        <v>-1.1039116870650368E-2</v>
      </c>
      <c r="Y1115">
        <v>246885</v>
      </c>
      <c r="Z1115">
        <v>380860000</v>
      </c>
      <c r="AA1115">
        <v>10724684.399999999</v>
      </c>
      <c r="AB1115">
        <v>179250000</v>
      </c>
      <c r="AC1115">
        <v>1.3773221757322177E-3</v>
      </c>
      <c r="AD1115">
        <v>78045.31</v>
      </c>
      <c r="AE1115">
        <v>0.189</v>
      </c>
      <c r="AF1115">
        <v>41958240000</v>
      </c>
      <c r="AG1115">
        <v>16631849999.999998</v>
      </c>
      <c r="AH1115">
        <v>435200000</v>
      </c>
      <c r="AI1115">
        <v>292100000</v>
      </c>
      <c r="AJ1115">
        <v>8769580000</v>
      </c>
      <c r="AK1115">
        <v>7.4459965199314238E-9</v>
      </c>
      <c r="AL1115">
        <v>0.20900733681870354</v>
      </c>
    </row>
    <row r="1116" spans="2:38">
      <c r="B1116">
        <v>6.9730968753770065E-2</v>
      </c>
      <c r="C1116">
        <v>41.65</v>
      </c>
      <c r="D1116">
        <v>41.11</v>
      </c>
      <c r="E1116">
        <v>1.3049782503624921E-2</v>
      </c>
      <c r="F1116">
        <v>10106</v>
      </c>
      <c r="G1116">
        <v>380860000</v>
      </c>
      <c r="H1116">
        <v>415356.60000000003</v>
      </c>
      <c r="I1116">
        <v>179250000</v>
      </c>
      <c r="J1116">
        <v>5.6379358437935844E-5</v>
      </c>
      <c r="K1116">
        <v>79017.62</v>
      </c>
      <c r="L1116">
        <v>0.1741</v>
      </c>
      <c r="M1116">
        <v>41958240000</v>
      </c>
      <c r="N1116">
        <v>16631849999.999998</v>
      </c>
      <c r="O1116">
        <v>435200000</v>
      </c>
      <c r="P1116">
        <v>292100000</v>
      </c>
      <c r="Q1116">
        <v>8769580000</v>
      </c>
      <c r="R1116">
        <v>1.5327329676778476E-8</v>
      </c>
      <c r="S1116">
        <v>0.20900733681870354</v>
      </c>
      <c r="U1116">
        <v>6.925268463730011E-2</v>
      </c>
      <c r="V1116">
        <f t="shared" ref="V1116:V1117" si="19">TREND(V1113:V1115)</f>
        <v>42.366666666666667</v>
      </c>
      <c r="W1116">
        <v>47.21</v>
      </c>
      <c r="X1116">
        <f t="shared" si="18"/>
        <v>-0.10813828005805085</v>
      </c>
      <c r="Y1116">
        <v>85092</v>
      </c>
      <c r="Z1116">
        <v>380860000</v>
      </c>
      <c r="AA1116">
        <v>4017193.3200000003</v>
      </c>
      <c r="AB1116">
        <v>179250000</v>
      </c>
      <c r="AC1116">
        <v>4.7471129707112969E-4</v>
      </c>
      <c r="AD1116">
        <v>78105.98</v>
      </c>
      <c r="AE1116">
        <v>0.189</v>
      </c>
      <c r="AF1116">
        <v>41958240000</v>
      </c>
      <c r="AG1116">
        <v>16631849999.999998</v>
      </c>
      <c r="AH1116">
        <v>435200000</v>
      </c>
      <c r="AI1116">
        <v>292100000</v>
      </c>
      <c r="AJ1116">
        <v>8769580000</v>
      </c>
      <c r="AK1116">
        <v>2.4881401942971365E-8</v>
      </c>
      <c r="AL1116">
        <v>0.20900733681870354</v>
      </c>
    </row>
    <row r="1117" spans="2:38">
      <c r="B1117">
        <v>2.3403217942467112E-2</v>
      </c>
      <c r="C1117">
        <v>41.2</v>
      </c>
      <c r="D1117">
        <v>40.54</v>
      </c>
      <c r="E1117">
        <v>1.6148764374847163E-2</v>
      </c>
      <c r="F1117">
        <v>6326</v>
      </c>
      <c r="G1117">
        <v>380860000</v>
      </c>
      <c r="H1117">
        <v>258353.84000000003</v>
      </c>
      <c r="I1117">
        <v>179250000</v>
      </c>
      <c r="J1117">
        <v>3.5291492329149235E-5</v>
      </c>
      <c r="K1117">
        <v>78651.8</v>
      </c>
      <c r="L1117">
        <v>0.1741</v>
      </c>
      <c r="M1117">
        <v>41958240000</v>
      </c>
      <c r="N1117">
        <v>16631849999.999998</v>
      </c>
      <c r="O1117">
        <v>435200000</v>
      </c>
      <c r="P1117">
        <v>292100000</v>
      </c>
      <c r="Q1117">
        <v>8769580000</v>
      </c>
      <c r="R1117">
        <v>3.4752350885010257E-8</v>
      </c>
      <c r="S1117">
        <v>0.20900733681870354</v>
      </c>
      <c r="U1117">
        <v>8.5773296075810981E-2</v>
      </c>
      <c r="V1117">
        <f t="shared" si="19"/>
        <v>42.477222222222224</v>
      </c>
      <c r="W1117">
        <v>42.92</v>
      </c>
      <c r="X1117">
        <f t="shared" si="18"/>
        <v>-1.036984028884624E-2</v>
      </c>
      <c r="Y1117">
        <v>125818</v>
      </c>
      <c r="Z1117">
        <v>380860000</v>
      </c>
      <c r="AA1117">
        <v>5400108.5600000005</v>
      </c>
      <c r="AB1117">
        <v>179250000</v>
      </c>
      <c r="AC1117">
        <v>7.0191352859135284E-4</v>
      </c>
      <c r="AD1117">
        <v>77877.42</v>
      </c>
      <c r="AE1117">
        <v>0.189</v>
      </c>
      <c r="AF1117">
        <v>41958240000</v>
      </c>
      <c r="AG1117">
        <v>16631849999.999998</v>
      </c>
      <c r="AH1117">
        <v>435200000</v>
      </c>
      <c r="AI1117">
        <v>292100000</v>
      </c>
      <c r="AJ1117">
        <v>8769580000</v>
      </c>
      <c r="AK1117">
        <v>1.8508654617440921E-8</v>
      </c>
      <c r="AL1117">
        <v>0.20900733681870354</v>
      </c>
    </row>
    <row r="1118" spans="2:38">
      <c r="B1118">
        <v>3.6125590980724979E-2</v>
      </c>
      <c r="C1118">
        <v>41.25</v>
      </c>
      <c r="D1118">
        <v>41.2</v>
      </c>
      <c r="E1118">
        <v>1.2128562765311621E-3</v>
      </c>
      <c r="F1118">
        <v>6669</v>
      </c>
      <c r="G1118">
        <v>380860000</v>
      </c>
      <c r="H1118">
        <v>274829.49</v>
      </c>
      <c r="I1118">
        <v>179250000</v>
      </c>
      <c r="J1118">
        <v>3.7205020920502093E-5</v>
      </c>
      <c r="K1118">
        <v>79286.740000000005</v>
      </c>
      <c r="L1118">
        <v>0.1741</v>
      </c>
      <c r="M1118">
        <v>41958240000</v>
      </c>
      <c r="N1118">
        <v>16631849999.999998</v>
      </c>
      <c r="O1118">
        <v>435200000</v>
      </c>
      <c r="P1118">
        <v>292100000</v>
      </c>
      <c r="Q1118">
        <v>8769580000</v>
      </c>
      <c r="R1118">
        <v>1.8636832675824622E-8</v>
      </c>
      <c r="S1118">
        <v>0.20900733681870354</v>
      </c>
      <c r="U1118">
        <v>3.3548387096774122E-2</v>
      </c>
      <c r="V1118">
        <v>38.96</v>
      </c>
      <c r="W1118">
        <v>38.4</v>
      </c>
      <c r="X1118">
        <f t="shared" si="18"/>
        <v>1.4477766287487133E-2</v>
      </c>
      <c r="Y1118">
        <v>21022</v>
      </c>
      <c r="Z1118">
        <v>380860000</v>
      </c>
      <c r="AA1118">
        <v>820278.44000000006</v>
      </c>
      <c r="AB1118">
        <v>179250000</v>
      </c>
      <c r="AC1118">
        <v>1.1727754532775453E-4</v>
      </c>
      <c r="AD1118">
        <v>77980.289999999994</v>
      </c>
      <c r="AE1118">
        <v>0.189</v>
      </c>
      <c r="AF1118">
        <v>41958240000</v>
      </c>
      <c r="AG1118">
        <v>16631849999.999998</v>
      </c>
      <c r="AH1118">
        <v>435200000</v>
      </c>
      <c r="AI1118">
        <v>292100000</v>
      </c>
      <c r="AJ1118">
        <v>8769580000</v>
      </c>
      <c r="AK1118">
        <v>8.4167878276077866E-8</v>
      </c>
      <c r="AL1118">
        <v>0.20900733681870354</v>
      </c>
    </row>
    <row r="1119" spans="2:38">
      <c r="B1119">
        <v>1.6928657799274553E-2</v>
      </c>
      <c r="C1119">
        <v>41.5</v>
      </c>
      <c r="D1119">
        <v>41.05</v>
      </c>
      <c r="E1119">
        <v>1.0902483343428294E-2</v>
      </c>
      <c r="F1119">
        <v>3125</v>
      </c>
      <c r="G1119">
        <v>380860000</v>
      </c>
      <c r="H1119">
        <v>128125</v>
      </c>
      <c r="I1119">
        <v>179250000</v>
      </c>
      <c r="J1119">
        <v>1.7433751743375174E-5</v>
      </c>
      <c r="K1119">
        <v>78615</v>
      </c>
      <c r="L1119">
        <v>0.1741</v>
      </c>
      <c r="M1119">
        <v>41958240000</v>
      </c>
      <c r="N1119">
        <v>16631849999.999998</v>
      </c>
      <c r="O1119">
        <v>435200000</v>
      </c>
      <c r="P1119">
        <v>292100000</v>
      </c>
      <c r="Q1119">
        <v>8769580000</v>
      </c>
      <c r="R1119">
        <v>1.1405082389840404E-8</v>
      </c>
      <c r="S1119">
        <v>0.20900733681870354</v>
      </c>
      <c r="U1119">
        <v>1.3605442176870748E-2</v>
      </c>
      <c r="V1119">
        <v>38.5</v>
      </c>
      <c r="W1119">
        <v>36.5</v>
      </c>
      <c r="X1119">
        <f t="shared" si="18"/>
        <v>5.3333333333333337E-2</v>
      </c>
      <c r="Y1119">
        <v>1062</v>
      </c>
      <c r="Z1119">
        <v>380860000</v>
      </c>
      <c r="AA1119">
        <v>38763</v>
      </c>
      <c r="AB1119">
        <v>179250000</v>
      </c>
      <c r="AC1119">
        <v>5.9246861924686194E-6</v>
      </c>
      <c r="AD1119">
        <v>78569.59</v>
      </c>
      <c r="AE1119">
        <v>0.189</v>
      </c>
      <c r="AF1119">
        <v>41958240000</v>
      </c>
      <c r="AG1119">
        <v>16631849999.999998</v>
      </c>
      <c r="AH1119">
        <v>435200000</v>
      </c>
      <c r="AI1119">
        <v>292100000</v>
      </c>
      <c r="AJ1119">
        <v>8769580000</v>
      </c>
      <c r="AK1119">
        <v>1.2659769455470381E-7</v>
      </c>
      <c r="AL1119">
        <v>0.20900733681870354</v>
      </c>
    </row>
    <row r="1120" spans="2:38">
      <c r="B1120">
        <v>3.6231003039513557E-2</v>
      </c>
      <c r="C1120">
        <v>41</v>
      </c>
      <c r="D1120">
        <v>40.549999999999997</v>
      </c>
      <c r="E1120">
        <v>1.1036174126302952E-2</v>
      </c>
      <c r="F1120">
        <v>2417</v>
      </c>
      <c r="G1120">
        <v>380860000</v>
      </c>
      <c r="H1120">
        <v>99242.02</v>
      </c>
      <c r="I1120">
        <v>179250000</v>
      </c>
      <c r="J1120">
        <v>1.3483960948396095E-5</v>
      </c>
      <c r="K1120">
        <v>78897.73</v>
      </c>
      <c r="L1120">
        <v>0.1741</v>
      </c>
      <c r="M1120">
        <v>41958240000</v>
      </c>
      <c r="N1120">
        <v>16631849999.999998</v>
      </c>
      <c r="O1120">
        <v>435200000</v>
      </c>
      <c r="P1120">
        <v>292100000</v>
      </c>
      <c r="Q1120">
        <v>8769580000</v>
      </c>
      <c r="R1120">
        <v>1.1643382095474317E-7</v>
      </c>
      <c r="S1120">
        <v>0.20900733681870354</v>
      </c>
      <c r="U1120">
        <v>5.1420838971583178E-2</v>
      </c>
      <c r="V1120">
        <v>37.700000000000003</v>
      </c>
      <c r="W1120">
        <v>36</v>
      </c>
      <c r="X1120">
        <f t="shared" si="18"/>
        <v>4.6132971506105909E-2</v>
      </c>
      <c r="Y1120">
        <v>13067</v>
      </c>
      <c r="Z1120">
        <v>380860000</v>
      </c>
      <c r="AA1120">
        <v>479297.56</v>
      </c>
      <c r="AB1120">
        <v>179250000</v>
      </c>
      <c r="AC1120">
        <v>7.289818688981869E-5</v>
      </c>
      <c r="AD1120">
        <v>77874.22</v>
      </c>
      <c r="AE1120">
        <v>0.189</v>
      </c>
      <c r="AF1120">
        <v>41958240000</v>
      </c>
      <c r="AG1120">
        <v>16631849999.999998</v>
      </c>
      <c r="AH1120">
        <v>435200000</v>
      </c>
      <c r="AI1120">
        <v>292100000</v>
      </c>
      <c r="AJ1120">
        <v>8769580000</v>
      </c>
      <c r="AK1120">
        <v>3.7426479592466411E-8</v>
      </c>
      <c r="AL1120">
        <v>0.20900733681870354</v>
      </c>
    </row>
    <row r="1121" spans="2:38">
      <c r="B1121">
        <v>9.8309555209206718E-3</v>
      </c>
      <c r="C1121">
        <v>41.87</v>
      </c>
      <c r="D1121">
        <v>41.54</v>
      </c>
      <c r="E1121">
        <v>7.9127202973264185E-3</v>
      </c>
      <c r="F1121">
        <v>1469</v>
      </c>
      <c r="G1121">
        <v>380860000</v>
      </c>
      <c r="H1121">
        <v>61022.26</v>
      </c>
      <c r="I1121">
        <v>179250000</v>
      </c>
      <c r="J1121">
        <v>8.1952580195258012E-6</v>
      </c>
      <c r="K1121">
        <v>78863.34</v>
      </c>
      <c r="L1121">
        <v>0.1741</v>
      </c>
      <c r="M1121">
        <v>41958240000</v>
      </c>
      <c r="N1121">
        <v>16631849999.999998</v>
      </c>
      <c r="O1121">
        <v>435200000</v>
      </c>
      <c r="P1121">
        <v>292100000</v>
      </c>
      <c r="Q1121">
        <v>8769580000</v>
      </c>
      <c r="R1121">
        <v>1.7562177051824051E-7</v>
      </c>
      <c r="S1121">
        <v>0.20900733681870354</v>
      </c>
      <c r="U1121">
        <v>2.6666666666666668E-2</v>
      </c>
      <c r="V1121">
        <v>37.5</v>
      </c>
      <c r="W1121">
        <v>37.03</v>
      </c>
      <c r="X1121">
        <f t="shared" si="18"/>
        <v>1.2612370857372839E-2</v>
      </c>
      <c r="Y1121">
        <v>5903</v>
      </c>
      <c r="Z1121">
        <v>380860000</v>
      </c>
      <c r="AA1121">
        <v>220477.05000000002</v>
      </c>
      <c r="AB1121">
        <v>179250000</v>
      </c>
      <c r="AC1121">
        <v>3.2931659693165966E-5</v>
      </c>
      <c r="AD1121">
        <v>77114.490000000005</v>
      </c>
      <c r="AE1121">
        <v>0.189</v>
      </c>
      <c r="AF1121">
        <v>41958240000</v>
      </c>
      <c r="AG1121">
        <v>16631849999.999998</v>
      </c>
      <c r="AH1121">
        <v>435200000</v>
      </c>
      <c r="AI1121">
        <v>292100000</v>
      </c>
      <c r="AJ1121">
        <v>8769580000</v>
      </c>
      <c r="AK1121">
        <v>2.9333028080643503E-8</v>
      </c>
      <c r="AL1121">
        <v>0.20900733681870354</v>
      </c>
    </row>
    <row r="1122" spans="2:38">
      <c r="B1122">
        <v>4.3795620437956137E-2</v>
      </c>
      <c r="C1122">
        <v>41.9</v>
      </c>
      <c r="D1122">
        <v>41.11</v>
      </c>
      <c r="E1122">
        <v>1.9033851343211644E-2</v>
      </c>
      <c r="F1122">
        <v>3616</v>
      </c>
      <c r="G1122">
        <v>380860000</v>
      </c>
      <c r="H1122">
        <v>151835.84</v>
      </c>
      <c r="I1122">
        <v>179250000</v>
      </c>
      <c r="J1122">
        <v>2.0172942817294281E-5</v>
      </c>
      <c r="K1122">
        <v>78848.009999999995</v>
      </c>
      <c r="L1122">
        <v>0.1741</v>
      </c>
      <c r="M1122">
        <v>41958240000</v>
      </c>
      <c r="N1122">
        <v>16631849999.999998</v>
      </c>
      <c r="O1122">
        <v>435200000</v>
      </c>
      <c r="P1122">
        <v>292100000</v>
      </c>
      <c r="Q1122">
        <v>8769580000</v>
      </c>
      <c r="R1122">
        <v>6.9744080336132338E-8</v>
      </c>
      <c r="S1122">
        <v>0.20900733681870354</v>
      </c>
      <c r="U1122">
        <v>7.8817733990147659E-2</v>
      </c>
      <c r="V1122">
        <v>37.979999999999997</v>
      </c>
      <c r="W1122">
        <v>37.25</v>
      </c>
      <c r="X1122">
        <f t="shared" si="18"/>
        <v>1.9407151402365996E-2</v>
      </c>
      <c r="Y1122">
        <v>2407</v>
      </c>
      <c r="Z1122">
        <v>380860000</v>
      </c>
      <c r="AA1122">
        <v>89323.77</v>
      </c>
      <c r="AB1122">
        <v>179250000</v>
      </c>
      <c r="AC1122">
        <v>1.3428172942817294E-5</v>
      </c>
      <c r="AD1122">
        <v>77191.34</v>
      </c>
      <c r="AE1122">
        <v>0.19489999999999999</v>
      </c>
      <c r="AF1122">
        <v>41958240000</v>
      </c>
      <c r="AG1122">
        <v>16631849999.999998</v>
      </c>
      <c r="AH1122">
        <v>435200000</v>
      </c>
      <c r="AI1122">
        <v>292100000</v>
      </c>
      <c r="AJ1122">
        <v>8769580000</v>
      </c>
      <c r="AK1122">
        <v>2.6220403182242491E-7</v>
      </c>
      <c r="AL1122">
        <v>0.20900733681870354</v>
      </c>
    </row>
    <row r="1123" spans="2:38">
      <c r="B1123">
        <v>3.365210022999638E-2</v>
      </c>
      <c r="C1123">
        <v>42</v>
      </c>
      <c r="D1123">
        <v>40.770000000000003</v>
      </c>
      <c r="E1123">
        <v>2.9720913374410938E-2</v>
      </c>
      <c r="F1123">
        <v>3404</v>
      </c>
      <c r="G1123">
        <v>380860000</v>
      </c>
      <c r="H1123">
        <v>141436.19999999998</v>
      </c>
      <c r="I1123">
        <v>179250000</v>
      </c>
      <c r="J1123">
        <v>1.8990237099023709E-5</v>
      </c>
      <c r="K1123">
        <v>78356.320000000007</v>
      </c>
      <c r="L1123">
        <v>0.17469999999999999</v>
      </c>
      <c r="M1123">
        <v>41958240000</v>
      </c>
      <c r="N1123">
        <v>16631849999.999998</v>
      </c>
      <c r="O1123">
        <v>435200000</v>
      </c>
      <c r="P1123">
        <v>292100000</v>
      </c>
      <c r="Q1123">
        <v>8769580000</v>
      </c>
      <c r="R1123">
        <v>8.2633463276829526E-8</v>
      </c>
      <c r="S1123">
        <v>0.20900733681870354</v>
      </c>
      <c r="U1123">
        <v>7.816459917300253E-2</v>
      </c>
      <c r="V1123">
        <v>38</v>
      </c>
      <c r="W1123">
        <v>36.409999999999997</v>
      </c>
      <c r="X1123">
        <f t="shared" si="18"/>
        <v>4.2736191372127495E-2</v>
      </c>
      <c r="Y1123">
        <v>1639</v>
      </c>
      <c r="Z1123">
        <v>380860000</v>
      </c>
      <c r="AA1123">
        <v>62282</v>
      </c>
      <c r="AB1123">
        <v>179250000</v>
      </c>
      <c r="AC1123">
        <v>9.1436541143654121E-6</v>
      </c>
      <c r="AD1123">
        <v>77084.490000000005</v>
      </c>
      <c r="AE1123">
        <v>0.19489999999999999</v>
      </c>
      <c r="AF1123">
        <v>41958240000</v>
      </c>
      <c r="AG1123">
        <v>16631849999.999998</v>
      </c>
      <c r="AH1123">
        <v>435200000</v>
      </c>
      <c r="AI1123">
        <v>292100000</v>
      </c>
      <c r="AJ1123">
        <v>8769580000</v>
      </c>
      <c r="AK1123">
        <v>3.7937524299512662E-8</v>
      </c>
      <c r="AL1123">
        <v>0.20900733681870354</v>
      </c>
    </row>
    <row r="1124" spans="2:38">
      <c r="B1124">
        <v>5.8788242351529595E-2</v>
      </c>
      <c r="C1124">
        <v>41</v>
      </c>
      <c r="D1124">
        <v>40.520000000000003</v>
      </c>
      <c r="E1124">
        <v>1.1776251226692758E-2</v>
      </c>
      <c r="F1124">
        <v>12070</v>
      </c>
      <c r="G1124">
        <v>380860000</v>
      </c>
      <c r="H1124">
        <v>495714.9</v>
      </c>
      <c r="I1124">
        <v>179250000</v>
      </c>
      <c r="J1124">
        <v>6.7336122733612275E-5</v>
      </c>
      <c r="K1124">
        <v>78283.3</v>
      </c>
      <c r="L1124">
        <v>0.17469999999999999</v>
      </c>
      <c r="M1124">
        <v>41958240000</v>
      </c>
      <c r="N1124">
        <v>16631849999.999998</v>
      </c>
      <c r="O1124">
        <v>435200000</v>
      </c>
      <c r="P1124">
        <v>292100000</v>
      </c>
      <c r="Q1124">
        <v>8769580000</v>
      </c>
      <c r="R1124">
        <v>2.5701032217076072E-8</v>
      </c>
      <c r="S1124">
        <v>0.20900733681870354</v>
      </c>
      <c r="U1124">
        <v>9.4105207507269431E-2</v>
      </c>
      <c r="V1124">
        <v>39</v>
      </c>
      <c r="W1124">
        <v>37.76</v>
      </c>
      <c r="X1124">
        <f t="shared" si="18"/>
        <v>3.2308494007295525E-2</v>
      </c>
      <c r="Y1124">
        <v>14371</v>
      </c>
      <c r="Z1124">
        <v>380860000</v>
      </c>
      <c r="AA1124">
        <v>547391.39</v>
      </c>
      <c r="AB1124">
        <v>179250000</v>
      </c>
      <c r="AC1124">
        <v>8.0172942817294279E-5</v>
      </c>
      <c r="AD1124">
        <v>78225.98</v>
      </c>
      <c r="AE1124">
        <v>0.19489999999999999</v>
      </c>
      <c r="AF1124">
        <v>41958240000</v>
      </c>
      <c r="AG1124">
        <v>16631849999.999998</v>
      </c>
      <c r="AH1124">
        <v>435200000</v>
      </c>
      <c r="AI1124">
        <v>292100000</v>
      </c>
      <c r="AJ1124">
        <v>8769580000</v>
      </c>
      <c r="AK1124">
        <v>7.6731225298290629E-8</v>
      </c>
      <c r="AL1124">
        <v>0.20900733681870354</v>
      </c>
    </row>
    <row r="1125" spans="2:38">
      <c r="B1125">
        <v>7.2028811524609167E-3</v>
      </c>
      <c r="C1125">
        <v>41.99</v>
      </c>
      <c r="D1125">
        <v>40.71</v>
      </c>
      <c r="E1125">
        <v>3.0955259975816229E-2</v>
      </c>
      <c r="F1125">
        <v>7005</v>
      </c>
      <c r="G1125">
        <v>380860000</v>
      </c>
      <c r="H1125">
        <v>291408</v>
      </c>
      <c r="I1125">
        <v>179250000</v>
      </c>
      <c r="J1125">
        <v>3.9079497907949791E-5</v>
      </c>
      <c r="K1125">
        <v>78488.22</v>
      </c>
      <c r="L1125">
        <v>0.17469999999999999</v>
      </c>
      <c r="M1125">
        <v>41958240000</v>
      </c>
      <c r="N1125">
        <v>16631849999.999998</v>
      </c>
      <c r="O1125">
        <v>435200000</v>
      </c>
      <c r="P1125">
        <v>292100000</v>
      </c>
      <c r="Q1125">
        <v>8769580000</v>
      </c>
      <c r="R1125">
        <v>8.2689512786776666E-9</v>
      </c>
      <c r="S1125">
        <v>0.20900733681870354</v>
      </c>
      <c r="U1125">
        <v>4.9756219527440977E-2</v>
      </c>
      <c r="V1125">
        <v>39.85</v>
      </c>
      <c r="W1125">
        <v>39.799999999999997</v>
      </c>
      <c r="X1125">
        <f t="shared" si="18"/>
        <v>1.2554927809166167E-3</v>
      </c>
      <c r="Y1125">
        <v>27277</v>
      </c>
      <c r="Z1125">
        <v>380860000</v>
      </c>
      <c r="AA1125">
        <v>1084533.52</v>
      </c>
      <c r="AB1125">
        <v>179250000</v>
      </c>
      <c r="AC1125">
        <v>1.5217294281729429E-4</v>
      </c>
      <c r="AD1125">
        <v>77740.31</v>
      </c>
      <c r="AE1125">
        <v>0.19489999999999999</v>
      </c>
      <c r="AF1125">
        <v>41958240000</v>
      </c>
      <c r="AG1125">
        <v>16631849999.999998</v>
      </c>
      <c r="AH1125">
        <v>435200000</v>
      </c>
      <c r="AI1125">
        <v>292100000</v>
      </c>
      <c r="AJ1125">
        <v>8769580000</v>
      </c>
      <c r="AK1125">
        <v>9.8652357930107408E-9</v>
      </c>
      <c r="AL1125">
        <v>0.20900733681870354</v>
      </c>
    </row>
    <row r="1126" spans="2:38">
      <c r="B1126">
        <v>6.9464544138928982E-2</v>
      </c>
      <c r="C1126">
        <v>41.99</v>
      </c>
      <c r="D1126">
        <v>41</v>
      </c>
      <c r="E1126">
        <v>2.3858296180262726E-2</v>
      </c>
      <c r="F1126">
        <v>8877</v>
      </c>
      <c r="G1126">
        <v>380860000</v>
      </c>
      <c r="H1126">
        <v>368395.5</v>
      </c>
      <c r="I1126">
        <v>179250000</v>
      </c>
      <c r="J1126">
        <v>4.9523012552301253E-5</v>
      </c>
      <c r="K1126">
        <v>78349.66</v>
      </c>
      <c r="L1126">
        <v>0.17469999999999999</v>
      </c>
      <c r="M1126">
        <v>41958240000</v>
      </c>
      <c r="N1126">
        <v>16631849999.999998</v>
      </c>
      <c r="O1126">
        <v>435200000</v>
      </c>
      <c r="P1126">
        <v>292100000</v>
      </c>
      <c r="Q1126">
        <v>8769580000</v>
      </c>
      <c r="R1126">
        <v>1.5127914125574405E-8</v>
      </c>
      <c r="S1126">
        <v>0.20900733681870354</v>
      </c>
      <c r="U1126">
        <v>3.9312039312039346E-2</v>
      </c>
      <c r="V1126">
        <v>40.94</v>
      </c>
      <c r="W1126">
        <v>40</v>
      </c>
      <c r="X1126">
        <f t="shared" si="18"/>
        <v>2.3227081788979434E-2</v>
      </c>
      <c r="Y1126">
        <v>26987</v>
      </c>
      <c r="Z1126">
        <v>380860000</v>
      </c>
      <c r="AA1126">
        <v>1084607.53</v>
      </c>
      <c r="AB1126">
        <v>179250000</v>
      </c>
      <c r="AC1126">
        <v>1.5055509065550906E-4</v>
      </c>
      <c r="AD1126">
        <v>77886.990000000005</v>
      </c>
      <c r="AE1126">
        <v>0.19489999999999999</v>
      </c>
      <c r="AF1126">
        <v>41958240000</v>
      </c>
      <c r="AG1126">
        <v>16631849999.999998</v>
      </c>
      <c r="AH1126">
        <v>435200000</v>
      </c>
      <c r="AI1126">
        <v>292100000</v>
      </c>
      <c r="AJ1126">
        <v>8769580000</v>
      </c>
      <c r="AK1126">
        <v>1.6343244992910193E-8</v>
      </c>
      <c r="AL1126">
        <v>0.20900733681870354</v>
      </c>
    </row>
    <row r="1127" spans="2:38">
      <c r="B1127">
        <v>3.9291310112088598E-2</v>
      </c>
      <c r="C1127">
        <v>41.85</v>
      </c>
      <c r="D1127">
        <v>40.81</v>
      </c>
      <c r="E1127">
        <v>2.5163319622550185E-2</v>
      </c>
      <c r="F1127">
        <v>13960</v>
      </c>
      <c r="G1127">
        <v>380860000</v>
      </c>
      <c r="H1127">
        <v>576129.20000000007</v>
      </c>
      <c r="I1127">
        <v>179250000</v>
      </c>
      <c r="J1127">
        <v>7.7880055788005583E-5</v>
      </c>
      <c r="K1127">
        <v>77992.789999999994</v>
      </c>
      <c r="L1127">
        <v>0.17469999999999999</v>
      </c>
      <c r="M1127">
        <v>41958240000</v>
      </c>
      <c r="N1127">
        <v>16631849999.999998</v>
      </c>
      <c r="O1127">
        <v>435200000</v>
      </c>
      <c r="P1127">
        <v>292100000</v>
      </c>
      <c r="Q1127">
        <v>8769580000</v>
      </c>
      <c r="R1127">
        <v>3.9859141233450971E-8</v>
      </c>
      <c r="S1127">
        <v>0.20900733681870354</v>
      </c>
      <c r="U1127">
        <v>3.6919159770846671E-2</v>
      </c>
      <c r="V1127">
        <v>39.4</v>
      </c>
      <c r="W1127">
        <v>38.549999999999997</v>
      </c>
      <c r="X1127">
        <f t="shared" si="18"/>
        <v>2.1808851828094972E-2</v>
      </c>
      <c r="Y1127">
        <v>34065</v>
      </c>
      <c r="Z1127">
        <v>380860000</v>
      </c>
      <c r="AA1127">
        <v>1345226.85</v>
      </c>
      <c r="AB1127">
        <v>179250000</v>
      </c>
      <c r="AC1127">
        <v>1.900418410041841E-4</v>
      </c>
      <c r="AD1127">
        <v>78628.81</v>
      </c>
      <c r="AE1127">
        <v>0.19489999999999999</v>
      </c>
      <c r="AF1127">
        <v>41958240000</v>
      </c>
      <c r="AG1127">
        <v>16631849999.999998</v>
      </c>
      <c r="AH1127">
        <v>435200000</v>
      </c>
      <c r="AI1127">
        <v>292100000</v>
      </c>
      <c r="AJ1127">
        <v>8769580000</v>
      </c>
      <c r="AK1127">
        <v>1.1311727809749632E-9</v>
      </c>
      <c r="AL1127">
        <v>0.20900733681870354</v>
      </c>
    </row>
    <row r="1128" spans="2:38">
      <c r="B1128">
        <v>4.6728971962616828E-2</v>
      </c>
      <c r="C1128">
        <v>42.5</v>
      </c>
      <c r="D1128">
        <v>42.2</v>
      </c>
      <c r="E1128">
        <v>7.0838252656433799E-3</v>
      </c>
      <c r="F1128">
        <v>11189</v>
      </c>
      <c r="G1128">
        <v>380860000</v>
      </c>
      <c r="H1128">
        <v>472623.36000000004</v>
      </c>
      <c r="I1128">
        <v>179250000</v>
      </c>
      <c r="J1128">
        <v>6.2421199442119941E-5</v>
      </c>
      <c r="K1128">
        <v>78084.240000000005</v>
      </c>
      <c r="L1128">
        <v>0.17469999999999999</v>
      </c>
      <c r="M1128">
        <v>41958240000</v>
      </c>
      <c r="N1128">
        <v>16631849999.999998</v>
      </c>
      <c r="O1128">
        <v>435200000</v>
      </c>
      <c r="P1128">
        <v>292100000</v>
      </c>
      <c r="Q1128">
        <v>8769580000</v>
      </c>
      <c r="R1128">
        <v>7.5404480103448371E-9</v>
      </c>
      <c r="S1128">
        <v>0.20900733681870354</v>
      </c>
      <c r="U1128">
        <v>3.8446652044897486E-2</v>
      </c>
      <c r="V1128">
        <v>39.5</v>
      </c>
      <c r="W1128">
        <v>38.5</v>
      </c>
      <c r="X1128">
        <f t="shared" si="18"/>
        <v>2.564102564102564E-2</v>
      </c>
      <c r="Y1128">
        <v>3170</v>
      </c>
      <c r="Z1128">
        <v>380860000</v>
      </c>
      <c r="AA1128">
        <v>124993.1</v>
      </c>
      <c r="AB1128">
        <v>179250000</v>
      </c>
      <c r="AC1128">
        <v>1.7684797768479778E-5</v>
      </c>
      <c r="AD1128">
        <v>78827.740000000005</v>
      </c>
      <c r="AE1128">
        <v>0.19489999999999999</v>
      </c>
      <c r="AF1128">
        <v>41958240000</v>
      </c>
      <c r="AG1128">
        <v>16631849999.999998</v>
      </c>
      <c r="AH1128">
        <v>435200000</v>
      </c>
      <c r="AI1128">
        <v>292100000</v>
      </c>
      <c r="AJ1128">
        <v>8769580000</v>
      </c>
      <c r="AK1128">
        <v>6.0411087020218407E-8</v>
      </c>
      <c r="AL1128">
        <v>0.20900733681870354</v>
      </c>
    </row>
    <row r="1129" spans="2:38">
      <c r="B1129">
        <v>5.6745801968731809E-2</v>
      </c>
      <c r="C1129">
        <v>42.38</v>
      </c>
      <c r="D1129">
        <v>42.12</v>
      </c>
      <c r="E1129">
        <v>6.1538461538462753E-3</v>
      </c>
      <c r="F1129">
        <v>66553</v>
      </c>
      <c r="G1129">
        <v>380860000</v>
      </c>
      <c r="H1129">
        <v>2801215.77</v>
      </c>
      <c r="I1129">
        <v>179250000</v>
      </c>
      <c r="J1129">
        <v>3.7128591352859138E-4</v>
      </c>
      <c r="K1129">
        <v>78571.06</v>
      </c>
      <c r="L1129">
        <v>0.17469999999999999</v>
      </c>
      <c r="M1129">
        <v>41958240000</v>
      </c>
      <c r="N1129">
        <v>16631849999.999998</v>
      </c>
      <c r="O1129">
        <v>435200000</v>
      </c>
      <c r="P1129">
        <v>292100000</v>
      </c>
      <c r="Q1129">
        <v>8769580000</v>
      </c>
      <c r="R1129">
        <v>5.075248976582621E-9</v>
      </c>
      <c r="S1129">
        <v>0.20900733681870354</v>
      </c>
      <c r="U1129">
        <v>4.7215807031049613E-2</v>
      </c>
      <c r="V1129">
        <v>39.76</v>
      </c>
      <c r="W1129">
        <v>38.5</v>
      </c>
      <c r="X1129">
        <f t="shared" si="18"/>
        <v>3.2200357781753085E-2</v>
      </c>
      <c r="Y1129">
        <v>2024</v>
      </c>
      <c r="Z1129">
        <v>380860000</v>
      </c>
      <c r="AA1129">
        <v>80413.51999999999</v>
      </c>
      <c r="AB1129">
        <v>179250000</v>
      </c>
      <c r="AC1129">
        <v>1.1291492329149233E-5</v>
      </c>
      <c r="AD1129">
        <v>78029.509999999995</v>
      </c>
      <c r="AE1129">
        <v>0.19489999999999999</v>
      </c>
      <c r="AF1129">
        <v>41958240000</v>
      </c>
      <c r="AG1129">
        <v>16631849999.999998</v>
      </c>
      <c r="AH1129">
        <v>435200000</v>
      </c>
      <c r="AI1129">
        <v>292100000</v>
      </c>
      <c r="AJ1129">
        <v>8769580000</v>
      </c>
      <c r="AK1129">
        <v>9.779485355166015E-8</v>
      </c>
      <c r="AL1129">
        <v>0.20900733681870354</v>
      </c>
    </row>
    <row r="1130" spans="2:38">
      <c r="B1130">
        <v>4.4563496895166158E-2</v>
      </c>
      <c r="C1130">
        <v>41.8</v>
      </c>
      <c r="D1130">
        <v>41.35</v>
      </c>
      <c r="E1130">
        <v>1.0823812387251851E-2</v>
      </c>
      <c r="F1130">
        <v>22843</v>
      </c>
      <c r="G1130">
        <v>380860000</v>
      </c>
      <c r="H1130">
        <v>947984.5</v>
      </c>
      <c r="I1130">
        <v>179250000</v>
      </c>
      <c r="J1130">
        <v>1.2743654114365412E-4</v>
      </c>
      <c r="K1130">
        <v>78801.429999999993</v>
      </c>
      <c r="L1130">
        <v>0.17469999999999999</v>
      </c>
      <c r="M1130">
        <v>41958240000</v>
      </c>
      <c r="N1130">
        <v>16631849999.999998</v>
      </c>
      <c r="O1130">
        <v>435200000</v>
      </c>
      <c r="P1130">
        <v>292100000</v>
      </c>
      <c r="Q1130">
        <v>8769580000</v>
      </c>
      <c r="R1130">
        <v>1.9678470095519525E-8</v>
      </c>
      <c r="S1130">
        <v>0.20900733681870354</v>
      </c>
      <c r="U1130">
        <v>4.6094750320102545E-2</v>
      </c>
      <c r="V1130">
        <v>39.65</v>
      </c>
      <c r="W1130">
        <v>38.200000000000003</v>
      </c>
      <c r="X1130">
        <f t="shared" si="18"/>
        <v>3.7251123956326161E-2</v>
      </c>
      <c r="Y1130">
        <v>1351</v>
      </c>
      <c r="Z1130">
        <v>380860000</v>
      </c>
      <c r="AA1130">
        <v>53256.420000000006</v>
      </c>
      <c r="AB1130">
        <v>179250000</v>
      </c>
      <c r="AC1130">
        <v>7.5369595536959554E-6</v>
      </c>
      <c r="AD1130">
        <v>78469.33</v>
      </c>
      <c r="AE1130">
        <v>0.19489999999999999</v>
      </c>
      <c r="AF1130">
        <v>41958240000</v>
      </c>
      <c r="AG1130">
        <v>16631849999.999998</v>
      </c>
      <c r="AH1130">
        <v>435200000</v>
      </c>
      <c r="AI1130">
        <v>292100000</v>
      </c>
      <c r="AJ1130">
        <v>8769580000</v>
      </c>
      <c r="AK1130">
        <v>2.5100465360793672E-7</v>
      </c>
      <c r="AL1130">
        <v>0.20900733681870354</v>
      </c>
    </row>
    <row r="1131" spans="2:38">
      <c r="B1131">
        <v>4.0816326530612242E-2</v>
      </c>
      <c r="C1131">
        <v>41.49</v>
      </c>
      <c r="D1131">
        <v>40.950000000000003</v>
      </c>
      <c r="E1131">
        <v>1.3100436681222688E-2</v>
      </c>
      <c r="F1131">
        <v>27212</v>
      </c>
      <c r="G1131">
        <v>380860000</v>
      </c>
      <c r="H1131">
        <v>1108616.8800000001</v>
      </c>
      <c r="I1131">
        <v>179250000</v>
      </c>
      <c r="J1131">
        <v>1.5181032078103208E-4</v>
      </c>
      <c r="K1131">
        <v>78793.41</v>
      </c>
      <c r="L1131">
        <v>0.17469999999999999</v>
      </c>
      <c r="M1131">
        <v>41958240000</v>
      </c>
      <c r="N1131">
        <v>16631849999.999998</v>
      </c>
      <c r="O1131">
        <v>435200000</v>
      </c>
      <c r="P1131">
        <v>292100000</v>
      </c>
      <c r="Q1131">
        <v>8769580000</v>
      </c>
      <c r="R1131">
        <v>2.0343171312171373E-8</v>
      </c>
      <c r="S1131">
        <v>0.20900733681870354</v>
      </c>
      <c r="U1131">
        <v>4.4164037854889593E-2</v>
      </c>
      <c r="V1131">
        <v>39.5</v>
      </c>
      <c r="W1131">
        <v>38.75</v>
      </c>
      <c r="X1131">
        <f t="shared" si="18"/>
        <v>1.9169329073482427E-2</v>
      </c>
      <c r="Y1131">
        <v>49090</v>
      </c>
      <c r="Z1131">
        <v>380860000</v>
      </c>
      <c r="AA1131">
        <v>1909601</v>
      </c>
      <c r="AB1131">
        <v>179250000</v>
      </c>
      <c r="AC1131">
        <v>2.7386331938633195E-4</v>
      </c>
      <c r="AD1131">
        <v>79397.009999999995</v>
      </c>
      <c r="AE1131">
        <v>0.19489999999999999</v>
      </c>
      <c r="AF1131">
        <v>41958240000</v>
      </c>
      <c r="AG1131">
        <v>16631849999.999998</v>
      </c>
      <c r="AH1131">
        <v>435200000</v>
      </c>
      <c r="AI1131">
        <v>292100000</v>
      </c>
      <c r="AJ1131">
        <v>8769580000</v>
      </c>
      <c r="AK1131">
        <v>1.1136056168696651E-8</v>
      </c>
      <c r="AL1131">
        <v>0.20900733681870354</v>
      </c>
    </row>
    <row r="1132" spans="2:38">
      <c r="B1132">
        <v>7.762450315641807E-2</v>
      </c>
      <c r="C1132">
        <v>41.51</v>
      </c>
      <c r="D1132">
        <v>41.5</v>
      </c>
      <c r="E1132">
        <v>2.4093482712921364E-4</v>
      </c>
      <c r="F1132">
        <v>13615</v>
      </c>
      <c r="G1132">
        <v>380860000</v>
      </c>
      <c r="H1132">
        <v>567473.19999999995</v>
      </c>
      <c r="I1132">
        <v>179250000</v>
      </c>
      <c r="J1132">
        <v>7.5955369595536956E-5</v>
      </c>
      <c r="K1132">
        <v>78260.86</v>
      </c>
      <c r="L1132">
        <v>0.17469999999999999</v>
      </c>
      <c r="M1132">
        <v>41958240000</v>
      </c>
      <c r="N1132">
        <v>16631849999.999998</v>
      </c>
      <c r="O1132">
        <v>435200000</v>
      </c>
      <c r="P1132">
        <v>292100000</v>
      </c>
      <c r="Q1132">
        <v>8769580000</v>
      </c>
      <c r="R1132">
        <v>6.3647884299966939E-9</v>
      </c>
      <c r="S1132">
        <v>0.20900733681870354</v>
      </c>
      <c r="U1132">
        <v>0.12201591511936336</v>
      </c>
      <c r="V1132">
        <v>38.97</v>
      </c>
      <c r="W1132">
        <v>38</v>
      </c>
      <c r="X1132">
        <f t="shared" si="18"/>
        <v>2.5204625178640999E-2</v>
      </c>
      <c r="Y1132">
        <v>35615</v>
      </c>
      <c r="Z1132">
        <v>380860000</v>
      </c>
      <c r="AA1132">
        <v>1356575.35</v>
      </c>
      <c r="AB1132">
        <v>179250000</v>
      </c>
      <c r="AC1132">
        <v>1.9868898186889818E-4</v>
      </c>
      <c r="AD1132">
        <v>78987.09</v>
      </c>
      <c r="AE1132">
        <v>0.19489999999999999</v>
      </c>
      <c r="AF1132">
        <v>41958240000</v>
      </c>
      <c r="AG1132">
        <v>16631849999.999998</v>
      </c>
      <c r="AH1132">
        <v>435200000</v>
      </c>
      <c r="AI1132">
        <v>292100000</v>
      </c>
      <c r="AJ1132">
        <v>8769580000</v>
      </c>
      <c r="AK1132">
        <v>5.5699219064909966E-9</v>
      </c>
      <c r="AL1132">
        <v>0.20900733681870354</v>
      </c>
    </row>
    <row r="1133" spans="2:38">
      <c r="B1133">
        <v>4.8206937095825922E-2</v>
      </c>
      <c r="C1133">
        <v>41.98</v>
      </c>
      <c r="D1133">
        <v>41.6</v>
      </c>
      <c r="E1133">
        <v>9.0930844699687839E-3</v>
      </c>
      <c r="F1133">
        <v>31771</v>
      </c>
      <c r="G1133">
        <v>380860000</v>
      </c>
      <c r="H1133">
        <v>1319449.6300000001</v>
      </c>
      <c r="I1133">
        <v>179250000</v>
      </c>
      <c r="J1133">
        <v>1.7724407252440726E-4</v>
      </c>
      <c r="K1133">
        <v>77745.52</v>
      </c>
      <c r="L1133">
        <v>0.189</v>
      </c>
      <c r="M1133">
        <v>41958240000</v>
      </c>
      <c r="N1133">
        <v>16631849999.999998</v>
      </c>
      <c r="O1133">
        <v>435200000</v>
      </c>
      <c r="P1133">
        <v>292100000</v>
      </c>
      <c r="Q1133">
        <v>8769580000</v>
      </c>
      <c r="R1133">
        <v>2.1800908855114355E-8</v>
      </c>
      <c r="S1133">
        <v>0.20900733681870354</v>
      </c>
      <c r="U1133">
        <v>0.12658227848101267</v>
      </c>
      <c r="V1133">
        <v>38.380000000000003</v>
      </c>
      <c r="W1133">
        <v>37.5</v>
      </c>
      <c r="X1133">
        <f t="shared" si="18"/>
        <v>2.3194517659462378E-2</v>
      </c>
      <c r="Y1133">
        <v>20437</v>
      </c>
      <c r="Z1133">
        <v>380860000</v>
      </c>
      <c r="AA1133">
        <v>784372.06</v>
      </c>
      <c r="AB1133">
        <v>179250000</v>
      </c>
      <c r="AC1133">
        <v>1.140139470013947E-4</v>
      </c>
      <c r="AD1133">
        <v>78539.19</v>
      </c>
      <c r="AE1133">
        <v>0.19489999999999999</v>
      </c>
      <c r="AF1133">
        <v>41958240000</v>
      </c>
      <c r="AG1133">
        <v>16631849999.999998</v>
      </c>
      <c r="AH1133">
        <v>435200000</v>
      </c>
      <c r="AI1133">
        <v>292100000</v>
      </c>
      <c r="AJ1133">
        <v>8769580000</v>
      </c>
      <c r="AK1133">
        <v>0</v>
      </c>
      <c r="AL1133">
        <v>0.20900733681870354</v>
      </c>
    </row>
    <row r="1134" spans="2:38">
      <c r="B1134">
        <v>7.8463140840180551E-2</v>
      </c>
      <c r="C1134">
        <v>42.87</v>
      </c>
      <c r="D1134">
        <v>41.9</v>
      </c>
      <c r="E1134">
        <v>2.2885454759938632E-2</v>
      </c>
      <c r="F1134">
        <v>52597</v>
      </c>
      <c r="G1134">
        <v>380860000</v>
      </c>
      <c r="H1134">
        <v>2249047.7199999997</v>
      </c>
      <c r="I1134">
        <v>179250000</v>
      </c>
      <c r="J1134">
        <v>2.9342817294281728E-4</v>
      </c>
      <c r="K1134">
        <v>77830.34</v>
      </c>
      <c r="L1134">
        <v>0.189</v>
      </c>
      <c r="M1134">
        <v>41958240000</v>
      </c>
      <c r="N1134">
        <v>16631849999.999998</v>
      </c>
      <c r="O1134">
        <v>435200000</v>
      </c>
      <c r="P1134">
        <v>292100000</v>
      </c>
      <c r="Q1134">
        <v>8769580000</v>
      </c>
      <c r="R1134">
        <v>6.9601792719114056E-9</v>
      </c>
      <c r="S1134">
        <v>0.20900733681870354</v>
      </c>
      <c r="U1134">
        <v>8.5870413739266183E-2</v>
      </c>
      <c r="V1134">
        <v>6.33</v>
      </c>
      <c r="W1134">
        <v>6.27</v>
      </c>
      <c r="X1134">
        <f t="shared" si="18"/>
        <v>9.5238095238096027E-3</v>
      </c>
      <c r="Y1134">
        <v>18851097</v>
      </c>
      <c r="Z1134">
        <v>278880000</v>
      </c>
      <c r="AA1134">
        <v>118384889.16000001</v>
      </c>
      <c r="AB1134">
        <v>243270000</v>
      </c>
      <c r="AC1134">
        <v>7.7490430385990877E-2</v>
      </c>
      <c r="AD1134">
        <v>82074.45</v>
      </c>
      <c r="AE1134">
        <v>0.1741</v>
      </c>
      <c r="AF1134">
        <v>13558250000</v>
      </c>
      <c r="AG1134">
        <v>10770950000</v>
      </c>
      <c r="AH1134">
        <v>-152520000</v>
      </c>
      <c r="AI1134">
        <v>35790000</v>
      </c>
      <c r="AJ1134">
        <v>6060460000</v>
      </c>
      <c r="AK1134">
        <v>4.0545715201141289E-11</v>
      </c>
      <c r="AL1134">
        <v>0.44699426548411486</v>
      </c>
    </row>
    <row r="1135" spans="2:38">
      <c r="B1135">
        <v>0.12178141231075251</v>
      </c>
      <c r="C1135">
        <v>42.49</v>
      </c>
      <c r="D1135">
        <v>0</v>
      </c>
      <c r="E1135">
        <v>2</v>
      </c>
      <c r="F1135">
        <v>246885</v>
      </c>
      <c r="G1135">
        <v>380860000</v>
      </c>
      <c r="H1135">
        <v>10724684.399999999</v>
      </c>
      <c r="I1135">
        <v>179250000</v>
      </c>
      <c r="J1135">
        <v>1.3773221757322177E-3</v>
      </c>
      <c r="K1135">
        <v>78045.31</v>
      </c>
      <c r="L1135">
        <v>0.189</v>
      </c>
      <c r="M1135">
        <v>41958240000</v>
      </c>
      <c r="N1135">
        <v>16631849999.999998</v>
      </c>
      <c r="O1135">
        <v>435200000</v>
      </c>
      <c r="P1135">
        <v>292100000</v>
      </c>
      <c r="Q1135">
        <v>8769580000</v>
      </c>
      <c r="R1135">
        <v>7.4459965199314238E-9</v>
      </c>
      <c r="S1135">
        <v>0.20900733681870354</v>
      </c>
      <c r="U1135">
        <v>0.15267175572519084</v>
      </c>
      <c r="V1135">
        <v>6.37</v>
      </c>
      <c r="W1135">
        <v>6.35</v>
      </c>
      <c r="X1135">
        <f t="shared" si="18"/>
        <v>3.1446540880503875E-3</v>
      </c>
      <c r="Y1135">
        <v>11844966</v>
      </c>
      <c r="Z1135">
        <v>278880000</v>
      </c>
      <c r="AA1135">
        <v>74031037.5</v>
      </c>
      <c r="AB1135">
        <v>243270000</v>
      </c>
      <c r="AC1135">
        <v>4.8690615365643113E-2</v>
      </c>
      <c r="AD1135">
        <v>81459.289999999994</v>
      </c>
      <c r="AE1135">
        <v>0.1741</v>
      </c>
      <c r="AF1135">
        <v>13558250000</v>
      </c>
      <c r="AG1135">
        <v>10770950000</v>
      </c>
      <c r="AH1135">
        <v>-152520000</v>
      </c>
      <c r="AI1135">
        <v>35790000</v>
      </c>
      <c r="AJ1135">
        <v>6060460000</v>
      </c>
      <c r="AK1135">
        <v>1.3429992943691942E-9</v>
      </c>
      <c r="AL1135">
        <v>0.44699426548411486</v>
      </c>
    </row>
    <row r="1136" spans="2:38">
      <c r="B1136">
        <v>6.925268463730011E-2</v>
      </c>
      <c r="C1136">
        <v>0</v>
      </c>
      <c r="D1136">
        <v>47.21</v>
      </c>
      <c r="E1136">
        <v>-2</v>
      </c>
      <c r="F1136">
        <v>85092</v>
      </c>
      <c r="G1136">
        <v>380860000</v>
      </c>
      <c r="H1136">
        <v>4017193.3200000003</v>
      </c>
      <c r="I1136">
        <v>179250000</v>
      </c>
      <c r="J1136">
        <v>4.7471129707112969E-4</v>
      </c>
      <c r="K1136">
        <v>78105.98</v>
      </c>
      <c r="L1136">
        <v>0.189</v>
      </c>
      <c r="M1136">
        <v>41958240000</v>
      </c>
      <c r="N1136">
        <v>16631849999.999998</v>
      </c>
      <c r="O1136">
        <v>435200000</v>
      </c>
      <c r="P1136">
        <v>292100000</v>
      </c>
      <c r="Q1136">
        <v>8769580000</v>
      </c>
      <c r="R1136">
        <v>2.4881401942971365E-8</v>
      </c>
      <c r="S1136">
        <v>0.20900733681870354</v>
      </c>
      <c r="U1136">
        <v>8.1395348837209378E-2</v>
      </c>
      <c r="V1136">
        <v>7</v>
      </c>
      <c r="W1136">
        <v>6.96</v>
      </c>
      <c r="X1136">
        <f t="shared" si="18"/>
        <v>5.7306590257879706E-3</v>
      </c>
      <c r="Y1136">
        <v>19649769</v>
      </c>
      <c r="Z1136">
        <v>278880000</v>
      </c>
      <c r="AA1136">
        <v>136369396.86000001</v>
      </c>
      <c r="AB1136">
        <v>243270000</v>
      </c>
      <c r="AC1136">
        <v>8.0773498581822673E-2</v>
      </c>
      <c r="AD1136">
        <v>80461.34</v>
      </c>
      <c r="AE1136">
        <v>0.1741</v>
      </c>
      <c r="AF1136">
        <v>13558250000</v>
      </c>
      <c r="AG1136">
        <v>10770950000</v>
      </c>
      <c r="AH1136">
        <v>-152520000</v>
      </c>
      <c r="AI1136">
        <v>35790000</v>
      </c>
      <c r="AJ1136">
        <v>6060460000</v>
      </c>
      <c r="AK1136">
        <v>2.1071906780821288E-11</v>
      </c>
      <c r="AL1136">
        <v>0.44699426548411486</v>
      </c>
    </row>
    <row r="1137" spans="2:38">
      <c r="B1137">
        <v>8.5773296075810981E-2</v>
      </c>
      <c r="C1137">
        <v>0</v>
      </c>
      <c r="D1137">
        <v>42.92</v>
      </c>
      <c r="E1137">
        <v>-2</v>
      </c>
      <c r="F1137">
        <v>125818</v>
      </c>
      <c r="G1137">
        <v>380860000</v>
      </c>
      <c r="H1137">
        <v>5400108.5600000005</v>
      </c>
      <c r="I1137">
        <v>179250000</v>
      </c>
      <c r="J1137">
        <v>7.0191352859135284E-4</v>
      </c>
      <c r="K1137">
        <v>77877.42</v>
      </c>
      <c r="L1137">
        <v>0.189</v>
      </c>
      <c r="M1137">
        <v>41958240000</v>
      </c>
      <c r="N1137">
        <v>16631849999.999998</v>
      </c>
      <c r="O1137">
        <v>435200000</v>
      </c>
      <c r="P1137">
        <v>292100000</v>
      </c>
      <c r="Q1137">
        <v>8769580000</v>
      </c>
      <c r="R1137">
        <v>1.8508654617440921E-8</v>
      </c>
      <c r="S1137">
        <v>0.20900733681870354</v>
      </c>
      <c r="U1137">
        <v>0.23678929765886284</v>
      </c>
      <c r="V1137">
        <v>6.69</v>
      </c>
      <c r="W1137">
        <v>6.66</v>
      </c>
      <c r="X1137">
        <f t="shared" si="18"/>
        <v>4.4943820224719469E-3</v>
      </c>
      <c r="Y1137">
        <v>56890305</v>
      </c>
      <c r="Z1137">
        <v>278880000</v>
      </c>
      <c r="AA1137">
        <v>395956522.80000001</v>
      </c>
      <c r="AB1137">
        <v>243270000</v>
      </c>
      <c r="AC1137">
        <v>0.23385664076951534</v>
      </c>
      <c r="AD1137">
        <v>79491.14</v>
      </c>
      <c r="AE1137">
        <v>0.1741</v>
      </c>
      <c r="AF1137">
        <v>13558250000</v>
      </c>
      <c r="AG1137">
        <v>10770950000</v>
      </c>
      <c r="AH1137">
        <v>-152520000</v>
      </c>
      <c r="AI1137">
        <v>35790000</v>
      </c>
      <c r="AJ1137">
        <v>6060460000</v>
      </c>
      <c r="AK1137">
        <v>1.3725705464488075E-10</v>
      </c>
      <c r="AL1137">
        <v>0.44699426548411486</v>
      </c>
    </row>
    <row r="1138" spans="2:38">
      <c r="B1138">
        <v>3.3548387096774122E-2</v>
      </c>
      <c r="C1138">
        <v>38.96</v>
      </c>
      <c r="D1138">
        <v>38.4</v>
      </c>
      <c r="E1138">
        <v>1.4477766287487133E-2</v>
      </c>
      <c r="F1138">
        <v>21022</v>
      </c>
      <c r="G1138">
        <v>380860000</v>
      </c>
      <c r="H1138">
        <v>820278.44000000006</v>
      </c>
      <c r="I1138">
        <v>179250000</v>
      </c>
      <c r="J1138">
        <v>1.1727754532775453E-4</v>
      </c>
      <c r="K1138">
        <v>77980.289999999994</v>
      </c>
      <c r="L1138">
        <v>0.189</v>
      </c>
      <c r="M1138">
        <v>41958240000</v>
      </c>
      <c r="N1138">
        <v>16631849999.999998</v>
      </c>
      <c r="O1138">
        <v>435200000</v>
      </c>
      <c r="P1138">
        <v>292100000</v>
      </c>
      <c r="Q1138">
        <v>8769580000</v>
      </c>
      <c r="R1138">
        <v>8.4167878276077866E-8</v>
      </c>
      <c r="S1138">
        <v>0.20900733681870354</v>
      </c>
      <c r="U1138">
        <v>0.11190817790530849</v>
      </c>
      <c r="V1138">
        <v>6.69</v>
      </c>
      <c r="W1138">
        <v>7.36</v>
      </c>
      <c r="X1138">
        <f t="shared" si="18"/>
        <v>-9.5373665480427028E-2</v>
      </c>
      <c r="Y1138">
        <v>35180306</v>
      </c>
      <c r="Z1138">
        <v>278880000</v>
      </c>
      <c r="AA1138">
        <v>258927052.16</v>
      </c>
      <c r="AB1138">
        <v>243270000</v>
      </c>
      <c r="AC1138">
        <v>0.1446142393225634</v>
      </c>
      <c r="AD1138">
        <v>79333.06</v>
      </c>
      <c r="AE1138">
        <v>0.1741</v>
      </c>
      <c r="AF1138">
        <v>13558250000</v>
      </c>
      <c r="AG1138">
        <v>10770950000</v>
      </c>
      <c r="AH1138">
        <v>-152520000</v>
      </c>
      <c r="AI1138">
        <v>35790000</v>
      </c>
      <c r="AJ1138">
        <v>6060460000</v>
      </c>
      <c r="AK1138">
        <v>6.0724711107187128E-10</v>
      </c>
      <c r="AL1138">
        <v>0.44699426548411486</v>
      </c>
    </row>
    <row r="1139" spans="2:38">
      <c r="B1139">
        <v>1.3605442176870748E-2</v>
      </c>
      <c r="C1139">
        <v>38.5</v>
      </c>
      <c r="D1139">
        <v>36.5</v>
      </c>
      <c r="E1139">
        <v>5.3333333333333337E-2</v>
      </c>
      <c r="F1139">
        <v>1062</v>
      </c>
      <c r="G1139">
        <v>380860000</v>
      </c>
      <c r="H1139">
        <v>38763</v>
      </c>
      <c r="I1139">
        <v>179250000</v>
      </c>
      <c r="J1139">
        <v>5.9246861924686194E-6</v>
      </c>
      <c r="K1139">
        <v>78569.59</v>
      </c>
      <c r="L1139">
        <v>0.189</v>
      </c>
      <c r="M1139">
        <v>41958240000</v>
      </c>
      <c r="N1139">
        <v>16631849999.999998</v>
      </c>
      <c r="O1139">
        <v>435200000</v>
      </c>
      <c r="P1139">
        <v>292100000</v>
      </c>
      <c r="Q1139">
        <v>8769580000</v>
      </c>
      <c r="R1139">
        <v>1.2659769455470381E-7</v>
      </c>
      <c r="S1139">
        <v>0.20900733681870354</v>
      </c>
      <c r="U1139">
        <v>4.6874999999999972E-2</v>
      </c>
      <c r="V1139">
        <v>6.4</v>
      </c>
      <c r="W1139">
        <v>6.35</v>
      </c>
      <c r="X1139">
        <f t="shared" si="18"/>
        <v>7.8431372549020717E-3</v>
      </c>
      <c r="Y1139">
        <v>10130782</v>
      </c>
      <c r="Z1139">
        <v>278880000</v>
      </c>
      <c r="AA1139">
        <v>64431773.520000003</v>
      </c>
      <c r="AB1139">
        <v>243270000</v>
      </c>
      <c r="AC1139">
        <v>4.1644189583590251E-2</v>
      </c>
      <c r="AD1139">
        <v>79017.62</v>
      </c>
      <c r="AE1139">
        <v>0.1741</v>
      </c>
      <c r="AF1139">
        <v>13558250000</v>
      </c>
      <c r="AG1139">
        <v>10770950000</v>
      </c>
      <c r="AH1139">
        <v>-152520000</v>
      </c>
      <c r="AI1139">
        <v>35790000</v>
      </c>
      <c r="AJ1139">
        <v>6060460000</v>
      </c>
      <c r="AK1139">
        <v>9.7001830906609582E-11</v>
      </c>
      <c r="AL1139">
        <v>0.44699426548411486</v>
      </c>
    </row>
    <row r="1140" spans="2:38">
      <c r="B1140">
        <v>5.1420838971583178E-2</v>
      </c>
      <c r="C1140">
        <v>37.700000000000003</v>
      </c>
      <c r="D1140">
        <v>36</v>
      </c>
      <c r="E1140">
        <v>4.6132971506105909E-2</v>
      </c>
      <c r="F1140">
        <v>13067</v>
      </c>
      <c r="G1140">
        <v>380860000</v>
      </c>
      <c r="H1140">
        <v>479297.56</v>
      </c>
      <c r="I1140">
        <v>179250000</v>
      </c>
      <c r="J1140">
        <v>7.289818688981869E-5</v>
      </c>
      <c r="K1140">
        <v>77874.22</v>
      </c>
      <c r="L1140">
        <v>0.189</v>
      </c>
      <c r="M1140">
        <v>41958240000</v>
      </c>
      <c r="N1140">
        <v>16631849999.999998</v>
      </c>
      <c r="O1140">
        <v>435200000</v>
      </c>
      <c r="P1140">
        <v>292100000</v>
      </c>
      <c r="Q1140">
        <v>8769580000</v>
      </c>
      <c r="R1140">
        <v>3.7426479592466411E-8</v>
      </c>
      <c r="S1140">
        <v>0.20900733681870354</v>
      </c>
      <c r="U1140">
        <v>5.2877138413685826E-2</v>
      </c>
      <c r="V1140">
        <v>6.47</v>
      </c>
      <c r="W1140">
        <v>6.46</v>
      </c>
      <c r="X1140">
        <f t="shared" si="18"/>
        <v>1.5467904098994257E-3</v>
      </c>
      <c r="Y1140">
        <v>14794158</v>
      </c>
      <c r="Z1140">
        <v>278880000</v>
      </c>
      <c r="AA1140">
        <v>94682611.200000003</v>
      </c>
      <c r="AB1140">
        <v>243270000</v>
      </c>
      <c r="AC1140">
        <v>6.0813737822172892E-2</v>
      </c>
      <c r="AD1140">
        <v>78651.8</v>
      </c>
      <c r="AE1140">
        <v>0.1741</v>
      </c>
      <c r="AF1140">
        <v>13558250000</v>
      </c>
      <c r="AG1140">
        <v>10770950000</v>
      </c>
      <c r="AH1140">
        <v>-152520000</v>
      </c>
      <c r="AI1140">
        <v>35790000</v>
      </c>
      <c r="AJ1140">
        <v>6060460000</v>
      </c>
      <c r="AK1140">
        <v>9.8095369137795454E-11</v>
      </c>
      <c r="AL1140">
        <v>0.44699426548411486</v>
      </c>
    </row>
    <row r="1141" spans="2:38">
      <c r="B1141">
        <v>2.6666666666666668E-2</v>
      </c>
      <c r="C1141">
        <v>37.5</v>
      </c>
      <c r="D1141">
        <v>37.03</v>
      </c>
      <c r="E1141">
        <v>1.2612370857372839E-2</v>
      </c>
      <c r="F1141">
        <v>5903</v>
      </c>
      <c r="G1141">
        <v>380860000</v>
      </c>
      <c r="H1141">
        <v>220477.05000000002</v>
      </c>
      <c r="I1141">
        <v>179250000</v>
      </c>
      <c r="J1141">
        <v>3.2931659693165966E-5</v>
      </c>
      <c r="K1141">
        <v>77114.490000000005</v>
      </c>
      <c r="L1141">
        <v>0.189</v>
      </c>
      <c r="M1141">
        <v>41958240000</v>
      </c>
      <c r="N1141">
        <v>16631849999.999998</v>
      </c>
      <c r="O1141">
        <v>435200000</v>
      </c>
      <c r="P1141">
        <v>292100000</v>
      </c>
      <c r="Q1141">
        <v>8769580000</v>
      </c>
      <c r="R1141">
        <v>2.9333028080643503E-8</v>
      </c>
      <c r="S1141">
        <v>0.20900733681870354</v>
      </c>
      <c r="U1141">
        <v>6.8217054263565807E-2</v>
      </c>
      <c r="V1141">
        <v>6.47</v>
      </c>
      <c r="W1141">
        <v>6.45</v>
      </c>
      <c r="X1141">
        <f t="shared" si="18"/>
        <v>3.0959752321980762E-3</v>
      </c>
      <c r="Y1141">
        <v>17724116</v>
      </c>
      <c r="Z1141">
        <v>278880000</v>
      </c>
      <c r="AA1141">
        <v>114497789.36</v>
      </c>
      <c r="AB1141">
        <v>243270000</v>
      </c>
      <c r="AC1141">
        <v>7.2857795864677111E-2</v>
      </c>
      <c r="AD1141">
        <v>79286.740000000005</v>
      </c>
      <c r="AE1141">
        <v>0.1741</v>
      </c>
      <c r="AF1141">
        <v>13558250000</v>
      </c>
      <c r="AG1141">
        <v>10770950000</v>
      </c>
      <c r="AH1141">
        <v>-152520000</v>
      </c>
      <c r="AI1141">
        <v>35790000</v>
      </c>
      <c r="AJ1141">
        <v>6060460000</v>
      </c>
      <c r="AK1141">
        <v>1.0951464672870491E-10</v>
      </c>
      <c r="AL1141">
        <v>0.44699426548411486</v>
      </c>
    </row>
    <row r="1142" spans="2:38">
      <c r="B1142">
        <v>7.8817733990147659E-2</v>
      </c>
      <c r="C1142">
        <v>37.979999999999997</v>
      </c>
      <c r="D1142">
        <v>37.25</v>
      </c>
      <c r="E1142">
        <v>1.9407151402365996E-2</v>
      </c>
      <c r="F1142">
        <v>2407</v>
      </c>
      <c r="G1142">
        <v>380860000</v>
      </c>
      <c r="H1142">
        <v>89323.77</v>
      </c>
      <c r="I1142">
        <v>179250000</v>
      </c>
      <c r="J1142">
        <v>1.3428172942817294E-5</v>
      </c>
      <c r="K1142">
        <v>77191.34</v>
      </c>
      <c r="L1142">
        <v>0.19489999999999999</v>
      </c>
      <c r="M1142">
        <v>41958240000</v>
      </c>
      <c r="N1142">
        <v>16631849999.999998</v>
      </c>
      <c r="O1142">
        <v>435200000</v>
      </c>
      <c r="P1142">
        <v>292100000</v>
      </c>
      <c r="Q1142">
        <v>8769580000</v>
      </c>
      <c r="R1142">
        <v>2.6220403182242491E-7</v>
      </c>
      <c r="S1142">
        <v>0.20900733681870354</v>
      </c>
      <c r="U1142">
        <v>0.13733228097868969</v>
      </c>
      <c r="V1142">
        <v>6.45</v>
      </c>
      <c r="W1142">
        <v>6.43</v>
      </c>
      <c r="X1142">
        <f t="shared" si="18"/>
        <v>3.105590062111873E-3</v>
      </c>
      <c r="Y1142">
        <v>37264175</v>
      </c>
      <c r="Z1142">
        <v>278880000</v>
      </c>
      <c r="AA1142">
        <v>237745436.5</v>
      </c>
      <c r="AB1142">
        <v>243270000</v>
      </c>
      <c r="AC1142">
        <v>0.1531803140543429</v>
      </c>
      <c r="AD1142">
        <v>78615</v>
      </c>
      <c r="AE1142">
        <v>0.1741</v>
      </c>
      <c r="AF1142">
        <v>13558250000</v>
      </c>
      <c r="AG1142">
        <v>10770950000</v>
      </c>
      <c r="AH1142">
        <v>-152520000</v>
      </c>
      <c r="AI1142">
        <v>35790000</v>
      </c>
      <c r="AJ1142">
        <v>6060460000</v>
      </c>
      <c r="AK1142">
        <v>1.6441092816827294E-10</v>
      </c>
      <c r="AL1142">
        <v>0.44699426548411486</v>
      </c>
    </row>
    <row r="1143" spans="2:38">
      <c r="B1143">
        <v>7.816459917300253E-2</v>
      </c>
      <c r="C1143">
        <v>38</v>
      </c>
      <c r="D1143">
        <v>36.409999999999997</v>
      </c>
      <c r="E1143">
        <v>4.2736191372127495E-2</v>
      </c>
      <c r="F1143">
        <v>1639</v>
      </c>
      <c r="G1143">
        <v>380860000</v>
      </c>
      <c r="H1143">
        <v>62282</v>
      </c>
      <c r="I1143">
        <v>179250000</v>
      </c>
      <c r="J1143">
        <v>9.1436541143654121E-6</v>
      </c>
      <c r="K1143">
        <v>77084.490000000005</v>
      </c>
      <c r="L1143">
        <v>0.19489999999999999</v>
      </c>
      <c r="M1143">
        <v>41958240000</v>
      </c>
      <c r="N1143">
        <v>16631849999.999998</v>
      </c>
      <c r="O1143">
        <v>435200000</v>
      </c>
      <c r="P1143">
        <v>292100000</v>
      </c>
      <c r="Q1143">
        <v>8769580000</v>
      </c>
      <c r="R1143">
        <v>3.7937524299512662E-8</v>
      </c>
      <c r="S1143">
        <v>0.20900733681870354</v>
      </c>
      <c r="U1143">
        <v>0.24364592462751983</v>
      </c>
      <c r="V1143">
        <v>6.15</v>
      </c>
      <c r="W1143">
        <v>6.14</v>
      </c>
      <c r="X1143">
        <f t="shared" si="18"/>
        <v>1.6273393002442108E-3</v>
      </c>
      <c r="Y1143">
        <v>80985708</v>
      </c>
      <c r="Z1143">
        <v>278880000</v>
      </c>
      <c r="AA1143">
        <v>497252247.11999995</v>
      </c>
      <c r="AB1143">
        <v>243270000</v>
      </c>
      <c r="AC1143">
        <v>0.33290462449130598</v>
      </c>
      <c r="AD1143">
        <v>78897.73</v>
      </c>
      <c r="AE1143">
        <v>0.1741</v>
      </c>
      <c r="AF1143">
        <v>13558250000</v>
      </c>
      <c r="AG1143">
        <v>10770950000</v>
      </c>
      <c r="AH1143">
        <v>-152520000</v>
      </c>
      <c r="AI1143">
        <v>35790000</v>
      </c>
      <c r="AJ1143">
        <v>6060460000</v>
      </c>
      <c r="AK1143">
        <v>1.7054855800336174E-10</v>
      </c>
      <c r="AL1143">
        <v>0.44699426548411486</v>
      </c>
    </row>
    <row r="1144" spans="2:38">
      <c r="B1144">
        <v>9.4105207507269431E-2</v>
      </c>
      <c r="C1144">
        <v>39</v>
      </c>
      <c r="D1144">
        <v>37.76</v>
      </c>
      <c r="E1144">
        <v>3.2308494007295525E-2</v>
      </c>
      <c r="F1144">
        <v>14371</v>
      </c>
      <c r="G1144">
        <v>380860000</v>
      </c>
      <c r="H1144">
        <v>547391.39</v>
      </c>
      <c r="I1144">
        <v>179250000</v>
      </c>
      <c r="J1144">
        <v>8.0172942817294279E-5</v>
      </c>
      <c r="K1144">
        <v>78225.98</v>
      </c>
      <c r="L1144">
        <v>0.19489999999999999</v>
      </c>
      <c r="M1144">
        <v>41958240000</v>
      </c>
      <c r="N1144">
        <v>16631849999.999998</v>
      </c>
      <c r="O1144">
        <v>435200000</v>
      </c>
      <c r="P1144">
        <v>292100000</v>
      </c>
      <c r="Q1144">
        <v>8769580000</v>
      </c>
      <c r="R1144">
        <v>7.6731225298290629E-8</v>
      </c>
      <c r="S1144">
        <v>0.20900733681870354</v>
      </c>
      <c r="U1144">
        <v>9.4357076780758511E-2</v>
      </c>
      <c r="V1144">
        <v>6.15</v>
      </c>
      <c r="W1144">
        <v>5.66</v>
      </c>
      <c r="X1144">
        <f t="shared" si="18"/>
        <v>8.298052497883153E-2</v>
      </c>
      <c r="Y1144">
        <v>66581544</v>
      </c>
      <c r="Z1144">
        <v>278880000</v>
      </c>
      <c r="AA1144">
        <v>376851539.04000002</v>
      </c>
      <c r="AB1144">
        <v>243270000</v>
      </c>
      <c r="AC1144">
        <v>0.27369401899124429</v>
      </c>
      <c r="AD1144">
        <v>78863.34</v>
      </c>
      <c r="AE1144">
        <v>0.1741</v>
      </c>
      <c r="AF1144">
        <v>13558250000</v>
      </c>
      <c r="AG1144">
        <v>10770950000</v>
      </c>
      <c r="AH1144">
        <v>-152520000</v>
      </c>
      <c r="AI1144">
        <v>35790000</v>
      </c>
      <c r="AJ1144">
        <v>6060460000</v>
      </c>
      <c r="AK1144">
        <v>5.6943451849704192E-10</v>
      </c>
      <c r="AL1144">
        <v>0.44699426548411486</v>
      </c>
    </row>
    <row r="1145" spans="2:38">
      <c r="B1145">
        <v>4.9756219527440977E-2</v>
      </c>
      <c r="C1145">
        <v>39.85</v>
      </c>
      <c r="D1145">
        <v>39.799999999999997</v>
      </c>
      <c r="E1145">
        <v>1.2554927809166167E-3</v>
      </c>
      <c r="F1145">
        <v>27277</v>
      </c>
      <c r="G1145">
        <v>380860000</v>
      </c>
      <c r="H1145">
        <v>1084533.52</v>
      </c>
      <c r="I1145">
        <v>179250000</v>
      </c>
      <c r="J1145">
        <v>1.5217294281729429E-4</v>
      </c>
      <c r="K1145">
        <v>77740.31</v>
      </c>
      <c r="L1145">
        <v>0.19489999999999999</v>
      </c>
      <c r="M1145">
        <v>41958240000</v>
      </c>
      <c r="N1145">
        <v>16631849999.999998</v>
      </c>
      <c r="O1145">
        <v>435200000</v>
      </c>
      <c r="P1145">
        <v>292100000</v>
      </c>
      <c r="Q1145">
        <v>8769580000</v>
      </c>
      <c r="R1145">
        <v>9.8652357930107408E-9</v>
      </c>
      <c r="S1145">
        <v>0.20900733681870354</v>
      </c>
      <c r="U1145">
        <v>0.26763990267639903</v>
      </c>
      <c r="V1145">
        <v>6.15</v>
      </c>
      <c r="W1145">
        <v>4.66</v>
      </c>
      <c r="X1145">
        <f t="shared" si="18"/>
        <v>0.27567067530064759</v>
      </c>
      <c r="Y1145">
        <v>26317629</v>
      </c>
      <c r="Z1145">
        <v>278880000</v>
      </c>
      <c r="AA1145">
        <v>122640151.14</v>
      </c>
      <c r="AB1145">
        <v>243270000</v>
      </c>
      <c r="AC1145">
        <v>0.10818279689234184</v>
      </c>
      <c r="AD1145">
        <v>78848.009999999995</v>
      </c>
      <c r="AE1145">
        <v>0.1741</v>
      </c>
      <c r="AF1145">
        <v>13558250000</v>
      </c>
      <c r="AG1145">
        <v>10770950000</v>
      </c>
      <c r="AH1145">
        <v>-152520000</v>
      </c>
      <c r="AI1145">
        <v>35790000</v>
      </c>
      <c r="AJ1145">
        <v>6060460000</v>
      </c>
      <c r="AK1145">
        <v>2.2278514921589403E-9</v>
      </c>
      <c r="AL1145">
        <v>0.44699426548411486</v>
      </c>
    </row>
    <row r="1146" spans="2:38">
      <c r="B1146">
        <v>3.9312039312039346E-2</v>
      </c>
      <c r="C1146">
        <v>40.94</v>
      </c>
      <c r="D1146">
        <v>40</v>
      </c>
      <c r="E1146">
        <v>2.3227081788979434E-2</v>
      </c>
      <c r="F1146">
        <v>26987</v>
      </c>
      <c r="G1146">
        <v>380860000</v>
      </c>
      <c r="H1146">
        <v>1084607.53</v>
      </c>
      <c r="I1146">
        <v>179250000</v>
      </c>
      <c r="J1146">
        <v>1.5055509065550906E-4</v>
      </c>
      <c r="K1146">
        <v>77886.990000000005</v>
      </c>
      <c r="L1146">
        <v>0.19489999999999999</v>
      </c>
      <c r="M1146">
        <v>41958240000</v>
      </c>
      <c r="N1146">
        <v>16631849999.999998</v>
      </c>
      <c r="O1146">
        <v>435200000</v>
      </c>
      <c r="P1146">
        <v>292100000</v>
      </c>
      <c r="Q1146">
        <v>8769580000</v>
      </c>
      <c r="R1146">
        <v>1.6343244992910193E-8</v>
      </c>
      <c r="S1146">
        <v>0.20900733681870354</v>
      </c>
      <c r="U1146">
        <v>8.4507042253521208E-2</v>
      </c>
      <c r="V1146">
        <v>3.69</v>
      </c>
      <c r="W1146">
        <v>3.61</v>
      </c>
      <c r="X1146">
        <f t="shared" si="18"/>
        <v>2.1917808219178103E-2</v>
      </c>
      <c r="Y1146">
        <v>1665992</v>
      </c>
      <c r="Z1146">
        <v>278880000</v>
      </c>
      <c r="AA1146">
        <v>6097530.7200000007</v>
      </c>
      <c r="AB1146">
        <v>243270000</v>
      </c>
      <c r="AC1146">
        <v>6.8483249064825091E-3</v>
      </c>
      <c r="AD1146">
        <v>78356.320000000007</v>
      </c>
      <c r="AE1146">
        <v>0.17469999999999999</v>
      </c>
      <c r="AF1146">
        <v>13558250000</v>
      </c>
      <c r="AG1146">
        <v>10770950000</v>
      </c>
      <c r="AH1146">
        <v>-152520000</v>
      </c>
      <c r="AI1146">
        <v>35790000</v>
      </c>
      <c r="AJ1146">
        <v>6060460000</v>
      </c>
      <c r="AK1146">
        <v>4.6067644314302788E-9</v>
      </c>
      <c r="AL1146">
        <v>0.44699426548411486</v>
      </c>
    </row>
    <row r="1147" spans="2:38">
      <c r="B1147">
        <v>3.6919159770846671E-2</v>
      </c>
      <c r="C1147">
        <v>39.4</v>
      </c>
      <c r="D1147">
        <v>38.549999999999997</v>
      </c>
      <c r="E1147">
        <v>2.1808851828094972E-2</v>
      </c>
      <c r="F1147">
        <v>34065</v>
      </c>
      <c r="G1147">
        <v>380860000</v>
      </c>
      <c r="H1147">
        <v>1345226.85</v>
      </c>
      <c r="I1147">
        <v>179250000</v>
      </c>
      <c r="J1147">
        <v>1.900418410041841E-4</v>
      </c>
      <c r="K1147">
        <v>78628.81</v>
      </c>
      <c r="L1147">
        <v>0.19489999999999999</v>
      </c>
      <c r="M1147">
        <v>41958240000</v>
      </c>
      <c r="N1147">
        <v>16631849999.999998</v>
      </c>
      <c r="O1147">
        <v>435200000</v>
      </c>
      <c r="P1147">
        <v>292100000</v>
      </c>
      <c r="Q1147">
        <v>8769580000</v>
      </c>
      <c r="R1147">
        <v>1.1311727809749632E-9</v>
      </c>
      <c r="S1147">
        <v>0.20900733681870354</v>
      </c>
      <c r="U1147">
        <v>8.2191780821917762E-2</v>
      </c>
      <c r="V1147">
        <v>3.59</v>
      </c>
      <c r="W1147">
        <v>3.58</v>
      </c>
      <c r="X1147">
        <f t="shared" si="18"/>
        <v>2.7894002789399684E-3</v>
      </c>
      <c r="Y1147">
        <v>1727020</v>
      </c>
      <c r="Z1147">
        <v>278880000</v>
      </c>
      <c r="AA1147">
        <v>6148191.2000000002</v>
      </c>
      <c r="AB1147">
        <v>243270000</v>
      </c>
      <c r="AC1147">
        <v>7.0991902001890901E-3</v>
      </c>
      <c r="AD1147">
        <v>78283.3</v>
      </c>
      <c r="AE1147">
        <v>0.17469999999999999</v>
      </c>
      <c r="AF1147">
        <v>13558250000</v>
      </c>
      <c r="AG1147">
        <v>10770950000</v>
      </c>
      <c r="AH1147">
        <v>-152520000</v>
      </c>
      <c r="AI1147">
        <v>35790000</v>
      </c>
      <c r="AJ1147">
        <v>6060460000</v>
      </c>
      <c r="AK1147">
        <v>6.5761238600323883E-9</v>
      </c>
      <c r="AL1147">
        <v>0.44699426548411486</v>
      </c>
    </row>
    <row r="1148" spans="2:38">
      <c r="B1148">
        <v>3.8446652044897486E-2</v>
      </c>
      <c r="C1148">
        <v>39.5</v>
      </c>
      <c r="D1148">
        <v>38.5</v>
      </c>
      <c r="E1148">
        <v>2.564102564102564E-2</v>
      </c>
      <c r="F1148">
        <v>3170</v>
      </c>
      <c r="G1148">
        <v>380860000</v>
      </c>
      <c r="H1148">
        <v>124993.1</v>
      </c>
      <c r="I1148">
        <v>179250000</v>
      </c>
      <c r="J1148">
        <v>1.7684797768479778E-5</v>
      </c>
      <c r="K1148">
        <v>78827.740000000005</v>
      </c>
      <c r="L1148">
        <v>0.19489999999999999</v>
      </c>
      <c r="M1148">
        <v>41958240000</v>
      </c>
      <c r="N1148">
        <v>16631849999.999998</v>
      </c>
      <c r="O1148">
        <v>435200000</v>
      </c>
      <c r="P1148">
        <v>292100000</v>
      </c>
      <c r="Q1148">
        <v>8769580000</v>
      </c>
      <c r="R1148">
        <v>6.0411087020218407E-8</v>
      </c>
      <c r="S1148">
        <v>0.20900733681870354</v>
      </c>
      <c r="U1148">
        <v>7.9999999999999946E-2</v>
      </c>
      <c r="V1148">
        <v>3.7</v>
      </c>
      <c r="W1148">
        <v>3.69</v>
      </c>
      <c r="X1148">
        <f t="shared" si="18"/>
        <v>2.7063599458728633E-3</v>
      </c>
      <c r="Y1148">
        <v>3784591</v>
      </c>
      <c r="Z1148">
        <v>278880000</v>
      </c>
      <c r="AA1148">
        <v>14040832.609999999</v>
      </c>
      <c r="AB1148">
        <v>243270000</v>
      </c>
      <c r="AC1148">
        <v>1.5557162823200559E-2</v>
      </c>
      <c r="AD1148">
        <v>78488.22</v>
      </c>
      <c r="AE1148">
        <v>0.17469999999999999</v>
      </c>
      <c r="AF1148">
        <v>13558250000</v>
      </c>
      <c r="AG1148">
        <v>10770950000</v>
      </c>
      <c r="AH1148">
        <v>-152520000</v>
      </c>
      <c r="AI1148">
        <v>35790000</v>
      </c>
      <c r="AJ1148">
        <v>6060460000</v>
      </c>
      <c r="AK1148">
        <v>1.3696316853085244E-9</v>
      </c>
      <c r="AL1148">
        <v>0.44699426548411486</v>
      </c>
    </row>
    <row r="1149" spans="2:38">
      <c r="B1149">
        <v>4.7215807031049613E-2</v>
      </c>
      <c r="C1149">
        <v>39.76</v>
      </c>
      <c r="D1149">
        <v>38.5</v>
      </c>
      <c r="E1149">
        <v>3.2200357781753085E-2</v>
      </c>
      <c r="F1149">
        <v>2024</v>
      </c>
      <c r="G1149">
        <v>380860000</v>
      </c>
      <c r="H1149">
        <v>80413.51999999999</v>
      </c>
      <c r="I1149">
        <v>179250000</v>
      </c>
      <c r="J1149">
        <v>1.1291492329149233E-5</v>
      </c>
      <c r="K1149">
        <v>78029.509999999995</v>
      </c>
      <c r="L1149">
        <v>0.19489999999999999</v>
      </c>
      <c r="M1149">
        <v>41958240000</v>
      </c>
      <c r="N1149">
        <v>16631849999.999998</v>
      </c>
      <c r="O1149">
        <v>435200000</v>
      </c>
      <c r="P1149">
        <v>292100000</v>
      </c>
      <c r="Q1149">
        <v>8769580000</v>
      </c>
      <c r="R1149">
        <v>9.779485355166015E-8</v>
      </c>
      <c r="S1149">
        <v>0.20900733681870354</v>
      </c>
      <c r="U1149">
        <v>5.1420838971583199E-2</v>
      </c>
      <c r="V1149">
        <v>3.69</v>
      </c>
      <c r="W1149">
        <v>3.65</v>
      </c>
      <c r="X1149">
        <f t="shared" si="18"/>
        <v>1.0899182561307912E-2</v>
      </c>
      <c r="Y1149">
        <v>1981028</v>
      </c>
      <c r="Z1149">
        <v>278880000</v>
      </c>
      <c r="AA1149">
        <v>7210941.9199999999</v>
      </c>
      <c r="AB1149">
        <v>243270000</v>
      </c>
      <c r="AC1149">
        <v>8.1433304558720769E-3</v>
      </c>
      <c r="AD1149">
        <v>78349.66</v>
      </c>
      <c r="AE1149">
        <v>0.17469999999999999</v>
      </c>
      <c r="AF1149">
        <v>13558250000</v>
      </c>
      <c r="AG1149">
        <v>10770950000</v>
      </c>
      <c r="AH1149">
        <v>-152520000</v>
      </c>
      <c r="AI1149">
        <v>35790000</v>
      </c>
      <c r="AJ1149">
        <v>6060460000</v>
      </c>
      <c r="AK1149">
        <v>7.6617755901340609E-10</v>
      </c>
      <c r="AL1149">
        <v>0.44699426548411486</v>
      </c>
    </row>
    <row r="1150" spans="2:38">
      <c r="B1150">
        <v>4.6094750320102545E-2</v>
      </c>
      <c r="C1150">
        <v>39.65</v>
      </c>
      <c r="D1150">
        <v>38.200000000000003</v>
      </c>
      <c r="E1150">
        <v>3.7251123956326161E-2</v>
      </c>
      <c r="F1150">
        <v>1351</v>
      </c>
      <c r="G1150">
        <v>380860000</v>
      </c>
      <c r="H1150">
        <v>53256.420000000006</v>
      </c>
      <c r="I1150">
        <v>179250000</v>
      </c>
      <c r="J1150">
        <v>7.5369595536959554E-6</v>
      </c>
      <c r="K1150">
        <v>78469.33</v>
      </c>
      <c r="L1150">
        <v>0.19489999999999999</v>
      </c>
      <c r="M1150">
        <v>41958240000</v>
      </c>
      <c r="N1150">
        <v>16631849999.999998</v>
      </c>
      <c r="O1150">
        <v>435200000</v>
      </c>
      <c r="P1150">
        <v>292100000</v>
      </c>
      <c r="Q1150">
        <v>8769580000</v>
      </c>
      <c r="R1150">
        <v>2.5100465360793672E-7</v>
      </c>
      <c r="S1150">
        <v>0.20900733681870354</v>
      </c>
      <c r="U1150">
        <v>6.7114093959731544E-2</v>
      </c>
      <c r="V1150">
        <v>3.68</v>
      </c>
      <c r="W1150">
        <v>3.61</v>
      </c>
      <c r="X1150">
        <f t="shared" si="18"/>
        <v>1.9204389574760023E-2</v>
      </c>
      <c r="Y1150">
        <v>4129205</v>
      </c>
      <c r="Z1150">
        <v>278880000</v>
      </c>
      <c r="AA1150">
        <v>14947722.1</v>
      </c>
      <c r="AB1150">
        <v>243270000</v>
      </c>
      <c r="AC1150">
        <v>1.6973753442676862E-2</v>
      </c>
      <c r="AD1150">
        <v>77992.789999999994</v>
      </c>
      <c r="AE1150">
        <v>0.17469999999999999</v>
      </c>
      <c r="AF1150">
        <v>13558250000</v>
      </c>
      <c r="AG1150">
        <v>10770950000</v>
      </c>
      <c r="AH1150">
        <v>-152520000</v>
      </c>
      <c r="AI1150">
        <v>35790000</v>
      </c>
      <c r="AJ1150">
        <v>6060460000</v>
      </c>
      <c r="AK1150">
        <v>2.4909509491878636E-9</v>
      </c>
      <c r="AL1150">
        <v>0.44699426548411486</v>
      </c>
    </row>
    <row r="1151" spans="2:38">
      <c r="B1151">
        <v>4.4164037854889593E-2</v>
      </c>
      <c r="C1151">
        <v>39.5</v>
      </c>
      <c r="D1151">
        <v>38.75</v>
      </c>
      <c r="E1151">
        <v>1.9169329073482427E-2</v>
      </c>
      <c r="F1151">
        <v>49090</v>
      </c>
      <c r="G1151">
        <v>380860000</v>
      </c>
      <c r="H1151">
        <v>1909601</v>
      </c>
      <c r="I1151">
        <v>179250000</v>
      </c>
      <c r="J1151">
        <v>2.7386331938633195E-4</v>
      </c>
      <c r="K1151">
        <v>79397.009999999995</v>
      </c>
      <c r="L1151">
        <v>0.19489999999999999</v>
      </c>
      <c r="M1151">
        <v>41958240000</v>
      </c>
      <c r="N1151">
        <v>16631849999.999998</v>
      </c>
      <c r="O1151">
        <v>435200000</v>
      </c>
      <c r="P1151">
        <v>292100000</v>
      </c>
      <c r="Q1151">
        <v>8769580000</v>
      </c>
      <c r="R1151">
        <v>1.1136056168696651E-8</v>
      </c>
      <c r="S1151">
        <v>0.20900733681870354</v>
      </c>
      <c r="U1151">
        <v>5.5776892430278877E-2</v>
      </c>
      <c r="V1151">
        <v>3.8</v>
      </c>
      <c r="W1151">
        <v>3.79</v>
      </c>
      <c r="X1151">
        <f t="shared" si="18"/>
        <v>2.6350461133069266E-3</v>
      </c>
      <c r="Y1151">
        <v>4809186</v>
      </c>
      <c r="Z1151">
        <v>278880000</v>
      </c>
      <c r="AA1151">
        <v>18082539.359999999</v>
      </c>
      <c r="AB1151">
        <v>243270000</v>
      </c>
      <c r="AC1151">
        <v>1.9768923418423973E-2</v>
      </c>
      <c r="AD1151">
        <v>78084.240000000005</v>
      </c>
      <c r="AE1151">
        <v>0.17469999999999999</v>
      </c>
      <c r="AF1151">
        <v>13558250000</v>
      </c>
      <c r="AG1151">
        <v>10770950000</v>
      </c>
      <c r="AH1151">
        <v>-152520000</v>
      </c>
      <c r="AI1151">
        <v>35790000</v>
      </c>
      <c r="AJ1151">
        <v>6060460000</v>
      </c>
      <c r="AK1151">
        <v>2.9573244533988873E-10</v>
      </c>
      <c r="AL1151">
        <v>0.44699426548411486</v>
      </c>
    </row>
    <row r="1152" spans="2:38">
      <c r="B1152">
        <v>0.12201591511936336</v>
      </c>
      <c r="C1152">
        <v>38.97</v>
      </c>
      <c r="D1152">
        <v>38</v>
      </c>
      <c r="E1152">
        <v>2.5204625178640999E-2</v>
      </c>
      <c r="F1152">
        <v>35615</v>
      </c>
      <c r="G1152">
        <v>380860000</v>
      </c>
      <c r="H1152">
        <v>1356575.35</v>
      </c>
      <c r="I1152">
        <v>179250000</v>
      </c>
      <c r="J1152">
        <v>1.9868898186889818E-4</v>
      </c>
      <c r="K1152">
        <v>78987.09</v>
      </c>
      <c r="L1152">
        <v>0.19489999999999999</v>
      </c>
      <c r="M1152">
        <v>41958240000</v>
      </c>
      <c r="N1152">
        <v>16631849999.999998</v>
      </c>
      <c r="O1152">
        <v>435200000</v>
      </c>
      <c r="P1152">
        <v>292100000</v>
      </c>
      <c r="Q1152">
        <v>8769580000</v>
      </c>
      <c r="R1152">
        <v>5.5699219064909966E-9</v>
      </c>
      <c r="S1152">
        <v>0.20900733681870354</v>
      </c>
      <c r="U1152">
        <v>0.17910447761194026</v>
      </c>
      <c r="V1152">
        <v>3.74</v>
      </c>
      <c r="W1152">
        <v>3.73</v>
      </c>
      <c r="X1152">
        <f t="shared" si="18"/>
        <v>2.6773761713521364E-3</v>
      </c>
      <c r="Y1152">
        <v>13068701</v>
      </c>
      <c r="Z1152">
        <v>278880000</v>
      </c>
      <c r="AA1152">
        <v>48876941.740000002</v>
      </c>
      <c r="AB1152">
        <v>243270000</v>
      </c>
      <c r="AC1152">
        <v>5.3720972581904877E-2</v>
      </c>
      <c r="AD1152">
        <v>78571.06</v>
      </c>
      <c r="AE1152">
        <v>0.17469999999999999</v>
      </c>
      <c r="AF1152">
        <v>13558250000</v>
      </c>
      <c r="AG1152">
        <v>10770950000</v>
      </c>
      <c r="AH1152">
        <v>-152520000</v>
      </c>
      <c r="AI1152">
        <v>35790000</v>
      </c>
      <c r="AJ1152">
        <v>6060460000</v>
      </c>
      <c r="AK1152">
        <v>2.0213044680338379E-9</v>
      </c>
      <c r="AL1152">
        <v>0.44699426548411486</v>
      </c>
    </row>
    <row r="1153" spans="2:38">
      <c r="B1153">
        <v>0.12658227848101267</v>
      </c>
      <c r="C1153">
        <v>38.380000000000003</v>
      </c>
      <c r="D1153">
        <v>37.5</v>
      </c>
      <c r="E1153">
        <v>2.3194517659462378E-2</v>
      </c>
      <c r="F1153">
        <v>20437</v>
      </c>
      <c r="G1153">
        <v>380860000</v>
      </c>
      <c r="H1153">
        <v>784372.06</v>
      </c>
      <c r="I1153">
        <v>179250000</v>
      </c>
      <c r="J1153">
        <v>1.140139470013947E-4</v>
      </c>
      <c r="K1153">
        <v>78539.19</v>
      </c>
      <c r="L1153">
        <v>0.19489999999999999</v>
      </c>
      <c r="M1153">
        <v>41958240000</v>
      </c>
      <c r="N1153">
        <v>16631849999.999998</v>
      </c>
      <c r="O1153">
        <v>435200000</v>
      </c>
      <c r="P1153">
        <v>292100000</v>
      </c>
      <c r="Q1153">
        <v>8769580000</v>
      </c>
      <c r="R1153">
        <v>0</v>
      </c>
      <c r="S1153">
        <v>0.20900733681870354</v>
      </c>
      <c r="U1153">
        <v>0.11881188118811892</v>
      </c>
      <c r="V1153">
        <v>4.2</v>
      </c>
      <c r="W1153">
        <v>4.16</v>
      </c>
      <c r="X1153">
        <f t="shared" si="18"/>
        <v>9.5693779904306303E-3</v>
      </c>
      <c r="Y1153">
        <v>36736701</v>
      </c>
      <c r="Z1153">
        <v>278880000</v>
      </c>
      <c r="AA1153">
        <v>152457309.15000001</v>
      </c>
      <c r="AB1153">
        <v>243270000</v>
      </c>
      <c r="AC1153">
        <v>0.15101204834134913</v>
      </c>
      <c r="AD1153">
        <v>78801.429999999993</v>
      </c>
      <c r="AE1153">
        <v>0.17469999999999999</v>
      </c>
      <c r="AF1153">
        <v>13558250000</v>
      </c>
      <c r="AG1153">
        <v>10770950000</v>
      </c>
      <c r="AH1153">
        <v>-152520000</v>
      </c>
      <c r="AI1153">
        <v>35790000</v>
      </c>
      <c r="AJ1153">
        <v>6060460000</v>
      </c>
      <c r="AK1153">
        <v>7.9774215024325494E-10</v>
      </c>
      <c r="AL1153">
        <v>0.44699426548411486</v>
      </c>
    </row>
    <row r="1154" spans="2:38">
      <c r="B1154">
        <v>0</v>
      </c>
      <c r="C1154">
        <v>0</v>
      </c>
      <c r="D1154">
        <v>0</v>
      </c>
      <c r="E1154">
        <v>0</v>
      </c>
      <c r="F1154">
        <v>0</v>
      </c>
      <c r="G1154">
        <v>0</v>
      </c>
      <c r="H1154">
        <v>0</v>
      </c>
      <c r="I1154">
        <v>0</v>
      </c>
      <c r="J1154">
        <v>0</v>
      </c>
      <c r="K1154">
        <v>0</v>
      </c>
      <c r="L1154">
        <v>0</v>
      </c>
      <c r="M1154">
        <v>0</v>
      </c>
      <c r="N1154">
        <v>0</v>
      </c>
      <c r="O1154">
        <v>0</v>
      </c>
      <c r="P1154">
        <v>0</v>
      </c>
      <c r="Q1154">
        <v>0</v>
      </c>
      <c r="R1154">
        <v>0</v>
      </c>
      <c r="S1154">
        <v>0</v>
      </c>
      <c r="U1154">
        <v>0.16827586206896561</v>
      </c>
      <c r="V1154">
        <v>3.7</v>
      </c>
      <c r="W1154">
        <v>3.69</v>
      </c>
      <c r="X1154">
        <f t="shared" si="18"/>
        <v>2.7063599458728633E-3</v>
      </c>
      <c r="Y1154">
        <v>21707363</v>
      </c>
      <c r="Z1154">
        <v>278880000</v>
      </c>
      <c r="AA1154">
        <v>80317243.100000009</v>
      </c>
      <c r="AB1154">
        <v>243270000</v>
      </c>
      <c r="AC1154">
        <v>8.9231565749989722E-2</v>
      </c>
      <c r="AD1154">
        <v>78793.41</v>
      </c>
      <c r="AE1154">
        <v>0.17469999999999999</v>
      </c>
      <c r="AF1154">
        <v>13558250000</v>
      </c>
      <c r="AG1154">
        <v>10770950000</v>
      </c>
      <c r="AH1154">
        <v>-152520000</v>
      </c>
      <c r="AI1154">
        <v>35790000</v>
      </c>
      <c r="AJ1154">
        <v>6060460000</v>
      </c>
      <c r="AK1154">
        <v>1.5942875470510886E-9</v>
      </c>
      <c r="AL1154">
        <v>0.44699426548411486</v>
      </c>
    </row>
    <row r="1155" spans="2:38">
      <c r="B1155" t="str">
        <v>Relative high-low price</v>
      </c>
      <c r="C1155" t="str">
        <v>Ask price</v>
      </c>
      <c r="D1155" t="str">
        <v xml:space="preserve">Bid price </v>
      </c>
      <c r="E1155" t="str">
        <v xml:space="preserve">Relative Bid-Ask Spread </v>
      </c>
      <c r="F1155" t="str">
        <v>daily trading volume</v>
      </c>
      <c r="G1155" t="str">
        <v xml:space="preserve">Common shares outstanding </v>
      </c>
      <c r="H1155" t="str">
        <v xml:space="preserve">Trading value </v>
      </c>
      <c r="I1155" t="str">
        <v xml:space="preserve">free float shares </v>
      </c>
      <c r="J1155" t="str">
        <v>Turnover</v>
      </c>
      <c r="K1155" t="str">
        <v>Daily kse-100 index</v>
      </c>
      <c r="L1155" t="str">
        <v xml:space="preserve">Risk free rate </v>
      </c>
      <c r="M1155" t="str">
        <v xml:space="preserve">Total assets </v>
      </c>
      <c r="N1155" t="str">
        <v xml:space="preserve">total liabilities </v>
      </c>
      <c r="O1155" t="str">
        <v>EBITDA</v>
      </c>
      <c r="P1155" t="str">
        <v xml:space="preserve">Cash and equivalents </v>
      </c>
      <c r="Q1155" t="str">
        <v xml:space="preserve">total debt </v>
      </c>
      <c r="R1155" t="str">
        <v>Amihud illiquidity ratio</v>
      </c>
      <c r="S1155" t="str">
        <v>Leverage ratio</v>
      </c>
      <c r="U1155">
        <v>2.7734976887519216E-2</v>
      </c>
      <c r="V1155">
        <v>3.29</v>
      </c>
      <c r="W1155">
        <v>3.28</v>
      </c>
      <c r="X1155">
        <f t="shared" si="18"/>
        <v>3.0441400304414704E-3</v>
      </c>
      <c r="Y1155">
        <v>944969</v>
      </c>
      <c r="Z1155">
        <v>278880000</v>
      </c>
      <c r="AA1155">
        <v>3099498.32</v>
      </c>
      <c r="AB1155">
        <v>243270000</v>
      </c>
      <c r="AC1155">
        <v>3.8844452665762323E-3</v>
      </c>
      <c r="AD1155">
        <v>78260.86</v>
      </c>
      <c r="AE1155">
        <v>0.17469999999999999</v>
      </c>
      <c r="AF1155">
        <v>13558250000</v>
      </c>
      <c r="AG1155">
        <v>10770950000</v>
      </c>
      <c r="AH1155">
        <v>-152520000</v>
      </c>
      <c r="AI1155">
        <v>35790000</v>
      </c>
      <c r="AJ1155">
        <v>6060460000</v>
      </c>
      <c r="AK1155">
        <v>8.0658214391288609E-9</v>
      </c>
      <c r="AL1155">
        <v>0.44699426548411486</v>
      </c>
    </row>
    <row r="1156" spans="2:38">
      <c r="B1156">
        <v>8.5870413739266183E-2</v>
      </c>
      <c r="C1156">
        <v>6.33</v>
      </c>
      <c r="D1156">
        <v>6.27</v>
      </c>
      <c r="E1156">
        <v>9.5238095238096027E-3</v>
      </c>
      <c r="F1156">
        <v>18851097</v>
      </c>
      <c r="G1156">
        <v>278880000</v>
      </c>
      <c r="H1156">
        <v>118384889.16000001</v>
      </c>
      <c r="I1156">
        <v>243270000</v>
      </c>
      <c r="J1156">
        <v>7.7490430385990877E-2</v>
      </c>
      <c r="K1156">
        <v>82074.45</v>
      </c>
      <c r="L1156">
        <v>0.1741</v>
      </c>
      <c r="M1156">
        <v>13558250000</v>
      </c>
      <c r="N1156">
        <v>10770950000</v>
      </c>
      <c r="O1156">
        <v>-152520000</v>
      </c>
      <c r="P1156">
        <v>35790000</v>
      </c>
      <c r="Q1156">
        <v>6060460000</v>
      </c>
      <c r="R1156">
        <v>4.0545715201141289E-11</v>
      </c>
      <c r="S1156">
        <v>0.44699426548411486</v>
      </c>
      <c r="U1156">
        <v>5.5555555555555601E-2</v>
      </c>
      <c r="V1156">
        <v>3.22</v>
      </c>
      <c r="W1156">
        <v>3.18</v>
      </c>
      <c r="X1156">
        <f t="shared" si="18"/>
        <v>1.2500000000000011E-2</v>
      </c>
      <c r="Y1156">
        <v>602788</v>
      </c>
      <c r="Z1156">
        <v>278880000</v>
      </c>
      <c r="AA1156">
        <v>1928921.6</v>
      </c>
      <c r="AB1156">
        <v>243270000</v>
      </c>
      <c r="AC1156">
        <v>2.4778558802976119E-3</v>
      </c>
      <c r="AD1156">
        <v>77745.52</v>
      </c>
      <c r="AE1156">
        <v>0.189</v>
      </c>
      <c r="AF1156">
        <v>13558250000</v>
      </c>
      <c r="AG1156">
        <v>10770950000</v>
      </c>
      <c r="AH1156">
        <v>-152520000</v>
      </c>
      <c r="AI1156">
        <v>35790000</v>
      </c>
      <c r="AJ1156">
        <v>6060460000</v>
      </c>
      <c r="AK1156">
        <v>1.615029246138216E-9</v>
      </c>
      <c r="AL1156">
        <v>0.44699426548411486</v>
      </c>
    </row>
    <row r="1157" spans="2:38">
      <c r="B1157">
        <v>0.15267175572519084</v>
      </c>
      <c r="C1157">
        <v>6.37</v>
      </c>
      <c r="D1157">
        <v>6.35</v>
      </c>
      <c r="E1157">
        <v>3.1446540880503875E-3</v>
      </c>
      <c r="F1157">
        <v>11844966</v>
      </c>
      <c r="G1157">
        <v>278880000</v>
      </c>
      <c r="H1157">
        <v>74031037.5</v>
      </c>
      <c r="I1157">
        <v>243270000</v>
      </c>
      <c r="J1157">
        <v>4.8690615365643113E-2</v>
      </c>
      <c r="K1157">
        <v>81459.289999999994</v>
      </c>
      <c r="L1157">
        <v>0.1741</v>
      </c>
      <c r="M1157">
        <v>13558250000</v>
      </c>
      <c r="N1157">
        <v>10770950000</v>
      </c>
      <c r="O1157">
        <v>-152520000</v>
      </c>
      <c r="P1157">
        <v>35790000</v>
      </c>
      <c r="Q1157">
        <v>6060460000</v>
      </c>
      <c r="R1157">
        <v>1.3429992943691942E-9</v>
      </c>
      <c r="S1157">
        <v>0.44699426548411486</v>
      </c>
      <c r="U1157">
        <v>6.0606060606060531E-2</v>
      </c>
      <c r="V1157">
        <v>3.22</v>
      </c>
      <c r="W1157">
        <v>3.2</v>
      </c>
      <c r="X1157">
        <f t="shared" si="18"/>
        <v>6.2305295950155822E-3</v>
      </c>
      <c r="Y1157">
        <v>1163357</v>
      </c>
      <c r="Z1157">
        <v>278880000</v>
      </c>
      <c r="AA1157">
        <v>3734375.9699999997</v>
      </c>
      <c r="AB1157">
        <v>243270000</v>
      </c>
      <c r="AC1157">
        <v>4.7821638508652939E-3</v>
      </c>
      <c r="AD1157">
        <v>77830.34</v>
      </c>
      <c r="AE1157">
        <v>0.189</v>
      </c>
      <c r="AF1157">
        <v>13558250000</v>
      </c>
      <c r="AG1157">
        <v>10770950000</v>
      </c>
      <c r="AH1157">
        <v>-152520000</v>
      </c>
      <c r="AI1157">
        <v>35790000</v>
      </c>
      <c r="AJ1157">
        <v>6060460000</v>
      </c>
      <c r="AK1157">
        <v>7.3031551969651388E-9</v>
      </c>
      <c r="AL1157">
        <v>0.44699426548411486</v>
      </c>
    </row>
    <row r="1158" spans="2:38">
      <c r="B1158">
        <v>8.1395348837209378E-2</v>
      </c>
      <c r="C1158">
        <v>7</v>
      </c>
      <c r="D1158">
        <v>6.96</v>
      </c>
      <c r="E1158">
        <v>5.7306590257879706E-3</v>
      </c>
      <c r="F1158">
        <v>19649769</v>
      </c>
      <c r="G1158">
        <v>278880000</v>
      </c>
      <c r="H1158">
        <v>136369396.86000001</v>
      </c>
      <c r="I1158">
        <v>243270000</v>
      </c>
      <c r="J1158">
        <v>8.0773498581822673E-2</v>
      </c>
      <c r="K1158">
        <v>80461.34</v>
      </c>
      <c r="L1158">
        <v>0.1741</v>
      </c>
      <c r="M1158">
        <v>13558250000</v>
      </c>
      <c r="N1158">
        <v>10770950000</v>
      </c>
      <c r="O1158">
        <v>-152520000</v>
      </c>
      <c r="P1158">
        <v>35790000</v>
      </c>
      <c r="Q1158">
        <v>6060460000</v>
      </c>
      <c r="R1158">
        <v>2.1071906780821288E-11</v>
      </c>
      <c r="S1158">
        <v>0.44699426548411486</v>
      </c>
      <c r="U1158">
        <v>5.3254437869822535E-2</v>
      </c>
      <c r="V1158">
        <v>3.31</v>
      </c>
      <c r="W1158">
        <v>3.3</v>
      </c>
      <c r="X1158">
        <f t="shared" si="18"/>
        <v>3.0257186081695106E-3</v>
      </c>
      <c r="Y1158">
        <v>2430091</v>
      </c>
      <c r="Z1158">
        <v>278880000</v>
      </c>
      <c r="AA1158">
        <v>8019300.2999999998</v>
      </c>
      <c r="AB1158">
        <v>243270000</v>
      </c>
      <c r="AC1158">
        <v>9.9892752908291201E-3</v>
      </c>
      <c r="AD1158">
        <v>78045.31</v>
      </c>
      <c r="AE1158">
        <v>0.189</v>
      </c>
      <c r="AF1158">
        <v>13558250000</v>
      </c>
      <c r="AG1158">
        <v>10770950000</v>
      </c>
      <c r="AH1158">
        <v>-152520000</v>
      </c>
      <c r="AI1158">
        <v>35790000</v>
      </c>
      <c r="AJ1158">
        <v>6060460000</v>
      </c>
      <c r="AK1158">
        <v>3.7673461813792489E-10</v>
      </c>
      <c r="AL1158">
        <v>0.44699426548411486</v>
      </c>
    </row>
    <row r="1159" spans="2:38">
      <c r="B1159">
        <v>0.23678929765886284</v>
      </c>
      <c r="C1159">
        <v>6.69</v>
      </c>
      <c r="D1159">
        <v>6.66</v>
      </c>
      <c r="E1159">
        <v>4.4943820224719469E-3</v>
      </c>
      <c r="F1159">
        <v>56890305</v>
      </c>
      <c r="G1159">
        <v>278880000</v>
      </c>
      <c r="H1159">
        <v>395956522.80000001</v>
      </c>
      <c r="I1159">
        <v>243270000</v>
      </c>
      <c r="J1159">
        <v>0.23385664076951534</v>
      </c>
      <c r="K1159">
        <v>79491.14</v>
      </c>
      <c r="L1159">
        <v>0.1741</v>
      </c>
      <c r="M1159">
        <v>13558250000</v>
      </c>
      <c r="N1159">
        <v>10770950000</v>
      </c>
      <c r="O1159">
        <v>-152520000</v>
      </c>
      <c r="P1159">
        <v>35790000</v>
      </c>
      <c r="Q1159">
        <v>6060460000</v>
      </c>
      <c r="R1159">
        <v>1.3725705464488075E-10</v>
      </c>
      <c r="S1159">
        <v>0.44699426548411486</v>
      </c>
      <c r="U1159">
        <v>2.9850746268656747E-2</v>
      </c>
      <c r="V1159">
        <v>3.35</v>
      </c>
      <c r="W1159">
        <v>3.32</v>
      </c>
      <c r="X1159">
        <f t="shared" si="18"/>
        <v>8.9955022488756361E-3</v>
      </c>
      <c r="Y1159">
        <v>1414823</v>
      </c>
      <c r="Z1159">
        <v>278880000</v>
      </c>
      <c r="AA1159">
        <v>4683064.13</v>
      </c>
      <c r="AB1159">
        <v>243270000</v>
      </c>
      <c r="AC1159">
        <v>5.8158548115262877E-3</v>
      </c>
      <c r="AD1159">
        <v>78105.98</v>
      </c>
      <c r="AE1159">
        <v>0.189</v>
      </c>
      <c r="AF1159">
        <v>13558250000</v>
      </c>
      <c r="AG1159">
        <v>10770950000</v>
      </c>
      <c r="AH1159">
        <v>-152520000</v>
      </c>
      <c r="AI1159">
        <v>35790000</v>
      </c>
      <c r="AJ1159">
        <v>6060460000</v>
      </c>
      <c r="AK1159">
        <v>3.1776102073050895E-9</v>
      </c>
      <c r="AL1159">
        <v>0.44699426548411486</v>
      </c>
    </row>
    <row r="1160" spans="2:38">
      <c r="B1160">
        <v>0.11190817790530849</v>
      </c>
      <c r="C1160">
        <v>0</v>
      </c>
      <c r="D1160">
        <v>7.36</v>
      </c>
      <c r="E1160">
        <v>-2</v>
      </c>
      <c r="F1160">
        <v>35180306</v>
      </c>
      <c r="G1160">
        <v>278880000</v>
      </c>
      <c r="H1160">
        <v>258927052.16</v>
      </c>
      <c r="I1160">
        <v>243270000</v>
      </c>
      <c r="J1160">
        <v>0.1446142393225634</v>
      </c>
      <c r="K1160">
        <v>79333.06</v>
      </c>
      <c r="L1160">
        <v>0.1741</v>
      </c>
      <c r="M1160">
        <v>13558250000</v>
      </c>
      <c r="N1160">
        <v>10770950000</v>
      </c>
      <c r="O1160">
        <v>-152520000</v>
      </c>
      <c r="P1160">
        <v>35790000</v>
      </c>
      <c r="Q1160">
        <v>6060460000</v>
      </c>
      <c r="R1160">
        <v>6.0724711107187128E-10</v>
      </c>
      <c r="S1160">
        <v>0.44699426548411486</v>
      </c>
      <c r="U1160">
        <v>2.9850746268656747E-2</v>
      </c>
      <c r="V1160">
        <v>3.35</v>
      </c>
      <c r="W1160">
        <v>3.33</v>
      </c>
      <c r="X1160">
        <f t="shared" si="18"/>
        <v>5.988023952095814E-3</v>
      </c>
      <c r="Y1160">
        <v>2072898</v>
      </c>
      <c r="Z1160">
        <v>278880000</v>
      </c>
      <c r="AA1160">
        <v>6964937.2799999993</v>
      </c>
      <c r="AB1160">
        <v>243270000</v>
      </c>
      <c r="AC1160">
        <v>8.5209766925638183E-3</v>
      </c>
      <c r="AD1160">
        <v>77877.42</v>
      </c>
      <c r="AE1160">
        <v>0.189</v>
      </c>
      <c r="AF1160">
        <v>13558250000</v>
      </c>
      <c r="AG1160">
        <v>10770950000</v>
      </c>
      <c r="AH1160">
        <v>-152520000</v>
      </c>
      <c r="AI1160">
        <v>35790000</v>
      </c>
      <c r="AJ1160">
        <v>6060460000</v>
      </c>
      <c r="AK1160">
        <v>1.2934802779744414E-9</v>
      </c>
      <c r="AL1160">
        <v>0.44699426548411486</v>
      </c>
    </row>
    <row r="1161" spans="2:38">
      <c r="B1161">
        <v>4.6874999999999972E-2</v>
      </c>
      <c r="C1161">
        <v>6.4</v>
      </c>
      <c r="D1161">
        <v>6.35</v>
      </c>
      <c r="E1161">
        <v>7.8431372549020717E-3</v>
      </c>
      <c r="F1161">
        <v>10130782</v>
      </c>
      <c r="G1161">
        <v>278880000</v>
      </c>
      <c r="H1161">
        <v>64431773.520000003</v>
      </c>
      <c r="I1161">
        <v>243270000</v>
      </c>
      <c r="J1161">
        <v>4.1644189583590251E-2</v>
      </c>
      <c r="K1161">
        <v>79017.62</v>
      </c>
      <c r="L1161">
        <v>0.1741</v>
      </c>
      <c r="M1161">
        <v>13558250000</v>
      </c>
      <c r="N1161">
        <v>10770950000</v>
      </c>
      <c r="O1161">
        <v>-152520000</v>
      </c>
      <c r="P1161">
        <v>35790000</v>
      </c>
      <c r="Q1161">
        <v>6060460000</v>
      </c>
      <c r="R1161">
        <v>9.7001830906609582E-11</v>
      </c>
      <c r="S1161">
        <v>0.44699426548411486</v>
      </c>
      <c r="U1161">
        <v>6.2780269058295951E-2</v>
      </c>
      <c r="V1161">
        <v>3.35</v>
      </c>
      <c r="W1161">
        <v>3.32</v>
      </c>
      <c r="X1161">
        <f t="shared" si="18"/>
        <v>8.9955022488756361E-3</v>
      </c>
      <c r="Y1161">
        <v>2264657</v>
      </c>
      <c r="Z1161">
        <v>278880000</v>
      </c>
      <c r="AA1161">
        <v>7541307.8100000005</v>
      </c>
      <c r="AB1161">
        <v>243270000</v>
      </c>
      <c r="AC1161">
        <v>9.3092325399761582E-3</v>
      </c>
      <c r="AD1161">
        <v>77980.289999999994</v>
      </c>
      <c r="AE1161">
        <v>0.189</v>
      </c>
      <c r="AF1161">
        <v>13558250000</v>
      </c>
      <c r="AG1161">
        <v>10770950000</v>
      </c>
      <c r="AH1161">
        <v>-152520000</v>
      </c>
      <c r="AI1161">
        <v>35790000</v>
      </c>
      <c r="AJ1161">
        <v>6060460000</v>
      </c>
      <c r="AK1161">
        <v>3.9940661071771765E-10</v>
      </c>
      <c r="AL1161">
        <v>0.44699426548411486</v>
      </c>
    </row>
    <row r="1162" spans="2:38">
      <c r="B1162">
        <v>5.2877138413685826E-2</v>
      </c>
      <c r="C1162">
        <v>6.47</v>
      </c>
      <c r="D1162">
        <v>6.46</v>
      </c>
      <c r="E1162">
        <v>1.5467904098994257E-3</v>
      </c>
      <c r="F1162">
        <v>14794158</v>
      </c>
      <c r="G1162">
        <v>278880000</v>
      </c>
      <c r="H1162">
        <v>94682611.200000003</v>
      </c>
      <c r="I1162">
        <v>243270000</v>
      </c>
      <c r="J1162">
        <v>6.0813737822172892E-2</v>
      </c>
      <c r="K1162">
        <v>78651.8</v>
      </c>
      <c r="L1162">
        <v>0.1741</v>
      </c>
      <c r="M1162">
        <v>13558250000</v>
      </c>
      <c r="N1162">
        <v>10770950000</v>
      </c>
      <c r="O1162">
        <v>-152520000</v>
      </c>
      <c r="P1162">
        <v>35790000</v>
      </c>
      <c r="Q1162">
        <v>6060460000</v>
      </c>
      <c r="R1162">
        <v>9.8095369137795454E-11</v>
      </c>
      <c r="S1162">
        <v>0.44699426548411486</v>
      </c>
      <c r="U1162">
        <v>3.6474164133738635E-2</v>
      </c>
      <c r="V1162">
        <v>3.35</v>
      </c>
      <c r="W1162">
        <v>3.34</v>
      </c>
      <c r="X1162">
        <f t="shared" si="18"/>
        <v>2.9895366218236864E-3</v>
      </c>
      <c r="Y1162">
        <v>2504410</v>
      </c>
      <c r="Z1162">
        <v>278880000</v>
      </c>
      <c r="AA1162">
        <v>8314641.1999999993</v>
      </c>
      <c r="AB1162">
        <v>243270000</v>
      </c>
      <c r="AC1162">
        <v>1.0294775352489004E-2</v>
      </c>
      <c r="AD1162">
        <v>78569.59</v>
      </c>
      <c r="AE1162">
        <v>0.189</v>
      </c>
      <c r="AF1162">
        <v>13558250000</v>
      </c>
      <c r="AG1162">
        <v>10770950000</v>
      </c>
      <c r="AH1162">
        <v>-152520000</v>
      </c>
      <c r="AI1162">
        <v>35790000</v>
      </c>
      <c r="AJ1162">
        <v>6060460000</v>
      </c>
      <c r="AK1162">
        <v>2.5904258548717038E-9</v>
      </c>
      <c r="AL1162">
        <v>0.44699426548411486</v>
      </c>
    </row>
    <row r="1163" spans="2:38">
      <c r="B1163">
        <v>6.8217054263565807E-2</v>
      </c>
      <c r="C1163">
        <v>6.47</v>
      </c>
      <c r="D1163">
        <v>6.45</v>
      </c>
      <c r="E1163">
        <v>3.0959752321980762E-3</v>
      </c>
      <c r="F1163">
        <v>17724116</v>
      </c>
      <c r="G1163">
        <v>278880000</v>
      </c>
      <c r="H1163">
        <v>114497789.36</v>
      </c>
      <c r="I1163">
        <v>243270000</v>
      </c>
      <c r="J1163">
        <v>7.2857795864677111E-2</v>
      </c>
      <c r="K1163">
        <v>79286.740000000005</v>
      </c>
      <c r="L1163">
        <v>0.1741</v>
      </c>
      <c r="M1163">
        <v>13558250000</v>
      </c>
      <c r="N1163">
        <v>10770950000</v>
      </c>
      <c r="O1163">
        <v>-152520000</v>
      </c>
      <c r="P1163">
        <v>35790000</v>
      </c>
      <c r="Q1163">
        <v>6060460000</v>
      </c>
      <c r="R1163">
        <v>1.0951464672870491E-10</v>
      </c>
      <c r="S1163">
        <v>0.44699426548411486</v>
      </c>
      <c r="U1163">
        <v>6.6066066066065993E-2</v>
      </c>
      <c r="V1163">
        <v>3.27</v>
      </c>
      <c r="W1163">
        <v>3.23</v>
      </c>
      <c r="X1163">
        <f t="shared" si="18"/>
        <v>1.2307692307692318E-2</v>
      </c>
      <c r="Y1163">
        <v>827910</v>
      </c>
      <c r="Z1163">
        <v>278880000</v>
      </c>
      <c r="AA1163">
        <v>2690707.5</v>
      </c>
      <c r="AB1163">
        <v>243270000</v>
      </c>
      <c r="AC1163">
        <v>3.4032556418793934E-3</v>
      </c>
      <c r="AD1163">
        <v>77874.22</v>
      </c>
      <c r="AE1163">
        <v>0.189</v>
      </c>
      <c r="AF1163">
        <v>13558250000</v>
      </c>
      <c r="AG1163">
        <v>10770950000</v>
      </c>
      <c r="AH1163">
        <v>-152520000</v>
      </c>
      <c r="AI1163">
        <v>35790000</v>
      </c>
      <c r="AJ1163">
        <v>6060460000</v>
      </c>
      <c r="AK1163">
        <v>4.518534516013432E-9</v>
      </c>
      <c r="AL1163">
        <v>0.44699426548411486</v>
      </c>
    </row>
    <row r="1164" spans="2:38">
      <c r="B1164">
        <v>0.13733228097868969</v>
      </c>
      <c r="C1164">
        <v>6.45</v>
      </c>
      <c r="D1164">
        <v>6.43</v>
      </c>
      <c r="E1164">
        <v>3.105590062111873E-3</v>
      </c>
      <c r="F1164">
        <v>37264175</v>
      </c>
      <c r="G1164">
        <v>278880000</v>
      </c>
      <c r="H1164">
        <v>237745436.5</v>
      </c>
      <c r="I1164">
        <v>243270000</v>
      </c>
      <c r="J1164">
        <v>0.1531803140543429</v>
      </c>
      <c r="K1164">
        <v>78615</v>
      </c>
      <c r="L1164">
        <v>0.1741</v>
      </c>
      <c r="M1164">
        <v>13558250000</v>
      </c>
      <c r="N1164">
        <v>10770950000</v>
      </c>
      <c r="O1164">
        <v>-152520000</v>
      </c>
      <c r="P1164">
        <v>35790000</v>
      </c>
      <c r="Q1164">
        <v>6060460000</v>
      </c>
      <c r="R1164">
        <v>1.6441092816827294E-10</v>
      </c>
      <c r="S1164">
        <v>0.44699426548411486</v>
      </c>
      <c r="U1164">
        <v>8.5168869309838482E-2</v>
      </c>
      <c r="V1164">
        <v>3.29</v>
      </c>
      <c r="W1164">
        <v>3.28</v>
      </c>
      <c r="X1164">
        <f t="shared" si="18"/>
        <v>3.0441400304414704E-3</v>
      </c>
      <c r="Y1164">
        <v>3286863</v>
      </c>
      <c r="Z1164">
        <v>278880000</v>
      </c>
      <c r="AA1164">
        <v>10813779.27</v>
      </c>
      <c r="AB1164">
        <v>243270000</v>
      </c>
      <c r="AC1164">
        <v>1.351117277099519E-2</v>
      </c>
      <c r="AD1164">
        <v>77114.490000000005</v>
      </c>
      <c r="AE1164">
        <v>0.189</v>
      </c>
      <c r="AF1164">
        <v>13558250000</v>
      </c>
      <c r="AG1164">
        <v>10770950000</v>
      </c>
      <c r="AH1164">
        <v>-152520000</v>
      </c>
      <c r="AI1164">
        <v>35790000</v>
      </c>
      <c r="AJ1164">
        <v>6060460000</v>
      </c>
      <c r="AK1164">
        <v>3.7744737997238847E-9</v>
      </c>
      <c r="AL1164">
        <v>0.44699426548411486</v>
      </c>
    </row>
    <row r="1165" spans="2:38">
      <c r="B1165">
        <v>0.24364592462751983</v>
      </c>
      <c r="C1165">
        <v>6.15</v>
      </c>
      <c r="D1165">
        <v>6.14</v>
      </c>
      <c r="E1165">
        <v>1.6273393002442108E-3</v>
      </c>
      <c r="F1165">
        <v>80985708</v>
      </c>
      <c r="G1165">
        <v>278880000</v>
      </c>
      <c r="H1165">
        <v>497252247.11999995</v>
      </c>
      <c r="I1165">
        <v>243270000</v>
      </c>
      <c r="J1165">
        <v>0.33290462449130598</v>
      </c>
      <c r="K1165">
        <v>78897.73</v>
      </c>
      <c r="L1165">
        <v>0.1741</v>
      </c>
      <c r="M1165">
        <v>13558250000</v>
      </c>
      <c r="N1165">
        <v>10770950000</v>
      </c>
      <c r="O1165">
        <v>-152520000</v>
      </c>
      <c r="P1165">
        <v>35790000</v>
      </c>
      <c r="Q1165">
        <v>6060460000</v>
      </c>
      <c r="R1165">
        <v>1.7054855800336174E-10</v>
      </c>
      <c r="S1165">
        <v>0.44699426548411486</v>
      </c>
      <c r="U1165">
        <v>0.11267605633802814</v>
      </c>
      <c r="V1165">
        <v>3.46</v>
      </c>
      <c r="W1165">
        <v>3.44</v>
      </c>
      <c r="X1165">
        <f t="shared" si="18"/>
        <v>5.7971014492753676E-3</v>
      </c>
      <c r="Y1165">
        <v>9520888</v>
      </c>
      <c r="Z1165">
        <v>278880000</v>
      </c>
      <c r="AA1165">
        <v>32656645.84</v>
      </c>
      <c r="AB1165">
        <v>243270000</v>
      </c>
      <c r="AC1165">
        <v>3.913712336087475E-2</v>
      </c>
      <c r="AD1165">
        <v>77191.34</v>
      </c>
      <c r="AE1165">
        <v>0.19489999999999999</v>
      </c>
      <c r="AF1165">
        <v>13558250000</v>
      </c>
      <c r="AG1165">
        <v>10770950000</v>
      </c>
      <c r="AH1165">
        <v>-152520000</v>
      </c>
      <c r="AI1165">
        <v>35790000</v>
      </c>
      <c r="AJ1165">
        <v>6060460000</v>
      </c>
      <c r="AK1165">
        <v>1.7666329841395519E-9</v>
      </c>
      <c r="AL1165">
        <v>0.44699426548411486</v>
      </c>
    </row>
    <row r="1166" spans="2:38">
      <c r="B1166">
        <v>9.4357076780758511E-2</v>
      </c>
      <c r="C1166">
        <v>0</v>
      </c>
      <c r="D1166">
        <v>5.66</v>
      </c>
      <c r="E1166">
        <v>-2</v>
      </c>
      <c r="F1166">
        <v>66581544</v>
      </c>
      <c r="G1166">
        <v>278880000</v>
      </c>
      <c r="H1166">
        <v>376851539.04000002</v>
      </c>
      <c r="I1166">
        <v>243270000</v>
      </c>
      <c r="J1166">
        <v>0.27369401899124429</v>
      </c>
      <c r="K1166">
        <v>78863.34</v>
      </c>
      <c r="L1166">
        <v>0.1741</v>
      </c>
      <c r="M1166">
        <v>13558250000</v>
      </c>
      <c r="N1166">
        <v>10770950000</v>
      </c>
      <c r="O1166">
        <v>-152520000</v>
      </c>
      <c r="P1166">
        <v>35790000</v>
      </c>
      <c r="Q1166">
        <v>6060460000</v>
      </c>
      <c r="R1166">
        <v>5.6943451849704192E-10</v>
      </c>
      <c r="S1166">
        <v>0.44699426548411486</v>
      </c>
      <c r="U1166">
        <v>0.21238938053097353</v>
      </c>
      <c r="V1166">
        <v>3.63</v>
      </c>
      <c r="W1166">
        <v>3.62</v>
      </c>
      <c r="X1166">
        <f t="shared" si="18"/>
        <v>2.7586206896551137E-3</v>
      </c>
      <c r="Y1166">
        <v>19453743</v>
      </c>
      <c r="Z1166">
        <v>278880000</v>
      </c>
      <c r="AA1166">
        <v>70811624.519999996</v>
      </c>
      <c r="AB1166">
        <v>243270000</v>
      </c>
      <c r="AC1166">
        <v>7.9967702552719205E-2</v>
      </c>
      <c r="AD1166">
        <v>77084.490000000005</v>
      </c>
      <c r="AE1166">
        <v>0.19489999999999999</v>
      </c>
      <c r="AF1166">
        <v>13558250000</v>
      </c>
      <c r="AG1166">
        <v>10770950000</v>
      </c>
      <c r="AH1166">
        <v>-152520000</v>
      </c>
      <c r="AI1166">
        <v>35790000</v>
      </c>
      <c r="AJ1166">
        <v>6060460000</v>
      </c>
      <c r="AK1166">
        <v>2.787231932475818E-9</v>
      </c>
      <c r="AL1166">
        <v>0.44699426548411486</v>
      </c>
    </row>
    <row r="1167" spans="2:38">
      <c r="B1167">
        <v>0.26763990267639903</v>
      </c>
      <c r="C1167">
        <v>0</v>
      </c>
      <c r="D1167">
        <v>4.66</v>
      </c>
      <c r="E1167">
        <v>-2</v>
      </c>
      <c r="F1167">
        <v>26317629</v>
      </c>
      <c r="G1167">
        <v>278880000</v>
      </c>
      <c r="H1167">
        <v>122640151.14</v>
      </c>
      <c r="I1167">
        <v>243270000</v>
      </c>
      <c r="J1167">
        <v>0.10818279689234184</v>
      </c>
      <c r="K1167">
        <v>78848.009999999995</v>
      </c>
      <c r="L1167">
        <v>0.1741</v>
      </c>
      <c r="M1167">
        <v>13558250000</v>
      </c>
      <c r="N1167">
        <v>10770950000</v>
      </c>
      <c r="O1167">
        <v>-152520000</v>
      </c>
      <c r="P1167">
        <v>35790000</v>
      </c>
      <c r="Q1167">
        <v>6060460000</v>
      </c>
      <c r="R1167">
        <v>2.2278514921589403E-9</v>
      </c>
      <c r="S1167">
        <v>0.44699426548411486</v>
      </c>
      <c r="U1167">
        <v>6.4935064935064984E-2</v>
      </c>
      <c r="V1167">
        <v>3.03</v>
      </c>
      <c r="W1167">
        <v>3.02</v>
      </c>
      <c r="X1167">
        <f t="shared" si="18"/>
        <v>3.3057851239668718E-3</v>
      </c>
      <c r="Y1167">
        <v>4672540</v>
      </c>
      <c r="Z1167">
        <v>278880000</v>
      </c>
      <c r="AA1167">
        <v>14204521.6</v>
      </c>
      <c r="AB1167">
        <v>243270000</v>
      </c>
      <c r="AC1167">
        <v>1.9207218317096229E-2</v>
      </c>
      <c r="AD1167">
        <v>78225.98</v>
      </c>
      <c r="AE1167">
        <v>0.19489999999999999</v>
      </c>
      <c r="AF1167">
        <v>13558250000</v>
      </c>
      <c r="AG1167">
        <v>10770950000</v>
      </c>
      <c r="AH1167">
        <v>-152520000</v>
      </c>
      <c r="AI1167">
        <v>35790000</v>
      </c>
      <c r="AJ1167">
        <v>6060460000</v>
      </c>
      <c r="AK1167">
        <v>6.879490380502485E-10</v>
      </c>
      <c r="AL1167">
        <v>0.44699426548411486</v>
      </c>
    </row>
    <row r="1168" spans="2:38">
      <c r="B1168">
        <v>8.4507042253521208E-2</v>
      </c>
      <c r="C1168">
        <v>3.69</v>
      </c>
      <c r="D1168">
        <v>3.61</v>
      </c>
      <c r="E1168">
        <v>2.1917808219178103E-2</v>
      </c>
      <c r="F1168">
        <v>1665992</v>
      </c>
      <c r="G1168">
        <v>278880000</v>
      </c>
      <c r="H1168">
        <v>6097530.7200000007</v>
      </c>
      <c r="I1168">
        <v>243270000</v>
      </c>
      <c r="J1168">
        <v>6.8483249064825091E-3</v>
      </c>
      <c r="K1168">
        <v>78356.320000000007</v>
      </c>
      <c r="L1168">
        <v>0.17469999999999999</v>
      </c>
      <c r="M1168">
        <v>13558250000</v>
      </c>
      <c r="N1168">
        <v>10770950000</v>
      </c>
      <c r="O1168">
        <v>-152520000</v>
      </c>
      <c r="P1168">
        <v>35790000</v>
      </c>
      <c r="Q1168">
        <v>6060460000</v>
      </c>
      <c r="R1168">
        <v>4.6067644314302788E-9</v>
      </c>
      <c r="S1168">
        <v>0.44699426548411486</v>
      </c>
      <c r="U1168">
        <v>6.1389337641357018E-2</v>
      </c>
      <c r="V1168">
        <v>3.1</v>
      </c>
      <c r="W1168">
        <v>3.05</v>
      </c>
      <c r="X1168">
        <f t="shared" si="18"/>
        <v>1.6260162601626101E-2</v>
      </c>
      <c r="Y1168">
        <v>776357</v>
      </c>
      <c r="Z1168">
        <v>278880000</v>
      </c>
      <c r="AA1168">
        <v>2383415.9899999998</v>
      </c>
      <c r="AB1168">
        <v>243270000</v>
      </c>
      <c r="AC1168">
        <v>3.1913388416163111E-3</v>
      </c>
      <c r="AD1168">
        <v>77740.31</v>
      </c>
      <c r="AE1168">
        <v>0.19489999999999999</v>
      </c>
      <c r="AF1168">
        <v>13558250000</v>
      </c>
      <c r="AG1168">
        <v>10770950000</v>
      </c>
      <c r="AH1168">
        <v>-152520000</v>
      </c>
      <c r="AI1168">
        <v>35790000</v>
      </c>
      <c r="AJ1168">
        <v>6060460000</v>
      </c>
      <c r="AK1168">
        <v>1.3711302894334785E-9</v>
      </c>
      <c r="AL1168">
        <v>0.44699426548411486</v>
      </c>
    </row>
    <row r="1169" spans="2:38">
      <c r="B1169">
        <v>8.2191780821917762E-2</v>
      </c>
      <c r="C1169">
        <v>3.59</v>
      </c>
      <c r="D1169">
        <v>3.58</v>
      </c>
      <c r="E1169">
        <v>2.7894002789399684E-3</v>
      </c>
      <c r="F1169">
        <v>1727020</v>
      </c>
      <c r="G1169">
        <v>278880000</v>
      </c>
      <c r="H1169">
        <v>6148191.2000000002</v>
      </c>
      <c r="I1169">
        <v>243270000</v>
      </c>
      <c r="J1169">
        <v>7.0991902001890901E-3</v>
      </c>
      <c r="K1169">
        <v>78283.3</v>
      </c>
      <c r="L1169">
        <v>0.17469999999999999</v>
      </c>
      <c r="M1169">
        <v>13558250000</v>
      </c>
      <c r="N1169">
        <v>10770950000</v>
      </c>
      <c r="O1169">
        <v>-152520000</v>
      </c>
      <c r="P1169">
        <v>35790000</v>
      </c>
      <c r="Q1169">
        <v>6060460000</v>
      </c>
      <c r="R1169">
        <v>6.5761238600323883E-9</v>
      </c>
      <c r="S1169">
        <v>0.44699426548411486</v>
      </c>
      <c r="U1169">
        <v>6.4516129032258118E-2</v>
      </c>
      <c r="V1169">
        <v>3.08</v>
      </c>
      <c r="W1169">
        <v>3.06</v>
      </c>
      <c r="X1169">
        <f t="shared" si="18"/>
        <v>6.5146579804560316E-3</v>
      </c>
      <c r="Y1169">
        <v>1283996</v>
      </c>
      <c r="Z1169">
        <v>278880000</v>
      </c>
      <c r="AA1169">
        <v>3929027.7600000002</v>
      </c>
      <c r="AB1169">
        <v>243270000</v>
      </c>
      <c r="AC1169">
        <v>5.2780696345624207E-3</v>
      </c>
      <c r="AD1169">
        <v>77886.990000000005</v>
      </c>
      <c r="AE1169">
        <v>0.19489999999999999</v>
      </c>
      <c r="AF1169">
        <v>13558250000</v>
      </c>
      <c r="AG1169">
        <v>10770950000</v>
      </c>
      <c r="AH1169">
        <v>-152520000</v>
      </c>
      <c r="AI1169">
        <v>35790000</v>
      </c>
      <c r="AJ1169">
        <v>6060460000</v>
      </c>
      <c r="AK1169">
        <v>7.2718825919999412E-9</v>
      </c>
      <c r="AL1169">
        <v>0.44699426548411486</v>
      </c>
    </row>
    <row r="1170" spans="2:38">
      <c r="B1170">
        <v>7.9999999999999946E-2</v>
      </c>
      <c r="C1170">
        <v>3.7</v>
      </c>
      <c r="D1170">
        <v>3.69</v>
      </c>
      <c r="E1170">
        <v>2.7063599458728633E-3</v>
      </c>
      <c r="F1170">
        <v>3784591</v>
      </c>
      <c r="G1170">
        <v>278880000</v>
      </c>
      <c r="H1170">
        <v>14040832.609999999</v>
      </c>
      <c r="I1170">
        <v>243270000</v>
      </c>
      <c r="J1170">
        <v>1.5557162823200559E-2</v>
      </c>
      <c r="K1170">
        <v>78488.22</v>
      </c>
      <c r="L1170">
        <v>0.17469999999999999</v>
      </c>
      <c r="M1170">
        <v>13558250000</v>
      </c>
      <c r="N1170">
        <v>10770950000</v>
      </c>
      <c r="O1170">
        <v>-152520000</v>
      </c>
      <c r="P1170">
        <v>35790000</v>
      </c>
      <c r="Q1170">
        <v>6060460000</v>
      </c>
      <c r="R1170">
        <v>1.3696316853085244E-9</v>
      </c>
      <c r="S1170">
        <v>0.44699426548411486</v>
      </c>
      <c r="U1170">
        <v>4.9844236760124658E-2</v>
      </c>
      <c r="V1170">
        <v>3.17</v>
      </c>
      <c r="W1170">
        <v>3.15</v>
      </c>
      <c r="X1170">
        <f t="shared" si="18"/>
        <v>6.329113924050638E-3</v>
      </c>
      <c r="Y1170">
        <v>375913</v>
      </c>
      <c r="Z1170">
        <v>278880000</v>
      </c>
      <c r="AA1170">
        <v>1184125.95</v>
      </c>
      <c r="AB1170">
        <v>243270000</v>
      </c>
      <c r="AC1170">
        <v>1.5452501335964156E-3</v>
      </c>
      <c r="AD1170">
        <v>78628.81</v>
      </c>
      <c r="AE1170">
        <v>0.19489999999999999</v>
      </c>
      <c r="AF1170">
        <v>13558250000</v>
      </c>
      <c r="AG1170">
        <v>10770950000</v>
      </c>
      <c r="AH1170">
        <v>-152520000</v>
      </c>
      <c r="AI1170">
        <v>35790000</v>
      </c>
      <c r="AJ1170">
        <v>6060460000</v>
      </c>
      <c r="AK1170">
        <v>1.5785135681763199E-8</v>
      </c>
      <c r="AL1170">
        <v>0.44699426548411486</v>
      </c>
    </row>
    <row r="1171" spans="2:38">
      <c r="B1171">
        <v>5.1420838971583199E-2</v>
      </c>
      <c r="C1171">
        <v>3.69</v>
      </c>
      <c r="D1171">
        <v>3.65</v>
      </c>
      <c r="E1171">
        <v>1.0899182561307912E-2</v>
      </c>
      <c r="F1171">
        <v>1981028</v>
      </c>
      <c r="G1171">
        <v>278880000</v>
      </c>
      <c r="H1171">
        <v>7210941.9199999999</v>
      </c>
      <c r="I1171">
        <v>243270000</v>
      </c>
      <c r="J1171">
        <v>8.1433304558720769E-3</v>
      </c>
      <c r="K1171">
        <v>78349.66</v>
      </c>
      <c r="L1171">
        <v>0.17469999999999999</v>
      </c>
      <c r="M1171">
        <v>13558250000</v>
      </c>
      <c r="N1171">
        <v>10770950000</v>
      </c>
      <c r="O1171">
        <v>-152520000</v>
      </c>
      <c r="P1171">
        <v>35790000</v>
      </c>
      <c r="Q1171">
        <v>6060460000</v>
      </c>
      <c r="R1171">
        <v>7.6617755901340609E-10</v>
      </c>
      <c r="S1171">
        <v>0.44699426548411486</v>
      </c>
      <c r="U1171">
        <v>5.625000000000005E-2</v>
      </c>
      <c r="V1171">
        <v>3.24</v>
      </c>
      <c r="W1171">
        <v>3.18</v>
      </c>
      <c r="X1171">
        <f t="shared" si="18"/>
        <v>1.8691588785046745E-2</v>
      </c>
      <c r="Y1171">
        <v>835106</v>
      </c>
      <c r="Z1171">
        <v>278880000</v>
      </c>
      <c r="AA1171">
        <v>2680690.2599999998</v>
      </c>
      <c r="AB1171">
        <v>243270000</v>
      </c>
      <c r="AC1171">
        <v>3.4328359436017592E-3</v>
      </c>
      <c r="AD1171">
        <v>78827.740000000005</v>
      </c>
      <c r="AE1171">
        <v>0.19489999999999999</v>
      </c>
      <c r="AF1171">
        <v>13558250000</v>
      </c>
      <c r="AG1171">
        <v>10770950000</v>
      </c>
      <c r="AH1171">
        <v>-152520000</v>
      </c>
      <c r="AI1171">
        <v>35790000</v>
      </c>
      <c r="AJ1171">
        <v>6060460000</v>
      </c>
      <c r="AK1171">
        <v>3.4540578586872383E-9</v>
      </c>
      <c r="AL1171">
        <v>0.44699426548411486</v>
      </c>
    </row>
    <row r="1172" spans="2:38">
      <c r="B1172">
        <v>6.7114093959731544E-2</v>
      </c>
      <c r="C1172">
        <v>3.68</v>
      </c>
      <c r="D1172">
        <v>3.61</v>
      </c>
      <c r="E1172">
        <v>1.9204389574760023E-2</v>
      </c>
      <c r="F1172">
        <v>4129205</v>
      </c>
      <c r="G1172">
        <v>278880000</v>
      </c>
      <c r="H1172">
        <v>14947722.1</v>
      </c>
      <c r="I1172">
        <v>243270000</v>
      </c>
      <c r="J1172">
        <v>1.6973753442676862E-2</v>
      </c>
      <c r="K1172">
        <v>77992.789999999994</v>
      </c>
      <c r="L1172">
        <v>0.17469999999999999</v>
      </c>
      <c r="M1172">
        <v>13558250000</v>
      </c>
      <c r="N1172">
        <v>10770950000</v>
      </c>
      <c r="O1172">
        <v>-152520000</v>
      </c>
      <c r="P1172">
        <v>35790000</v>
      </c>
      <c r="Q1172">
        <v>6060460000</v>
      </c>
      <c r="R1172">
        <v>2.4909509491878636E-9</v>
      </c>
      <c r="S1172">
        <v>0.44699426548411486</v>
      </c>
      <c r="U1172">
        <v>5.4711246200607813E-2</v>
      </c>
      <c r="V1172">
        <v>3.27</v>
      </c>
      <c r="W1172">
        <v>3.25</v>
      </c>
      <c r="X1172">
        <f t="shared" si="18"/>
        <v>6.1349693251533804E-3</v>
      </c>
      <c r="Y1172">
        <v>1771009</v>
      </c>
      <c r="Z1172">
        <v>278880000</v>
      </c>
      <c r="AA1172">
        <v>5738069.1600000001</v>
      </c>
      <c r="AB1172">
        <v>243270000</v>
      </c>
      <c r="AC1172">
        <v>7.2800139762403916E-3</v>
      </c>
      <c r="AD1172">
        <v>78029.509999999995</v>
      </c>
      <c r="AE1172">
        <v>0.19489999999999999</v>
      </c>
      <c r="AF1172">
        <v>13558250000</v>
      </c>
      <c r="AG1172">
        <v>10770950000</v>
      </c>
      <c r="AH1172">
        <v>-152520000</v>
      </c>
      <c r="AI1172">
        <v>35790000</v>
      </c>
      <c r="AJ1172">
        <v>6060460000</v>
      </c>
      <c r="AK1172">
        <v>1.0824512481518447E-9</v>
      </c>
      <c r="AL1172">
        <v>0.44699426548411486</v>
      </c>
    </row>
    <row r="1173" spans="2:38">
      <c r="B1173">
        <v>5.5776892430278877E-2</v>
      </c>
      <c r="C1173">
        <v>3.8</v>
      </c>
      <c r="D1173">
        <v>3.79</v>
      </c>
      <c r="E1173">
        <v>2.6350461133069266E-3</v>
      </c>
      <c r="F1173">
        <v>4809186</v>
      </c>
      <c r="G1173">
        <v>278880000</v>
      </c>
      <c r="H1173">
        <v>18082539.359999999</v>
      </c>
      <c r="I1173">
        <v>243270000</v>
      </c>
      <c r="J1173">
        <v>1.9768923418423973E-2</v>
      </c>
      <c r="K1173">
        <v>78084.240000000005</v>
      </c>
      <c r="L1173">
        <v>0.17469999999999999</v>
      </c>
      <c r="M1173">
        <v>13558250000</v>
      </c>
      <c r="N1173">
        <v>10770950000</v>
      </c>
      <c r="O1173">
        <v>-152520000</v>
      </c>
      <c r="P1173">
        <v>35790000</v>
      </c>
      <c r="Q1173">
        <v>6060460000</v>
      </c>
      <c r="R1173">
        <v>2.9573244533988873E-10</v>
      </c>
      <c r="S1173">
        <v>0.44699426548411486</v>
      </c>
      <c r="U1173">
        <v>9.9688473520249316E-2</v>
      </c>
      <c r="V1173">
        <v>3.25</v>
      </c>
      <c r="W1173">
        <v>3.23</v>
      </c>
      <c r="X1173">
        <f t="shared" si="18"/>
        <v>6.1728395061728444E-3</v>
      </c>
      <c r="Y1173">
        <v>4147726</v>
      </c>
      <c r="Z1173">
        <v>278880000</v>
      </c>
      <c r="AA1173">
        <v>13355677.720000001</v>
      </c>
      <c r="AB1173">
        <v>243270000</v>
      </c>
      <c r="AC1173">
        <v>1.7049886956879187E-2</v>
      </c>
      <c r="AD1173">
        <v>78469.33</v>
      </c>
      <c r="AE1173">
        <v>0.19489999999999999</v>
      </c>
      <c r="AF1173">
        <v>13558250000</v>
      </c>
      <c r="AG1173">
        <v>10770950000</v>
      </c>
      <c r="AH1173">
        <v>-152520000</v>
      </c>
      <c r="AI1173">
        <v>35790000</v>
      </c>
      <c r="AJ1173">
        <v>6060460000</v>
      </c>
      <c r="AK1173">
        <v>4.433359920561899E-9</v>
      </c>
      <c r="AL1173">
        <v>0.44699426548411486</v>
      </c>
    </row>
    <row r="1174" spans="2:38">
      <c r="B1174">
        <v>0.17910447761194026</v>
      </c>
      <c r="C1174">
        <v>3.74</v>
      </c>
      <c r="D1174">
        <v>3.73</v>
      </c>
      <c r="E1174">
        <v>2.6773761713521364E-3</v>
      </c>
      <c r="F1174">
        <v>13068701</v>
      </c>
      <c r="G1174">
        <v>278880000</v>
      </c>
      <c r="H1174">
        <v>48876941.740000002</v>
      </c>
      <c r="I1174">
        <v>243270000</v>
      </c>
      <c r="J1174">
        <v>5.3720972581904877E-2</v>
      </c>
      <c r="K1174">
        <v>78571.06</v>
      </c>
      <c r="L1174">
        <v>0.17469999999999999</v>
      </c>
      <c r="M1174">
        <v>13558250000</v>
      </c>
      <c r="N1174">
        <v>10770950000</v>
      </c>
      <c r="O1174">
        <v>-152520000</v>
      </c>
      <c r="P1174">
        <v>35790000</v>
      </c>
      <c r="Q1174">
        <v>6060460000</v>
      </c>
      <c r="R1174">
        <v>2.0213044680338379E-9</v>
      </c>
      <c r="S1174">
        <v>0.44699426548411486</v>
      </c>
      <c r="U1174">
        <v>3.5772357723577196E-2</v>
      </c>
      <c r="V1174">
        <v>3.05</v>
      </c>
      <c r="W1174">
        <v>3.02</v>
      </c>
      <c r="X1174">
        <f t="shared" ref="X1174:X1237" si="20">(V1174-W1174)/AVERAGE(V1174:W1174)</f>
        <v>9.884678747940627E-3</v>
      </c>
      <c r="Y1174">
        <v>592394</v>
      </c>
      <c r="Z1174">
        <v>278880000</v>
      </c>
      <c r="AA1174">
        <v>1800877.76</v>
      </c>
      <c r="AB1174">
        <v>243270000</v>
      </c>
      <c r="AC1174">
        <v>2.4351296912895138E-3</v>
      </c>
      <c r="AD1174">
        <v>79397.009999999995</v>
      </c>
      <c r="AE1174">
        <v>0.19489999999999999</v>
      </c>
      <c r="AF1174">
        <v>13558250000</v>
      </c>
      <c r="AG1174">
        <v>10770950000</v>
      </c>
      <c r="AH1174">
        <v>-152520000</v>
      </c>
      <c r="AI1174">
        <v>35790000</v>
      </c>
      <c r="AJ1174">
        <v>6060460000</v>
      </c>
      <c r="AK1174">
        <v>3.6773826094067579E-9</v>
      </c>
      <c r="AL1174">
        <v>0.44699426548411486</v>
      </c>
    </row>
    <row r="1175" spans="2:38">
      <c r="B1175">
        <v>0.11881188118811892</v>
      </c>
      <c r="C1175">
        <v>4.2</v>
      </c>
      <c r="D1175">
        <v>4.16</v>
      </c>
      <c r="E1175">
        <v>9.5693779904306303E-3</v>
      </c>
      <c r="F1175">
        <v>36736701</v>
      </c>
      <c r="G1175">
        <v>278880000</v>
      </c>
      <c r="H1175">
        <v>152457309.15000001</v>
      </c>
      <c r="I1175">
        <v>243270000</v>
      </c>
      <c r="J1175">
        <v>0.15101204834134913</v>
      </c>
      <c r="K1175">
        <v>78801.429999999993</v>
      </c>
      <c r="L1175">
        <v>0.17469999999999999</v>
      </c>
      <c r="M1175">
        <v>13558250000</v>
      </c>
      <c r="N1175">
        <v>10770950000</v>
      </c>
      <c r="O1175">
        <v>-152520000</v>
      </c>
      <c r="P1175">
        <v>35790000</v>
      </c>
      <c r="Q1175">
        <v>6060460000</v>
      </c>
      <c r="R1175">
        <v>7.9774215024325494E-10</v>
      </c>
      <c r="S1175">
        <v>0.44699426548411486</v>
      </c>
      <c r="U1175">
        <v>4.8780487804878016E-2</v>
      </c>
      <c r="V1175">
        <v>3.05</v>
      </c>
      <c r="W1175">
        <v>3.02</v>
      </c>
      <c r="X1175">
        <f t="shared" si="20"/>
        <v>9.884678747940627E-3</v>
      </c>
      <c r="Y1175">
        <v>559381</v>
      </c>
      <c r="Z1175">
        <v>278880000</v>
      </c>
      <c r="AA1175">
        <v>1689330.62</v>
      </c>
      <c r="AB1175">
        <v>243270000</v>
      </c>
      <c r="AC1175">
        <v>2.2994245077485923E-3</v>
      </c>
      <c r="AD1175">
        <v>78987.09</v>
      </c>
      <c r="AE1175">
        <v>0.19489999999999999</v>
      </c>
      <c r="AF1175">
        <v>13558250000</v>
      </c>
      <c r="AG1175">
        <v>10770950000</v>
      </c>
      <c r="AH1175">
        <v>-152520000</v>
      </c>
      <c r="AI1175">
        <v>35790000</v>
      </c>
      <c r="AJ1175">
        <v>6060460000</v>
      </c>
      <c r="AK1175">
        <v>3.9463362516134777E-9</v>
      </c>
      <c r="AL1175">
        <v>0.44699426548411486</v>
      </c>
    </row>
    <row r="1176" spans="2:38">
      <c r="B1176">
        <v>0.16827586206896561</v>
      </c>
      <c r="C1176">
        <v>3.7</v>
      </c>
      <c r="D1176">
        <v>3.69</v>
      </c>
      <c r="E1176">
        <v>2.7063599458728633E-3</v>
      </c>
      <c r="F1176">
        <v>21707363</v>
      </c>
      <c r="G1176">
        <v>278880000</v>
      </c>
      <c r="H1176">
        <v>80317243.100000009</v>
      </c>
      <c r="I1176">
        <v>243270000</v>
      </c>
      <c r="J1176">
        <v>8.9231565749989722E-2</v>
      </c>
      <c r="K1176">
        <v>78793.41</v>
      </c>
      <c r="L1176">
        <v>0.17469999999999999</v>
      </c>
      <c r="M1176">
        <v>13558250000</v>
      </c>
      <c r="N1176">
        <v>10770950000</v>
      </c>
      <c r="O1176">
        <v>-152520000</v>
      </c>
      <c r="P1176">
        <v>35790000</v>
      </c>
      <c r="Q1176">
        <v>6060460000</v>
      </c>
      <c r="R1176">
        <v>1.5942875470510886E-9</v>
      </c>
      <c r="S1176">
        <v>0.44699426548411486</v>
      </c>
      <c r="U1176">
        <v>5.2287581699346448E-2</v>
      </c>
      <c r="V1176">
        <v>3.02</v>
      </c>
      <c r="W1176">
        <v>3</v>
      </c>
      <c r="X1176">
        <f t="shared" si="20"/>
        <v>6.6445182724252554E-3</v>
      </c>
      <c r="Y1176">
        <v>495568</v>
      </c>
      <c r="Z1176">
        <v>278880000</v>
      </c>
      <c r="AA1176">
        <v>1486704</v>
      </c>
      <c r="AB1176">
        <v>243270000</v>
      </c>
      <c r="AC1176">
        <v>2.0371110288979325E-3</v>
      </c>
      <c r="AD1176">
        <v>78539.19</v>
      </c>
      <c r="AE1176">
        <v>0.19489999999999999</v>
      </c>
      <c r="AF1176">
        <v>13558250000</v>
      </c>
      <c r="AG1176">
        <v>10770950000</v>
      </c>
      <c r="AH1176">
        <v>-152520000</v>
      </c>
      <c r="AI1176">
        <v>35790000</v>
      </c>
      <c r="AJ1176">
        <v>6060460000</v>
      </c>
      <c r="AK1176">
        <v>0</v>
      </c>
      <c r="AL1176">
        <v>0.44699426548411486</v>
      </c>
    </row>
    <row r="1177" spans="2:38">
      <c r="B1177">
        <v>2.7734976887519216E-2</v>
      </c>
      <c r="C1177">
        <v>3.29</v>
      </c>
      <c r="D1177">
        <v>3.28</v>
      </c>
      <c r="E1177">
        <v>3.0441400304414704E-3</v>
      </c>
      <c r="F1177">
        <v>944969</v>
      </c>
      <c r="G1177">
        <v>278880000</v>
      </c>
      <c r="H1177">
        <v>3099498.32</v>
      </c>
      <c r="I1177">
        <v>243270000</v>
      </c>
      <c r="J1177">
        <v>3.8844452665762323E-3</v>
      </c>
      <c r="K1177">
        <v>78260.86</v>
      </c>
      <c r="L1177">
        <v>0.17469999999999999</v>
      </c>
      <c r="M1177">
        <v>13558250000</v>
      </c>
      <c r="N1177">
        <v>10770950000</v>
      </c>
      <c r="O1177">
        <v>-152520000</v>
      </c>
      <c r="P1177">
        <v>35790000</v>
      </c>
      <c r="Q1177">
        <v>6060460000</v>
      </c>
      <c r="R1177">
        <v>8.0658214391288609E-9</v>
      </c>
      <c r="S1177">
        <v>0.44699426548411486</v>
      </c>
      <c r="U1177">
        <v>7.669616519174044E-2</v>
      </c>
      <c r="V1177">
        <v>8.33</v>
      </c>
      <c r="W1177">
        <v>8.25</v>
      </c>
      <c r="X1177">
        <f t="shared" si="20"/>
        <v>9.6501809408926515E-3</v>
      </c>
      <c r="Y1177">
        <v>7721759</v>
      </c>
      <c r="Z1177">
        <v>561090000</v>
      </c>
      <c r="AA1177">
        <v>63550076.57</v>
      </c>
      <c r="AB1177">
        <v>561100000</v>
      </c>
      <c r="AC1177">
        <v>1.376182320441989E-2</v>
      </c>
      <c r="AD1177">
        <v>82074.45</v>
      </c>
      <c r="AE1177">
        <v>0.1741</v>
      </c>
      <c r="AF1177">
        <v>15890000000</v>
      </c>
      <c r="AG1177">
        <v>4002556000</v>
      </c>
      <c r="AH1177">
        <v>-1634613000</v>
      </c>
      <c r="AI1177">
        <v>499800000</v>
      </c>
      <c r="AJ1177">
        <v>2312000000</v>
      </c>
      <c r="AK1177">
        <v>2.0754417859306341E-10</v>
      </c>
      <c r="AL1177">
        <v>0.14550031466331026</v>
      </c>
    </row>
    <row r="1178" spans="2:38">
      <c r="B1178">
        <v>5.5555555555555601E-2</v>
      </c>
      <c r="C1178">
        <v>3.22</v>
      </c>
      <c r="D1178">
        <v>3.18</v>
      </c>
      <c r="E1178">
        <v>1.2500000000000011E-2</v>
      </c>
      <c r="F1178">
        <v>602788</v>
      </c>
      <c r="G1178">
        <v>278880000</v>
      </c>
      <c r="H1178">
        <v>1928921.6</v>
      </c>
      <c r="I1178">
        <v>243270000</v>
      </c>
      <c r="J1178">
        <v>2.4778558802976119E-3</v>
      </c>
      <c r="K1178">
        <v>77745.52</v>
      </c>
      <c r="L1178">
        <v>0.189</v>
      </c>
      <c r="M1178">
        <v>13558250000</v>
      </c>
      <c r="N1178">
        <v>10770950000</v>
      </c>
      <c r="O1178">
        <v>-152520000</v>
      </c>
      <c r="P1178">
        <v>35790000</v>
      </c>
      <c r="Q1178">
        <v>6060460000</v>
      </c>
      <c r="R1178">
        <v>1.615029246138216E-9</v>
      </c>
      <c r="S1178">
        <v>0.44699426548411486</v>
      </c>
      <c r="U1178">
        <v>4.9353701527614556E-2</v>
      </c>
      <c r="V1178">
        <v>8.32</v>
      </c>
      <c r="W1178">
        <v>8.31</v>
      </c>
      <c r="X1178">
        <f t="shared" si="20"/>
        <v>1.202645820805747E-3</v>
      </c>
      <c r="Y1178">
        <v>2876605</v>
      </c>
      <c r="Z1178">
        <v>561090000</v>
      </c>
      <c r="AA1178">
        <v>23990885.699999999</v>
      </c>
      <c r="AB1178">
        <v>561100000</v>
      </c>
      <c r="AC1178">
        <v>5.1267242915701301E-3</v>
      </c>
      <c r="AD1178">
        <v>81459.289999999994</v>
      </c>
      <c r="AE1178">
        <v>0.1741</v>
      </c>
      <c r="AF1178">
        <v>15890000000</v>
      </c>
      <c r="AG1178">
        <v>4002556000</v>
      </c>
      <c r="AH1178">
        <v>-1634613000</v>
      </c>
      <c r="AI1178">
        <v>499800000</v>
      </c>
      <c r="AJ1178">
        <v>2312000000</v>
      </c>
      <c r="AK1178">
        <v>1.4006864279864878E-9</v>
      </c>
      <c r="AL1178">
        <v>0.14550031466331026</v>
      </c>
    </row>
    <row r="1179" spans="2:38">
      <c r="B1179">
        <v>6.0606060606060531E-2</v>
      </c>
      <c r="C1179">
        <v>3.22</v>
      </c>
      <c r="D1179">
        <v>3.2</v>
      </c>
      <c r="E1179">
        <v>6.2305295950155822E-3</v>
      </c>
      <c r="F1179">
        <v>1163357</v>
      </c>
      <c r="G1179">
        <v>278880000</v>
      </c>
      <c r="H1179">
        <v>3734375.9699999997</v>
      </c>
      <c r="I1179">
        <v>243270000</v>
      </c>
      <c r="J1179">
        <v>4.7821638508652939E-3</v>
      </c>
      <c r="K1179">
        <v>77830.34</v>
      </c>
      <c r="L1179">
        <v>0.189</v>
      </c>
      <c r="M1179">
        <v>13558250000</v>
      </c>
      <c r="N1179">
        <v>10770950000</v>
      </c>
      <c r="O1179">
        <v>-152520000</v>
      </c>
      <c r="P1179">
        <v>35790000</v>
      </c>
      <c r="Q1179">
        <v>6060460000</v>
      </c>
      <c r="R1179">
        <v>7.3031551969651388E-9</v>
      </c>
      <c r="S1179">
        <v>0.44699426548411486</v>
      </c>
      <c r="U1179">
        <v>3.0162412993039414E-2</v>
      </c>
      <c r="V1179">
        <v>8.66</v>
      </c>
      <c r="W1179">
        <v>8.59</v>
      </c>
      <c r="X1179">
        <f t="shared" si="20"/>
        <v>8.1159420289855407E-3</v>
      </c>
      <c r="Y1179">
        <v>2507647</v>
      </c>
      <c r="Z1179">
        <v>561090000</v>
      </c>
      <c r="AA1179">
        <v>21640993.610000003</v>
      </c>
      <c r="AB1179">
        <v>561100000</v>
      </c>
      <c r="AC1179">
        <v>4.4691623596506865E-3</v>
      </c>
      <c r="AD1179">
        <v>80461.34</v>
      </c>
      <c r="AE1179">
        <v>0.1741</v>
      </c>
      <c r="AF1179">
        <v>15890000000</v>
      </c>
      <c r="AG1179">
        <v>4002556000</v>
      </c>
      <c r="AH1179">
        <v>-1634613000</v>
      </c>
      <c r="AI1179">
        <v>499800000</v>
      </c>
      <c r="AJ1179">
        <v>2312000000</v>
      </c>
      <c r="AK1179">
        <v>2.1517391943814918E-10</v>
      </c>
      <c r="AL1179">
        <v>0.14550031466331026</v>
      </c>
    </row>
    <row r="1180" spans="2:38">
      <c r="B1180">
        <v>5.3254437869822535E-2</v>
      </c>
      <c r="C1180">
        <v>3.31</v>
      </c>
      <c r="D1180">
        <v>3.3</v>
      </c>
      <c r="E1180">
        <v>3.0257186081695106E-3</v>
      </c>
      <c r="F1180">
        <v>2430091</v>
      </c>
      <c r="G1180">
        <v>278880000</v>
      </c>
      <c r="H1180">
        <v>8019300.2999999998</v>
      </c>
      <c r="I1180">
        <v>243270000</v>
      </c>
      <c r="J1180">
        <v>9.9892752908291201E-3</v>
      </c>
      <c r="K1180">
        <v>78045.31</v>
      </c>
      <c r="L1180">
        <v>0.189</v>
      </c>
      <c r="M1180">
        <v>13558250000</v>
      </c>
      <c r="N1180">
        <v>10770950000</v>
      </c>
      <c r="O1180">
        <v>-152520000</v>
      </c>
      <c r="P1180">
        <v>35790000</v>
      </c>
      <c r="Q1180">
        <v>6060460000</v>
      </c>
      <c r="R1180">
        <v>3.7673461813792489E-10</v>
      </c>
      <c r="S1180">
        <v>0.44699426548411486</v>
      </c>
      <c r="U1180">
        <v>9.5238095238095191E-2</v>
      </c>
      <c r="V1180">
        <v>8.59</v>
      </c>
      <c r="W1180">
        <v>8.58</v>
      </c>
      <c r="X1180">
        <f t="shared" si="20"/>
        <v>1.1648223645893752E-3</v>
      </c>
      <c r="Y1180">
        <v>11013505</v>
      </c>
      <c r="Z1180">
        <v>561090000</v>
      </c>
      <c r="AA1180">
        <v>94606007.950000003</v>
      </c>
      <c r="AB1180">
        <v>561100000</v>
      </c>
      <c r="AC1180">
        <v>1.9628417394403849E-2</v>
      </c>
      <c r="AD1180">
        <v>79491.14</v>
      </c>
      <c r="AE1180">
        <v>0.1741</v>
      </c>
      <c r="AF1180">
        <v>15890000000</v>
      </c>
      <c r="AG1180">
        <v>4002556000</v>
      </c>
      <c r="AH1180">
        <v>-1634613000</v>
      </c>
      <c r="AI1180">
        <v>499800000</v>
      </c>
      <c r="AJ1180">
        <v>2312000000</v>
      </c>
      <c r="AK1180">
        <v>2.8729748288855789E-10</v>
      </c>
      <c r="AL1180">
        <v>0.14550031466331026</v>
      </c>
    </row>
    <row r="1181" spans="2:38">
      <c r="B1181">
        <v>2.9850746268656747E-2</v>
      </c>
      <c r="C1181">
        <v>3.35</v>
      </c>
      <c r="D1181">
        <v>3.32</v>
      </c>
      <c r="E1181">
        <v>8.9955022488756361E-3</v>
      </c>
      <c r="F1181">
        <v>1414823</v>
      </c>
      <c r="G1181">
        <v>278880000</v>
      </c>
      <c r="H1181">
        <v>4683064.13</v>
      </c>
      <c r="I1181">
        <v>243270000</v>
      </c>
      <c r="J1181">
        <v>5.8158548115262877E-3</v>
      </c>
      <c r="K1181">
        <v>78105.98</v>
      </c>
      <c r="L1181">
        <v>0.189</v>
      </c>
      <c r="M1181">
        <v>13558250000</v>
      </c>
      <c r="N1181">
        <v>10770950000</v>
      </c>
      <c r="O1181">
        <v>-152520000</v>
      </c>
      <c r="P1181">
        <v>35790000</v>
      </c>
      <c r="Q1181">
        <v>6060460000</v>
      </c>
      <c r="R1181">
        <v>3.1776102073050895E-9</v>
      </c>
      <c r="S1181">
        <v>0.44699426548411486</v>
      </c>
      <c r="U1181">
        <v>0.1087775982767905</v>
      </c>
      <c r="V1181">
        <v>8.85</v>
      </c>
      <c r="W1181">
        <v>8.83</v>
      </c>
      <c r="X1181">
        <f t="shared" si="20"/>
        <v>2.2624434389139788E-3</v>
      </c>
      <c r="Y1181">
        <v>21744520</v>
      </c>
      <c r="Z1181">
        <v>561090000</v>
      </c>
      <c r="AA1181">
        <v>192004111.59999999</v>
      </c>
      <c r="AB1181">
        <v>561100000</v>
      </c>
      <c r="AC1181">
        <v>3.8753377294599892E-2</v>
      </c>
      <c r="AD1181">
        <v>79333.06</v>
      </c>
      <c r="AE1181">
        <v>0.1741</v>
      </c>
      <c r="AF1181">
        <v>15890000000</v>
      </c>
      <c r="AG1181">
        <v>4002556000</v>
      </c>
      <c r="AH1181">
        <v>-1634613000</v>
      </c>
      <c r="AI1181">
        <v>499800000</v>
      </c>
      <c r="AJ1181">
        <v>2312000000</v>
      </c>
      <c r="AK1181">
        <v>2.8965511622945914E-10</v>
      </c>
      <c r="AL1181">
        <v>0.14550031466331026</v>
      </c>
    </row>
    <row r="1182" spans="2:38">
      <c r="B1182">
        <v>2.9850746268656747E-2</v>
      </c>
      <c r="C1182">
        <v>3.35</v>
      </c>
      <c r="D1182">
        <v>3.33</v>
      </c>
      <c r="E1182">
        <v>5.988023952095814E-3</v>
      </c>
      <c r="F1182">
        <v>2072898</v>
      </c>
      <c r="G1182">
        <v>278880000</v>
      </c>
      <c r="H1182">
        <v>6964937.2799999993</v>
      </c>
      <c r="I1182">
        <v>243270000</v>
      </c>
      <c r="J1182">
        <v>8.5209766925638183E-3</v>
      </c>
      <c r="K1182">
        <v>77877.42</v>
      </c>
      <c r="L1182">
        <v>0.189</v>
      </c>
      <c r="M1182">
        <v>13558250000</v>
      </c>
      <c r="N1182">
        <v>10770950000</v>
      </c>
      <c r="O1182">
        <v>-152520000</v>
      </c>
      <c r="P1182">
        <v>35790000</v>
      </c>
      <c r="Q1182">
        <v>6060460000</v>
      </c>
      <c r="R1182">
        <v>1.2934802779744414E-9</v>
      </c>
      <c r="S1182">
        <v>0.44699426548411486</v>
      </c>
      <c r="U1182">
        <v>0.10112359550561803</v>
      </c>
      <c r="V1182">
        <v>8.65</v>
      </c>
      <c r="W1182">
        <v>9.35</v>
      </c>
      <c r="X1182">
        <f t="shared" si="20"/>
        <v>-7.7777777777777696E-2</v>
      </c>
      <c r="Y1182">
        <v>32499453</v>
      </c>
      <c r="Z1182">
        <v>561090000</v>
      </c>
      <c r="AA1182">
        <v>303869885.55000001</v>
      </c>
      <c r="AB1182">
        <v>561100000</v>
      </c>
      <c r="AC1182">
        <v>5.7920964177508465E-2</v>
      </c>
      <c r="AD1182">
        <v>79017.62</v>
      </c>
      <c r="AE1182">
        <v>0.1741</v>
      </c>
      <c r="AF1182">
        <v>15890000000</v>
      </c>
      <c r="AG1182">
        <v>4002556000</v>
      </c>
      <c r="AH1182">
        <v>-1634613000</v>
      </c>
      <c r="AI1182">
        <v>499800000</v>
      </c>
      <c r="AJ1182">
        <v>2312000000</v>
      </c>
      <c r="AK1182">
        <v>3.9411762973863457E-10</v>
      </c>
      <c r="AL1182">
        <v>0.14550031466331026</v>
      </c>
    </row>
    <row r="1183" spans="2:38">
      <c r="B1183">
        <v>6.2780269058295951E-2</v>
      </c>
      <c r="C1183">
        <v>3.35</v>
      </c>
      <c r="D1183">
        <v>3.32</v>
      </c>
      <c r="E1183">
        <v>8.9955022488756361E-3</v>
      </c>
      <c r="F1183">
        <v>2264657</v>
      </c>
      <c r="G1183">
        <v>278880000</v>
      </c>
      <c r="H1183">
        <v>7541307.8100000005</v>
      </c>
      <c r="I1183">
        <v>243270000</v>
      </c>
      <c r="J1183">
        <v>9.3092325399761582E-3</v>
      </c>
      <c r="K1183">
        <v>77980.289999999994</v>
      </c>
      <c r="L1183">
        <v>0.189</v>
      </c>
      <c r="M1183">
        <v>13558250000</v>
      </c>
      <c r="N1183">
        <v>10770950000</v>
      </c>
      <c r="O1183">
        <v>-152520000</v>
      </c>
      <c r="P1183">
        <v>35790000</v>
      </c>
      <c r="Q1183">
        <v>6060460000</v>
      </c>
      <c r="R1183">
        <v>3.9940661071771765E-10</v>
      </c>
      <c r="S1183">
        <v>0.44699426548411486</v>
      </c>
      <c r="U1183">
        <v>5.6470588235294168E-2</v>
      </c>
      <c r="V1183">
        <v>8.3699999999999992</v>
      </c>
      <c r="W1183">
        <v>8.35</v>
      </c>
      <c r="X1183">
        <f t="shared" si="20"/>
        <v>2.3923444976076047E-3</v>
      </c>
      <c r="Y1183">
        <v>3731733</v>
      </c>
      <c r="Z1183">
        <v>561090000</v>
      </c>
      <c r="AA1183">
        <v>31159970.549999997</v>
      </c>
      <c r="AB1183">
        <v>561100000</v>
      </c>
      <c r="AC1183">
        <v>6.6507449652468366E-3</v>
      </c>
      <c r="AD1183">
        <v>78651.8</v>
      </c>
      <c r="AE1183">
        <v>0.1741</v>
      </c>
      <c r="AF1183">
        <v>15890000000</v>
      </c>
      <c r="AG1183">
        <v>4002556000</v>
      </c>
      <c r="AH1183">
        <v>-1634613000</v>
      </c>
      <c r="AI1183">
        <v>499800000</v>
      </c>
      <c r="AJ1183">
        <v>2312000000</v>
      </c>
      <c r="AK1183">
        <v>7.7052716731582741E-11</v>
      </c>
      <c r="AL1183">
        <v>0.14550031466331026</v>
      </c>
    </row>
    <row r="1184" spans="2:38">
      <c r="B1184">
        <v>3.6474164133738635E-2</v>
      </c>
      <c r="C1184">
        <v>3.35</v>
      </c>
      <c r="D1184">
        <v>3.34</v>
      </c>
      <c r="E1184">
        <v>2.9895366218236864E-3</v>
      </c>
      <c r="F1184">
        <v>2504410</v>
      </c>
      <c r="G1184">
        <v>278880000</v>
      </c>
      <c r="H1184">
        <v>8314641.1999999993</v>
      </c>
      <c r="I1184">
        <v>243270000</v>
      </c>
      <c r="J1184">
        <v>1.0294775352489004E-2</v>
      </c>
      <c r="K1184">
        <v>78569.59</v>
      </c>
      <c r="L1184">
        <v>0.189</v>
      </c>
      <c r="M1184">
        <v>13558250000</v>
      </c>
      <c r="N1184">
        <v>10770950000</v>
      </c>
      <c r="O1184">
        <v>-152520000</v>
      </c>
      <c r="P1184">
        <v>35790000</v>
      </c>
      <c r="Q1184">
        <v>6060460000</v>
      </c>
      <c r="R1184">
        <v>2.5904258548717038E-9</v>
      </c>
      <c r="S1184">
        <v>0.44699426548411486</v>
      </c>
      <c r="U1184">
        <v>2.9850746268656716E-2</v>
      </c>
      <c r="V1184">
        <v>8.4</v>
      </c>
      <c r="W1184">
        <v>8.35</v>
      </c>
      <c r="X1184">
        <f t="shared" si="20"/>
        <v>5.9701492537314283E-3</v>
      </c>
      <c r="Y1184">
        <v>1114362</v>
      </c>
      <c r="Z1184">
        <v>561090000</v>
      </c>
      <c r="AA1184">
        <v>9282635.4600000009</v>
      </c>
      <c r="AB1184">
        <v>561100000</v>
      </c>
      <c r="AC1184">
        <v>1.9860310105150598E-3</v>
      </c>
      <c r="AD1184">
        <v>79286.740000000005</v>
      </c>
      <c r="AE1184">
        <v>0.1741</v>
      </c>
      <c r="AF1184">
        <v>15890000000</v>
      </c>
      <c r="AG1184">
        <v>4002556000</v>
      </c>
      <c r="AH1184">
        <v>-1634613000</v>
      </c>
      <c r="AI1184">
        <v>499800000</v>
      </c>
      <c r="AJ1184">
        <v>2312000000</v>
      </c>
      <c r="AK1184">
        <v>7.7040305096504048E-10</v>
      </c>
      <c r="AL1184">
        <v>0.14550031466331026</v>
      </c>
    </row>
    <row r="1185" spans="2:38">
      <c r="B1185">
        <v>6.6066066066065993E-2</v>
      </c>
      <c r="C1185">
        <v>3.27</v>
      </c>
      <c r="D1185">
        <v>3.23</v>
      </c>
      <c r="E1185">
        <v>1.2307692307692318E-2</v>
      </c>
      <c r="F1185">
        <v>827910</v>
      </c>
      <c r="G1185">
        <v>278880000</v>
      </c>
      <c r="H1185">
        <v>2690707.5</v>
      </c>
      <c r="I1185">
        <v>243270000</v>
      </c>
      <c r="J1185">
        <v>3.4032556418793934E-3</v>
      </c>
      <c r="K1185">
        <v>77874.22</v>
      </c>
      <c r="L1185">
        <v>0.189</v>
      </c>
      <c r="M1185">
        <v>13558250000</v>
      </c>
      <c r="N1185">
        <v>10770950000</v>
      </c>
      <c r="O1185">
        <v>-152520000</v>
      </c>
      <c r="P1185">
        <v>35790000</v>
      </c>
      <c r="Q1185">
        <v>6060460000</v>
      </c>
      <c r="R1185">
        <v>4.518534516013432E-9</v>
      </c>
      <c r="S1185">
        <v>0.44699426548411486</v>
      </c>
      <c r="U1185">
        <v>3.6926742108397914E-2</v>
      </c>
      <c r="V1185">
        <v>8.44</v>
      </c>
      <c r="W1185">
        <v>8.42</v>
      </c>
      <c r="X1185">
        <f t="shared" si="20"/>
        <v>2.3724792408065924E-3</v>
      </c>
      <c r="Y1185">
        <v>2417525</v>
      </c>
      <c r="Z1185">
        <v>561090000</v>
      </c>
      <c r="AA1185">
        <v>20283034.75</v>
      </c>
      <c r="AB1185">
        <v>561100000</v>
      </c>
      <c r="AC1185">
        <v>4.3085457137765105E-3</v>
      </c>
      <c r="AD1185">
        <v>78615</v>
      </c>
      <c r="AE1185">
        <v>0.1741</v>
      </c>
      <c r="AF1185">
        <v>15890000000</v>
      </c>
      <c r="AG1185">
        <v>4002556000</v>
      </c>
      <c r="AH1185">
        <v>-1634613000</v>
      </c>
      <c r="AI1185">
        <v>499800000</v>
      </c>
      <c r="AJ1185">
        <v>2312000000</v>
      </c>
      <c r="AK1185">
        <v>4.6566504818472845E-10</v>
      </c>
      <c r="AL1185">
        <v>0.14550031466331026</v>
      </c>
    </row>
    <row r="1186" spans="2:38">
      <c r="B1186">
        <v>8.5168869309838482E-2</v>
      </c>
      <c r="C1186">
        <v>3.29</v>
      </c>
      <c r="D1186">
        <v>3.28</v>
      </c>
      <c r="E1186">
        <v>3.0441400304414704E-3</v>
      </c>
      <c r="F1186">
        <v>3286863</v>
      </c>
      <c r="G1186">
        <v>278880000</v>
      </c>
      <c r="H1186">
        <v>10813779.27</v>
      </c>
      <c r="I1186">
        <v>243270000</v>
      </c>
      <c r="J1186">
        <v>1.351117277099519E-2</v>
      </c>
      <c r="K1186">
        <v>77114.490000000005</v>
      </c>
      <c r="L1186">
        <v>0.189</v>
      </c>
      <c r="M1186">
        <v>13558250000</v>
      </c>
      <c r="N1186">
        <v>10770950000</v>
      </c>
      <c r="O1186">
        <v>-152520000</v>
      </c>
      <c r="P1186">
        <v>35790000</v>
      </c>
      <c r="Q1186">
        <v>6060460000</v>
      </c>
      <c r="R1186">
        <v>3.7744737997238847E-9</v>
      </c>
      <c r="S1186">
        <v>0.44699426548411486</v>
      </c>
      <c r="U1186">
        <v>4.2799305957200606E-2</v>
      </c>
      <c r="V1186">
        <v>8.49</v>
      </c>
      <c r="W1186">
        <v>8.48</v>
      </c>
      <c r="X1186">
        <f t="shared" si="20"/>
        <v>1.1785503830288495E-3</v>
      </c>
      <c r="Y1186">
        <v>1887880</v>
      </c>
      <c r="Z1186">
        <v>561090000</v>
      </c>
      <c r="AA1186">
        <v>15990343.600000001</v>
      </c>
      <c r="AB1186">
        <v>561100000</v>
      </c>
      <c r="AC1186">
        <v>3.3646052397077169E-3</v>
      </c>
      <c r="AD1186">
        <v>78897.73</v>
      </c>
      <c r="AE1186">
        <v>0.1741</v>
      </c>
      <c r="AF1186">
        <v>15890000000</v>
      </c>
      <c r="AG1186">
        <v>4002556000</v>
      </c>
      <c r="AH1186">
        <v>-1634613000</v>
      </c>
      <c r="AI1186">
        <v>499800000</v>
      </c>
      <c r="AJ1186">
        <v>2312000000</v>
      </c>
      <c r="AK1186">
        <v>9.4533797696300438E-10</v>
      </c>
      <c r="AL1186">
        <v>0.14550031466331026</v>
      </c>
    </row>
    <row r="1187" spans="2:38">
      <c r="B1187">
        <v>0.11267605633802814</v>
      </c>
      <c r="C1187">
        <v>3.46</v>
      </c>
      <c r="D1187">
        <v>3.44</v>
      </c>
      <c r="E1187">
        <v>5.7971014492753676E-3</v>
      </c>
      <c r="F1187">
        <v>9520888</v>
      </c>
      <c r="G1187">
        <v>278880000</v>
      </c>
      <c r="H1187">
        <v>32656645.84</v>
      </c>
      <c r="I1187">
        <v>243270000</v>
      </c>
      <c r="J1187">
        <v>3.913712336087475E-2</v>
      </c>
      <c r="K1187">
        <v>77191.34</v>
      </c>
      <c r="L1187">
        <v>0.19489999999999999</v>
      </c>
      <c r="M1187">
        <v>13558250000</v>
      </c>
      <c r="N1187">
        <v>10770950000</v>
      </c>
      <c r="O1187">
        <v>-152520000</v>
      </c>
      <c r="P1187">
        <v>35790000</v>
      </c>
      <c r="Q1187">
        <v>6060460000</v>
      </c>
      <c r="R1187">
        <v>1.7666329841395519E-9</v>
      </c>
      <c r="S1187">
        <v>0.44699426548411486</v>
      </c>
      <c r="U1187">
        <v>3.4403669724770526E-2</v>
      </c>
      <c r="V1187">
        <v>8.6999999999999993</v>
      </c>
      <c r="W1187">
        <v>8.68</v>
      </c>
      <c r="X1187">
        <f t="shared" si="20"/>
        <v>2.3014959723819993E-3</v>
      </c>
      <c r="Y1187">
        <v>4639430</v>
      </c>
      <c r="Z1187">
        <v>561090000</v>
      </c>
      <c r="AA1187">
        <v>39899098</v>
      </c>
      <c r="AB1187">
        <v>561100000</v>
      </c>
      <c r="AC1187">
        <v>8.2684548208875417E-3</v>
      </c>
      <c r="AD1187">
        <v>78863.34</v>
      </c>
      <c r="AE1187">
        <v>0.1741</v>
      </c>
      <c r="AF1187">
        <v>15890000000</v>
      </c>
      <c r="AG1187">
        <v>4002556000</v>
      </c>
      <c r="AH1187">
        <v>-1634613000</v>
      </c>
      <c r="AI1187">
        <v>499800000</v>
      </c>
      <c r="AJ1187">
        <v>2312000000</v>
      </c>
      <c r="AK1187">
        <v>2.3533542942505508E-10</v>
      </c>
      <c r="AL1187">
        <v>0.14550031466331026</v>
      </c>
    </row>
    <row r="1188" spans="2:38">
      <c r="B1188">
        <v>0.21238938053097353</v>
      </c>
      <c r="C1188">
        <v>3.63</v>
      </c>
      <c r="D1188">
        <v>3.62</v>
      </c>
      <c r="E1188">
        <v>2.7586206896551137E-3</v>
      </c>
      <c r="F1188">
        <v>19453743</v>
      </c>
      <c r="G1188">
        <v>278880000</v>
      </c>
      <c r="H1188">
        <v>70811624.519999996</v>
      </c>
      <c r="I1188">
        <v>243270000</v>
      </c>
      <c r="J1188">
        <v>7.9967702552719205E-2</v>
      </c>
      <c r="K1188">
        <v>77084.490000000005</v>
      </c>
      <c r="L1188">
        <v>0.19489999999999999</v>
      </c>
      <c r="M1188">
        <v>13558250000</v>
      </c>
      <c r="N1188">
        <v>10770950000</v>
      </c>
      <c r="O1188">
        <v>-152520000</v>
      </c>
      <c r="P1188">
        <v>35790000</v>
      </c>
      <c r="Q1188">
        <v>6060460000</v>
      </c>
      <c r="R1188">
        <v>2.787231932475818E-9</v>
      </c>
      <c r="S1188">
        <v>0.44699426548411486</v>
      </c>
      <c r="U1188">
        <v>5.1764705882353095E-2</v>
      </c>
      <c r="V1188">
        <v>8.5500000000000007</v>
      </c>
      <c r="W1188">
        <v>8.5399999999999991</v>
      </c>
      <c r="X1188">
        <f t="shared" si="20"/>
        <v>1.1702750146286207E-3</v>
      </c>
      <c r="Y1188">
        <v>5119403</v>
      </c>
      <c r="Z1188">
        <v>561090000</v>
      </c>
      <c r="AA1188">
        <v>43617313.559999995</v>
      </c>
      <c r="AB1188">
        <v>561100000</v>
      </c>
      <c r="AC1188">
        <v>9.1238691855284257E-3</v>
      </c>
      <c r="AD1188">
        <v>78848.009999999995</v>
      </c>
      <c r="AE1188">
        <v>0.1741</v>
      </c>
      <c r="AF1188">
        <v>15890000000</v>
      </c>
      <c r="AG1188">
        <v>4002556000</v>
      </c>
      <c r="AH1188">
        <v>-1634613000</v>
      </c>
      <c r="AI1188">
        <v>499800000</v>
      </c>
      <c r="AJ1188">
        <v>2312000000</v>
      </c>
      <c r="AK1188">
        <v>5.7937447449580097E-10</v>
      </c>
      <c r="AL1188">
        <v>0.14550031466331026</v>
      </c>
    </row>
    <row r="1189" spans="2:38">
      <c r="B1189">
        <v>6.4935064935064984E-2</v>
      </c>
      <c r="C1189">
        <v>3.03</v>
      </c>
      <c r="D1189">
        <v>3.02</v>
      </c>
      <c r="E1189">
        <v>3.3057851239668718E-3</v>
      </c>
      <c r="F1189">
        <v>4672540</v>
      </c>
      <c r="G1189">
        <v>278880000</v>
      </c>
      <c r="H1189">
        <v>14204521.6</v>
      </c>
      <c r="I1189">
        <v>243270000</v>
      </c>
      <c r="J1189">
        <v>1.9207218317096229E-2</v>
      </c>
      <c r="K1189">
        <v>78225.98</v>
      </c>
      <c r="L1189">
        <v>0.19489999999999999</v>
      </c>
      <c r="M1189">
        <v>13558250000</v>
      </c>
      <c r="N1189">
        <v>10770950000</v>
      </c>
      <c r="O1189">
        <v>-152520000</v>
      </c>
      <c r="P1189">
        <v>35790000</v>
      </c>
      <c r="Q1189">
        <v>6060460000</v>
      </c>
      <c r="R1189">
        <v>6.879490380502485E-10</v>
      </c>
      <c r="S1189">
        <v>0.44699426548411486</v>
      </c>
      <c r="U1189">
        <v>1.6826923076923146E-2</v>
      </c>
      <c r="V1189">
        <v>8.34</v>
      </c>
      <c r="W1189">
        <v>8.33</v>
      </c>
      <c r="X1189">
        <f t="shared" si="20"/>
        <v>1.1997600479903762E-3</v>
      </c>
      <c r="Y1189">
        <v>1154469</v>
      </c>
      <c r="Z1189">
        <v>561090000</v>
      </c>
      <c r="AA1189">
        <v>9593637.3900000006</v>
      </c>
      <c r="AB1189">
        <v>561100000</v>
      </c>
      <c r="AC1189">
        <v>2.0575102477276776E-3</v>
      </c>
      <c r="AD1189">
        <v>78356.320000000007</v>
      </c>
      <c r="AE1189">
        <v>0.17469999999999999</v>
      </c>
      <c r="AF1189">
        <v>15890000000</v>
      </c>
      <c r="AG1189">
        <v>4002556000</v>
      </c>
      <c r="AH1189">
        <v>-1634613000</v>
      </c>
      <c r="AI1189">
        <v>499800000</v>
      </c>
      <c r="AJ1189">
        <v>2312000000</v>
      </c>
      <c r="AK1189">
        <v>1.2558524239870274E-10</v>
      </c>
      <c r="AL1189">
        <v>0.14550031466331026</v>
      </c>
    </row>
    <row r="1190" spans="2:38">
      <c r="B1190">
        <v>6.1389337641357018E-2</v>
      </c>
      <c r="C1190">
        <v>3.1</v>
      </c>
      <c r="D1190">
        <v>3.05</v>
      </c>
      <c r="E1190">
        <v>1.6260162601626101E-2</v>
      </c>
      <c r="F1190">
        <v>776357</v>
      </c>
      <c r="G1190">
        <v>278880000</v>
      </c>
      <c r="H1190">
        <v>2383415.9899999998</v>
      </c>
      <c r="I1190">
        <v>243270000</v>
      </c>
      <c r="J1190">
        <v>3.1913388416163111E-3</v>
      </c>
      <c r="K1190">
        <v>77740.31</v>
      </c>
      <c r="L1190">
        <v>0.19489999999999999</v>
      </c>
      <c r="M1190">
        <v>13558250000</v>
      </c>
      <c r="N1190">
        <v>10770950000</v>
      </c>
      <c r="O1190">
        <v>-152520000</v>
      </c>
      <c r="P1190">
        <v>35790000</v>
      </c>
      <c r="Q1190">
        <v>6060460000</v>
      </c>
      <c r="R1190">
        <v>1.3711302894334785E-9</v>
      </c>
      <c r="S1190">
        <v>0.44699426548411486</v>
      </c>
      <c r="U1190">
        <v>5.4309327036599665E-2</v>
      </c>
      <c r="V1190">
        <v>8.35</v>
      </c>
      <c r="W1190">
        <v>8.3000000000000007</v>
      </c>
      <c r="X1190">
        <f t="shared" si="20"/>
        <v>6.0060060060058785E-3</v>
      </c>
      <c r="Y1190">
        <v>4135913</v>
      </c>
      <c r="Z1190">
        <v>561090000</v>
      </c>
      <c r="AA1190">
        <v>34328077.900000006</v>
      </c>
      <c r="AB1190">
        <v>561100000</v>
      </c>
      <c r="AC1190">
        <v>7.3710800213865621E-3</v>
      </c>
      <c r="AD1190">
        <v>78283.3</v>
      </c>
      <c r="AE1190">
        <v>0.17469999999999999</v>
      </c>
      <c r="AF1190">
        <v>15890000000</v>
      </c>
      <c r="AG1190">
        <v>4002556000</v>
      </c>
      <c r="AH1190">
        <v>-1634613000</v>
      </c>
      <c r="AI1190">
        <v>499800000</v>
      </c>
      <c r="AJ1190">
        <v>2312000000</v>
      </c>
      <c r="AK1190">
        <v>1.0161862552238156E-9</v>
      </c>
      <c r="AL1190">
        <v>0.14550031466331026</v>
      </c>
    </row>
    <row r="1191" spans="2:38">
      <c r="B1191">
        <v>6.4516129032258118E-2</v>
      </c>
      <c r="C1191">
        <v>3.08</v>
      </c>
      <c r="D1191">
        <v>3.06</v>
      </c>
      <c r="E1191">
        <v>6.5146579804560316E-3</v>
      </c>
      <c r="F1191">
        <v>1283996</v>
      </c>
      <c r="G1191">
        <v>278880000</v>
      </c>
      <c r="H1191">
        <v>3929027.7600000002</v>
      </c>
      <c r="I1191">
        <v>243270000</v>
      </c>
      <c r="J1191">
        <v>5.2780696345624207E-3</v>
      </c>
      <c r="K1191">
        <v>77886.990000000005</v>
      </c>
      <c r="L1191">
        <v>0.19489999999999999</v>
      </c>
      <c r="M1191">
        <v>13558250000</v>
      </c>
      <c r="N1191">
        <v>10770950000</v>
      </c>
      <c r="O1191">
        <v>-152520000</v>
      </c>
      <c r="P1191">
        <v>35790000</v>
      </c>
      <c r="Q1191">
        <v>6060460000</v>
      </c>
      <c r="R1191">
        <v>7.2718825919999412E-9</v>
      </c>
      <c r="S1191">
        <v>0.44699426548411486</v>
      </c>
      <c r="U1191">
        <v>5.7471264367816098E-2</v>
      </c>
      <c r="V1191">
        <v>8.64</v>
      </c>
      <c r="W1191">
        <v>8.6199999999999992</v>
      </c>
      <c r="X1191">
        <f t="shared" si="20"/>
        <v>2.3174971031287776E-3</v>
      </c>
      <c r="Y1191">
        <v>9658398</v>
      </c>
      <c r="Z1191">
        <v>561090000</v>
      </c>
      <c r="AA1191">
        <v>83062222.799999997</v>
      </c>
      <c r="AB1191">
        <v>561100000</v>
      </c>
      <c r="AC1191">
        <v>1.7213327392621637E-2</v>
      </c>
      <c r="AD1191">
        <v>78488.22</v>
      </c>
      <c r="AE1191">
        <v>0.17469999999999999</v>
      </c>
      <c r="AF1191">
        <v>15890000000</v>
      </c>
      <c r="AG1191">
        <v>4002556000</v>
      </c>
      <c r="AH1191">
        <v>-1634613000</v>
      </c>
      <c r="AI1191">
        <v>499800000</v>
      </c>
      <c r="AJ1191">
        <v>2312000000</v>
      </c>
      <c r="AK1191">
        <v>2.7199070092501941E-10</v>
      </c>
      <c r="AL1191">
        <v>0.14550031466331026</v>
      </c>
    </row>
    <row r="1192" spans="2:38">
      <c r="B1192">
        <v>4.9844236760124658E-2</v>
      </c>
      <c r="C1192">
        <v>3.17</v>
      </c>
      <c r="D1192">
        <v>3.15</v>
      </c>
      <c r="E1192">
        <v>6.329113924050638E-3</v>
      </c>
      <c r="F1192">
        <v>375913</v>
      </c>
      <c r="G1192">
        <v>278880000</v>
      </c>
      <c r="H1192">
        <v>1184125.95</v>
      </c>
      <c r="I1192">
        <v>243270000</v>
      </c>
      <c r="J1192">
        <v>1.5452501335964156E-3</v>
      </c>
      <c r="K1192">
        <v>78628.81</v>
      </c>
      <c r="L1192">
        <v>0.19489999999999999</v>
      </c>
      <c r="M1192">
        <v>13558250000</v>
      </c>
      <c r="N1192">
        <v>10770950000</v>
      </c>
      <c r="O1192">
        <v>-152520000</v>
      </c>
      <c r="P1192">
        <v>35790000</v>
      </c>
      <c r="Q1192">
        <v>6060460000</v>
      </c>
      <c r="R1192">
        <v>1.5785135681763199E-8</v>
      </c>
      <c r="S1192">
        <v>0.44699426548411486</v>
      </c>
      <c r="U1192">
        <v>8.5816448152562647E-2</v>
      </c>
      <c r="V1192">
        <v>8.4600000000000009</v>
      </c>
      <c r="W1192">
        <v>8.4499999999999993</v>
      </c>
      <c r="X1192">
        <f t="shared" si="20"/>
        <v>1.1827321111770033E-3</v>
      </c>
      <c r="Y1192">
        <v>7932911</v>
      </c>
      <c r="Z1192">
        <v>561090000</v>
      </c>
      <c r="AA1192">
        <v>66715781.509999998</v>
      </c>
      <c r="AB1192">
        <v>561100000</v>
      </c>
      <c r="AC1192">
        <v>1.4138141151309926E-2</v>
      </c>
      <c r="AD1192">
        <v>78349.66</v>
      </c>
      <c r="AE1192">
        <v>0.17469999999999999</v>
      </c>
      <c r="AF1192">
        <v>15890000000</v>
      </c>
      <c r="AG1192">
        <v>4002556000</v>
      </c>
      <c r="AH1192">
        <v>-1634613000</v>
      </c>
      <c r="AI1192">
        <v>499800000</v>
      </c>
      <c r="AJ1192">
        <v>2312000000</v>
      </c>
      <c r="AK1192">
        <v>5.7365145205613994E-10</v>
      </c>
      <c r="AL1192">
        <v>0.14550031466331026</v>
      </c>
    </row>
    <row r="1193" spans="2:38">
      <c r="B1193">
        <v>5.625000000000005E-2</v>
      </c>
      <c r="C1193">
        <v>3.24</v>
      </c>
      <c r="D1193">
        <v>3.18</v>
      </c>
      <c r="E1193">
        <v>1.8691588785046745E-2</v>
      </c>
      <c r="F1193">
        <v>835106</v>
      </c>
      <c r="G1193">
        <v>278880000</v>
      </c>
      <c r="H1193">
        <v>2680690.2599999998</v>
      </c>
      <c r="I1193">
        <v>243270000</v>
      </c>
      <c r="J1193">
        <v>3.4328359436017592E-3</v>
      </c>
      <c r="K1193">
        <v>78827.740000000005</v>
      </c>
      <c r="L1193">
        <v>0.19489999999999999</v>
      </c>
      <c r="M1193">
        <v>13558250000</v>
      </c>
      <c r="N1193">
        <v>10770950000</v>
      </c>
      <c r="O1193">
        <v>-152520000</v>
      </c>
      <c r="P1193">
        <v>35790000</v>
      </c>
      <c r="Q1193">
        <v>6060460000</v>
      </c>
      <c r="R1193">
        <v>3.4540578586872383E-9</v>
      </c>
      <c r="S1193">
        <v>0.44699426548411486</v>
      </c>
      <c r="U1193">
        <v>3.5430665852168718E-2</v>
      </c>
      <c r="V1193">
        <v>8.11</v>
      </c>
      <c r="W1193">
        <v>8.1</v>
      </c>
      <c r="X1193">
        <f t="shared" si="20"/>
        <v>1.2338062924120649E-3</v>
      </c>
      <c r="Y1193">
        <v>1183946</v>
      </c>
      <c r="Z1193">
        <v>561090000</v>
      </c>
      <c r="AA1193">
        <v>9589962.5999999996</v>
      </c>
      <c r="AB1193">
        <v>561100000</v>
      </c>
      <c r="AC1193">
        <v>2.1100445553377295E-3</v>
      </c>
      <c r="AD1193">
        <v>77992.789999999994</v>
      </c>
      <c r="AE1193">
        <v>0.17469999999999999</v>
      </c>
      <c r="AF1193">
        <v>15890000000</v>
      </c>
      <c r="AG1193">
        <v>4002556000</v>
      </c>
      <c r="AH1193">
        <v>-1634613000</v>
      </c>
      <c r="AI1193">
        <v>499800000</v>
      </c>
      <c r="AJ1193">
        <v>2312000000</v>
      </c>
      <c r="AK1193">
        <v>1.397116477022019E-9</v>
      </c>
      <c r="AL1193">
        <v>0.14550031466331026</v>
      </c>
    </row>
    <row r="1194" spans="2:38">
      <c r="B1194">
        <v>5.4711246200607813E-2</v>
      </c>
      <c r="C1194">
        <v>3.27</v>
      </c>
      <c r="D1194">
        <v>3.25</v>
      </c>
      <c r="E1194">
        <v>6.1349693251533804E-3</v>
      </c>
      <c r="F1194">
        <v>1771009</v>
      </c>
      <c r="G1194">
        <v>278880000</v>
      </c>
      <c r="H1194">
        <v>5738069.1600000001</v>
      </c>
      <c r="I1194">
        <v>243270000</v>
      </c>
      <c r="J1194">
        <v>7.2800139762403916E-3</v>
      </c>
      <c r="K1194">
        <v>78029.509999999995</v>
      </c>
      <c r="L1194">
        <v>0.19489999999999999</v>
      </c>
      <c r="M1194">
        <v>13558250000</v>
      </c>
      <c r="N1194">
        <v>10770950000</v>
      </c>
      <c r="O1194">
        <v>-152520000</v>
      </c>
      <c r="P1194">
        <v>35790000</v>
      </c>
      <c r="Q1194">
        <v>6060460000</v>
      </c>
      <c r="R1194">
        <v>1.0824512481518447E-9</v>
      </c>
      <c r="S1194">
        <v>0.44699426548411486</v>
      </c>
      <c r="U1194">
        <v>2.7761013880506991E-2</v>
      </c>
      <c r="V1194">
        <v>8.1999999999999993</v>
      </c>
      <c r="W1194">
        <v>8.19</v>
      </c>
      <c r="X1194">
        <f t="shared" si="20"/>
        <v>1.2202562538132747E-3</v>
      </c>
      <c r="Y1194">
        <v>1081338</v>
      </c>
      <c r="Z1194">
        <v>561090000</v>
      </c>
      <c r="AA1194">
        <v>8877784.9800000004</v>
      </c>
      <c r="AB1194">
        <v>561100000</v>
      </c>
      <c r="AC1194">
        <v>1.9271751915879523E-3</v>
      </c>
      <c r="AD1194">
        <v>78084.240000000005</v>
      </c>
      <c r="AE1194">
        <v>0.17469999999999999</v>
      </c>
      <c r="AF1194">
        <v>15890000000</v>
      </c>
      <c r="AG1194">
        <v>4002556000</v>
      </c>
      <c r="AH1194">
        <v>-1634613000</v>
      </c>
      <c r="AI1194">
        <v>499800000</v>
      </c>
      <c r="AJ1194">
        <v>2312000000</v>
      </c>
      <c r="AK1194">
        <v>1.6226752886418606E-9</v>
      </c>
      <c r="AL1194">
        <v>0.14550031466331026</v>
      </c>
    </row>
    <row r="1195" spans="2:38">
      <c r="B1195">
        <v>9.9688473520249316E-2</v>
      </c>
      <c r="C1195">
        <v>3.25</v>
      </c>
      <c r="D1195">
        <v>3.23</v>
      </c>
      <c r="E1195">
        <v>6.1728395061728444E-3</v>
      </c>
      <c r="F1195">
        <v>4147726</v>
      </c>
      <c r="G1195">
        <v>278880000</v>
      </c>
      <c r="H1195">
        <v>13355677.720000001</v>
      </c>
      <c r="I1195">
        <v>243270000</v>
      </c>
      <c r="J1195">
        <v>1.7049886956879187E-2</v>
      </c>
      <c r="K1195">
        <v>78469.33</v>
      </c>
      <c r="L1195">
        <v>0.19489999999999999</v>
      </c>
      <c r="M1195">
        <v>13558250000</v>
      </c>
      <c r="N1195">
        <v>10770950000</v>
      </c>
      <c r="O1195">
        <v>-152520000</v>
      </c>
      <c r="P1195">
        <v>35790000</v>
      </c>
      <c r="Q1195">
        <v>6060460000</v>
      </c>
      <c r="R1195">
        <v>4.433359920561899E-9</v>
      </c>
      <c r="S1195">
        <v>0.44699426548411486</v>
      </c>
      <c r="U1195">
        <v>3.898405197873598E-2</v>
      </c>
      <c r="V1195">
        <v>8.35</v>
      </c>
      <c r="W1195">
        <v>8.32</v>
      </c>
      <c r="X1195">
        <f t="shared" si="20"/>
        <v>3.5992801439711287E-3</v>
      </c>
      <c r="Y1195">
        <v>1861573</v>
      </c>
      <c r="Z1195">
        <v>561090000</v>
      </c>
      <c r="AA1195">
        <v>15506903.09</v>
      </c>
      <c r="AB1195">
        <v>561100000</v>
      </c>
      <c r="AC1195">
        <v>3.317720548921761E-3</v>
      </c>
      <c r="AD1195">
        <v>78571.06</v>
      </c>
      <c r="AE1195">
        <v>0.17469999999999999</v>
      </c>
      <c r="AF1195">
        <v>15890000000</v>
      </c>
      <c r="AG1195">
        <v>4002556000</v>
      </c>
      <c r="AH1195">
        <v>-1634613000</v>
      </c>
      <c r="AI1195">
        <v>499800000</v>
      </c>
      <c r="AJ1195">
        <v>2312000000</v>
      </c>
      <c r="AK1195">
        <v>6.8929534430417643E-10</v>
      </c>
      <c r="AL1195">
        <v>0.14550031466331026</v>
      </c>
    </row>
    <row r="1196" spans="2:38">
      <c r="B1196">
        <v>3.5772357723577196E-2</v>
      </c>
      <c r="C1196">
        <v>3.05</v>
      </c>
      <c r="D1196">
        <v>3.02</v>
      </c>
      <c r="E1196">
        <v>9.884678747940627E-3</v>
      </c>
      <c r="F1196">
        <v>592394</v>
      </c>
      <c r="G1196">
        <v>278880000</v>
      </c>
      <c r="H1196">
        <v>1800877.76</v>
      </c>
      <c r="I1196">
        <v>243270000</v>
      </c>
      <c r="J1196">
        <v>2.4351296912895138E-3</v>
      </c>
      <c r="K1196">
        <v>79397.009999999995</v>
      </c>
      <c r="L1196">
        <v>0.19489999999999999</v>
      </c>
      <c r="M1196">
        <v>13558250000</v>
      </c>
      <c r="N1196">
        <v>10770950000</v>
      </c>
      <c r="O1196">
        <v>-152520000</v>
      </c>
      <c r="P1196">
        <v>35790000</v>
      </c>
      <c r="Q1196">
        <v>6060460000</v>
      </c>
      <c r="R1196">
        <v>3.6773826094067579E-9</v>
      </c>
      <c r="S1196">
        <v>0.44699426548411486</v>
      </c>
      <c r="U1196">
        <v>3.2825322391559122E-2</v>
      </c>
      <c r="V1196">
        <v>8.44</v>
      </c>
      <c r="W1196">
        <v>8.42</v>
      </c>
      <c r="X1196">
        <f t="shared" si="20"/>
        <v>2.3724792408065924E-3</v>
      </c>
      <c r="Y1196">
        <v>3198641</v>
      </c>
      <c r="Z1196">
        <v>561090000</v>
      </c>
      <c r="AA1196">
        <v>26932557.219999999</v>
      </c>
      <c r="AB1196">
        <v>561100000</v>
      </c>
      <c r="AC1196">
        <v>5.7006612012119049E-3</v>
      </c>
      <c r="AD1196">
        <v>78801.429999999993</v>
      </c>
      <c r="AE1196">
        <v>0.17469999999999999</v>
      </c>
      <c r="AF1196">
        <v>15890000000</v>
      </c>
      <c r="AG1196">
        <v>4002556000</v>
      </c>
      <c r="AH1196">
        <v>-1634613000</v>
      </c>
      <c r="AI1196">
        <v>499800000</v>
      </c>
      <c r="AJ1196">
        <v>2312000000</v>
      </c>
      <c r="AK1196">
        <v>0</v>
      </c>
      <c r="AL1196">
        <v>0.14550031466331026</v>
      </c>
    </row>
    <row r="1197" spans="2:38">
      <c r="B1197">
        <v>4.8780487804878016E-2</v>
      </c>
      <c r="C1197">
        <v>3.05</v>
      </c>
      <c r="D1197">
        <v>3.02</v>
      </c>
      <c r="E1197">
        <v>9.884678747940627E-3</v>
      </c>
      <c r="F1197">
        <v>559381</v>
      </c>
      <c r="G1197">
        <v>278880000</v>
      </c>
      <c r="H1197">
        <v>1689330.62</v>
      </c>
      <c r="I1197">
        <v>243270000</v>
      </c>
      <c r="J1197">
        <v>2.2994245077485923E-3</v>
      </c>
      <c r="K1197">
        <v>78987.09</v>
      </c>
      <c r="L1197">
        <v>0.19489999999999999</v>
      </c>
      <c r="M1197">
        <v>13558250000</v>
      </c>
      <c r="N1197">
        <v>10770950000</v>
      </c>
      <c r="O1197">
        <v>-152520000</v>
      </c>
      <c r="P1197">
        <v>35790000</v>
      </c>
      <c r="Q1197">
        <v>6060460000</v>
      </c>
      <c r="R1197">
        <v>3.9463362516134777E-9</v>
      </c>
      <c r="S1197">
        <v>0.44699426548411486</v>
      </c>
      <c r="U1197">
        <v>6.3754427390791138E-2</v>
      </c>
      <c r="V1197">
        <v>8.39</v>
      </c>
      <c r="W1197">
        <v>8.3800000000000008</v>
      </c>
      <c r="X1197">
        <f t="shared" si="20"/>
        <v>1.1926058437686088E-3</v>
      </c>
      <c r="Y1197">
        <v>9486143</v>
      </c>
      <c r="Z1197">
        <v>561090000</v>
      </c>
      <c r="AA1197">
        <v>79873324.060000002</v>
      </c>
      <c r="AB1197">
        <v>561100000</v>
      </c>
      <c r="AC1197">
        <v>1.6906332204598112E-2</v>
      </c>
      <c r="AD1197">
        <v>78793.41</v>
      </c>
      <c r="AE1197">
        <v>0.17469999999999999</v>
      </c>
      <c r="AF1197">
        <v>15890000000</v>
      </c>
      <c r="AG1197">
        <v>4002556000</v>
      </c>
      <c r="AH1197">
        <v>-1634613000</v>
      </c>
      <c r="AI1197">
        <v>499800000</v>
      </c>
      <c r="AJ1197">
        <v>2312000000</v>
      </c>
      <c r="AK1197">
        <v>1.8100951094060563E-10</v>
      </c>
      <c r="AL1197">
        <v>0.14550031466331026</v>
      </c>
    </row>
    <row r="1198" spans="2:38">
      <c r="B1198">
        <v>5.2287581699346448E-2</v>
      </c>
      <c r="C1198">
        <v>3.02</v>
      </c>
      <c r="D1198">
        <v>3</v>
      </c>
      <c r="E1198">
        <v>6.6445182724252554E-3</v>
      </c>
      <c r="F1198">
        <v>495568</v>
      </c>
      <c r="G1198">
        <v>278880000</v>
      </c>
      <c r="H1198">
        <v>1486704</v>
      </c>
      <c r="I1198">
        <v>243270000</v>
      </c>
      <c r="J1198">
        <v>2.0371110288979325E-3</v>
      </c>
      <c r="K1198">
        <v>78539.19</v>
      </c>
      <c r="L1198">
        <v>0.19489999999999999</v>
      </c>
      <c r="M1198">
        <v>13558250000</v>
      </c>
      <c r="N1198">
        <v>10770950000</v>
      </c>
      <c r="O1198">
        <v>-152520000</v>
      </c>
      <c r="P1198">
        <v>35790000</v>
      </c>
      <c r="Q1198">
        <v>6060460000</v>
      </c>
      <c r="R1198">
        <v>0</v>
      </c>
      <c r="S1198">
        <v>0.44699426548411486</v>
      </c>
      <c r="U1198">
        <v>4.6285018270402038E-2</v>
      </c>
      <c r="V1198">
        <v>8.1999999999999993</v>
      </c>
      <c r="W1198">
        <v>8.18</v>
      </c>
      <c r="X1198">
        <f t="shared" si="20"/>
        <v>2.44200244200239E-3</v>
      </c>
      <c r="Y1198">
        <v>2989618</v>
      </c>
      <c r="Z1198">
        <v>561090000</v>
      </c>
      <c r="AA1198">
        <v>24813829.400000002</v>
      </c>
      <c r="AB1198">
        <v>561100000</v>
      </c>
      <c r="AC1198">
        <v>5.3281375868829087E-3</v>
      </c>
      <c r="AD1198">
        <v>78260.86</v>
      </c>
      <c r="AE1198">
        <v>0.17469999999999999</v>
      </c>
      <c r="AF1198">
        <v>15890000000</v>
      </c>
      <c r="AG1198">
        <v>4002556000</v>
      </c>
      <c r="AH1198">
        <v>-1634613000</v>
      </c>
      <c r="AI1198">
        <v>499800000</v>
      </c>
      <c r="AJ1198">
        <v>2312000000</v>
      </c>
      <c r="AK1198">
        <v>1.6160444234603486E-9</v>
      </c>
      <c r="AL1198">
        <v>0.14550031466331026</v>
      </c>
    </row>
    <row r="1199" spans="2:38">
      <c r="B1199">
        <v>0</v>
      </c>
      <c r="C1199">
        <v>0</v>
      </c>
      <c r="D1199">
        <v>0</v>
      </c>
      <c r="E1199">
        <v>0</v>
      </c>
      <c r="F1199">
        <v>0</v>
      </c>
      <c r="G1199">
        <v>0</v>
      </c>
      <c r="H1199">
        <v>0</v>
      </c>
      <c r="I1199">
        <v>0</v>
      </c>
      <c r="J1199">
        <v>0</v>
      </c>
      <c r="K1199">
        <v>0</v>
      </c>
      <c r="L1199">
        <v>0</v>
      </c>
      <c r="M1199">
        <v>0</v>
      </c>
      <c r="N1199">
        <v>0</v>
      </c>
      <c r="O1199">
        <v>0</v>
      </c>
      <c r="P1199">
        <v>0</v>
      </c>
      <c r="Q1199">
        <v>0</v>
      </c>
      <c r="R1199">
        <v>0</v>
      </c>
      <c r="S1199">
        <v>0</v>
      </c>
      <c r="U1199">
        <v>3.6092097075295586E-2</v>
      </c>
      <c r="V1199">
        <v>8</v>
      </c>
      <c r="W1199">
        <v>7.98</v>
      </c>
      <c r="X1199">
        <f t="shared" si="20"/>
        <v>2.5031289111388704E-3</v>
      </c>
      <c r="Y1199">
        <v>2026568</v>
      </c>
      <c r="Z1199">
        <v>561090000</v>
      </c>
      <c r="AA1199">
        <v>16172012.640000001</v>
      </c>
      <c r="AB1199">
        <v>561100000</v>
      </c>
      <c r="AC1199">
        <v>3.6117768668686508E-3</v>
      </c>
      <c r="AD1199">
        <v>77745.52</v>
      </c>
      <c r="AE1199">
        <v>0.189</v>
      </c>
      <c r="AF1199">
        <v>15890000000</v>
      </c>
      <c r="AG1199">
        <v>4002556000</v>
      </c>
      <c r="AH1199">
        <v>-1634613000</v>
      </c>
      <c r="AI1199">
        <v>499800000</v>
      </c>
      <c r="AJ1199">
        <v>2312000000</v>
      </c>
      <c r="AK1199">
        <v>4.6145688438962416E-10</v>
      </c>
      <c r="AL1199">
        <v>0.14550031466331026</v>
      </c>
    </row>
    <row r="1200" spans="2:38">
      <c r="B1200" t="str">
        <v>Relative high-low price</v>
      </c>
      <c r="C1200" t="str">
        <v>Ask price</v>
      </c>
      <c r="D1200" t="str">
        <v xml:space="preserve">Bid price </v>
      </c>
      <c r="E1200" t="str">
        <v xml:space="preserve">Relative Bid-Ask Spread </v>
      </c>
      <c r="F1200" t="str">
        <v>daily trading volume</v>
      </c>
      <c r="G1200" t="str">
        <v>common shares outstandig</v>
      </c>
      <c r="H1200" t="str">
        <v>Trading value</v>
      </c>
      <c r="I1200" t="str">
        <v xml:space="preserve">free float shares </v>
      </c>
      <c r="J1200" t="str">
        <v>Turnover</v>
      </c>
      <c r="K1200" t="str">
        <v>KSE-100 Index</v>
      </c>
      <c r="L1200" t="str">
        <v xml:space="preserve">Risk free rate </v>
      </c>
      <c r="M1200" t="str">
        <v xml:space="preserve">Total assets </v>
      </c>
      <c r="N1200" t="str">
        <v xml:space="preserve">Total Liabilities </v>
      </c>
      <c r="O1200" t="str">
        <v>EBITDA (in millions)</v>
      </c>
      <c r="P1200" t="str">
        <v xml:space="preserve">Cash and equivalents </v>
      </c>
      <c r="Q1200" t="str">
        <v xml:space="preserve">Total Debt </v>
      </c>
      <c r="R1200" t="str">
        <v>Amihud illiquidity ratio</v>
      </c>
      <c r="S1200" t="str">
        <v>Leverage ratio</v>
      </c>
      <c r="U1200">
        <v>2.5846153846153953E-2</v>
      </c>
      <c r="V1200">
        <v>8.09</v>
      </c>
      <c r="W1200">
        <v>8.0500000000000007</v>
      </c>
      <c r="X1200">
        <f t="shared" si="20"/>
        <v>4.9566294919453713E-3</v>
      </c>
      <c r="Y1200">
        <v>1065852</v>
      </c>
      <c r="Z1200">
        <v>561090000</v>
      </c>
      <c r="AA1200">
        <v>8569450.0799999982</v>
      </c>
      <c r="AB1200">
        <v>561100000</v>
      </c>
      <c r="AC1200">
        <v>1.8995758331848155E-3</v>
      </c>
      <c r="AD1200">
        <v>77830.34</v>
      </c>
      <c r="AE1200">
        <v>0.189</v>
      </c>
      <c r="AF1200">
        <v>15890000000</v>
      </c>
      <c r="AG1200">
        <v>4002556000</v>
      </c>
      <c r="AH1200">
        <v>-1634613000</v>
      </c>
      <c r="AI1200">
        <v>499800000</v>
      </c>
      <c r="AJ1200">
        <v>2312000000</v>
      </c>
      <c r="AK1200">
        <v>1.0072197490199176E-9</v>
      </c>
      <c r="AL1200">
        <v>0.14550031466331026</v>
      </c>
    </row>
    <row r="1201" spans="2:38">
      <c r="B1201">
        <v>7.669616519174044E-2</v>
      </c>
      <c r="C1201">
        <v>8.33</v>
      </c>
      <c r="D1201">
        <v>8.25</v>
      </c>
      <c r="E1201">
        <v>9.6501809408926515E-3</v>
      </c>
      <c r="F1201">
        <v>7721759</v>
      </c>
      <c r="G1201">
        <v>561090000</v>
      </c>
      <c r="H1201">
        <v>63550076.57</v>
      </c>
      <c r="I1201">
        <v>561100000</v>
      </c>
      <c r="J1201">
        <v>1.376182320441989E-2</v>
      </c>
      <c r="K1201">
        <v>82074.45</v>
      </c>
      <c r="L1201">
        <v>0.1741</v>
      </c>
      <c r="M1201">
        <v>15890000000</v>
      </c>
      <c r="N1201">
        <v>4002556000</v>
      </c>
      <c r="O1201">
        <v>-1634613000</v>
      </c>
      <c r="P1201">
        <v>499800000</v>
      </c>
      <c r="Q1201">
        <v>2312000000</v>
      </c>
      <c r="R1201">
        <v>2.0754417859306341E-10</v>
      </c>
      <c r="S1201">
        <v>0.14550031466331026</v>
      </c>
      <c r="U1201">
        <v>5.234327449786972E-2</v>
      </c>
      <c r="V1201">
        <v>8.14</v>
      </c>
      <c r="W1201">
        <v>8.1</v>
      </c>
      <c r="X1201">
        <f t="shared" si="20"/>
        <v>4.9261083743843493E-3</v>
      </c>
      <c r="Y1201">
        <v>1777489</v>
      </c>
      <c r="Z1201">
        <v>561090000</v>
      </c>
      <c r="AA1201">
        <v>14415435.789999999</v>
      </c>
      <c r="AB1201">
        <v>561100000</v>
      </c>
      <c r="AC1201">
        <v>3.1678649082160044E-3</v>
      </c>
      <c r="AD1201">
        <v>78045.31</v>
      </c>
      <c r="AE1201">
        <v>0.189</v>
      </c>
      <c r="AF1201">
        <v>15890000000</v>
      </c>
      <c r="AG1201">
        <v>4002556000</v>
      </c>
      <c r="AH1201">
        <v>-1634613000</v>
      </c>
      <c r="AI1201">
        <v>499800000</v>
      </c>
      <c r="AJ1201">
        <v>2312000000</v>
      </c>
      <c r="AK1201">
        <v>1.706521145862749E-10</v>
      </c>
      <c r="AL1201">
        <v>0.14550031466331026</v>
      </c>
    </row>
    <row r="1202" spans="2:38">
      <c r="B1202">
        <v>4.9353701527614556E-2</v>
      </c>
      <c r="C1202">
        <v>8.32</v>
      </c>
      <c r="D1202">
        <v>8.31</v>
      </c>
      <c r="E1202">
        <v>1.202645820805747E-3</v>
      </c>
      <c r="F1202">
        <v>2876605</v>
      </c>
      <c r="G1202">
        <v>561090000</v>
      </c>
      <c r="H1202">
        <v>23990885.699999999</v>
      </c>
      <c r="I1202">
        <v>561100000</v>
      </c>
      <c r="J1202">
        <v>5.1267242915701301E-3</v>
      </c>
      <c r="K1202">
        <v>81459.289999999994</v>
      </c>
      <c r="L1202">
        <v>0.1741</v>
      </c>
      <c r="M1202">
        <v>15890000000</v>
      </c>
      <c r="N1202">
        <v>4002556000</v>
      </c>
      <c r="O1202">
        <v>-1634613000</v>
      </c>
      <c r="P1202">
        <v>499800000</v>
      </c>
      <c r="Q1202">
        <v>2312000000</v>
      </c>
      <c r="R1202">
        <v>1.4006864279864878E-9</v>
      </c>
      <c r="S1202">
        <v>0.14550031466331026</v>
      </c>
      <c r="U1202">
        <v>4.4499381953028362E-2</v>
      </c>
      <c r="V1202">
        <v>8.14</v>
      </c>
      <c r="W1202">
        <v>8.06</v>
      </c>
      <c r="X1202">
        <f t="shared" si="20"/>
        <v>9.8765432098765499E-3</v>
      </c>
      <c r="Y1202">
        <v>2027234</v>
      </c>
      <c r="Z1202">
        <v>561090000</v>
      </c>
      <c r="AA1202">
        <v>16481412.420000002</v>
      </c>
      <c r="AB1202">
        <v>561100000</v>
      </c>
      <c r="AC1202">
        <v>3.6129638210657638E-3</v>
      </c>
      <c r="AD1202">
        <v>78105.98</v>
      </c>
      <c r="AE1202">
        <v>0.189</v>
      </c>
      <c r="AF1202">
        <v>15890000000</v>
      </c>
      <c r="AG1202">
        <v>4002556000</v>
      </c>
      <c r="AH1202">
        <v>-1634613000</v>
      </c>
      <c r="AI1202">
        <v>499800000</v>
      </c>
      <c r="AJ1202">
        <v>2312000000</v>
      </c>
      <c r="AK1202">
        <v>7.5559665683878191E-10</v>
      </c>
      <c r="AL1202">
        <v>0.14550031466331026</v>
      </c>
    </row>
    <row r="1203" spans="2:38">
      <c r="B1203">
        <v>3.0162412993039414E-2</v>
      </c>
      <c r="C1203">
        <v>8.66</v>
      </c>
      <c r="D1203">
        <v>8.59</v>
      </c>
      <c r="E1203">
        <v>8.1159420289855407E-3</v>
      </c>
      <c r="F1203">
        <v>2507647</v>
      </c>
      <c r="G1203">
        <v>561090000</v>
      </c>
      <c r="H1203">
        <v>21640993.610000003</v>
      </c>
      <c r="I1203">
        <v>561100000</v>
      </c>
      <c r="J1203">
        <v>4.4691623596506865E-3</v>
      </c>
      <c r="K1203">
        <v>80461.34</v>
      </c>
      <c r="L1203">
        <v>0.1741</v>
      </c>
      <c r="M1203">
        <v>15890000000</v>
      </c>
      <c r="N1203">
        <v>4002556000</v>
      </c>
      <c r="O1203">
        <v>-1634613000</v>
      </c>
      <c r="P1203">
        <v>499800000</v>
      </c>
      <c r="Q1203">
        <v>2312000000</v>
      </c>
      <c r="R1203">
        <v>2.1517391943814918E-10</v>
      </c>
      <c r="S1203">
        <v>0.14550031466331026</v>
      </c>
      <c r="U1203">
        <v>2.9702970297029618E-2</v>
      </c>
      <c r="V1203">
        <v>7.99</v>
      </c>
      <c r="W1203">
        <v>7.97</v>
      </c>
      <c r="X1203">
        <f t="shared" si="20"/>
        <v>2.5062656641604585E-3</v>
      </c>
      <c r="Y1203">
        <v>1824910</v>
      </c>
      <c r="Z1203">
        <v>561090000</v>
      </c>
      <c r="AA1203">
        <v>14654027.299999999</v>
      </c>
      <c r="AB1203">
        <v>561100000</v>
      </c>
      <c r="AC1203">
        <v>3.252379255034753E-3</v>
      </c>
      <c r="AD1203">
        <v>77877.42</v>
      </c>
      <c r="AE1203">
        <v>0.189</v>
      </c>
      <c r="AF1203">
        <v>15890000000</v>
      </c>
      <c r="AG1203">
        <v>4002556000</v>
      </c>
      <c r="AH1203">
        <v>-1634613000</v>
      </c>
      <c r="AI1203">
        <v>499800000</v>
      </c>
      <c r="AJ1203">
        <v>2312000000</v>
      </c>
      <c r="AK1203">
        <v>8.4876400805349725E-11</v>
      </c>
      <c r="AL1203">
        <v>0.14550031466331026</v>
      </c>
    </row>
    <row r="1204" spans="2:38">
      <c r="B1204">
        <v>9.5238095238095191E-2</v>
      </c>
      <c r="C1204">
        <v>8.59</v>
      </c>
      <c r="D1204">
        <v>8.58</v>
      </c>
      <c r="E1204">
        <v>1.1648223645893752E-3</v>
      </c>
      <c r="F1204">
        <v>11013505</v>
      </c>
      <c r="G1204">
        <v>561090000</v>
      </c>
      <c r="H1204">
        <v>94606007.950000003</v>
      </c>
      <c r="I1204">
        <v>561100000</v>
      </c>
      <c r="J1204">
        <v>1.9628417394403849E-2</v>
      </c>
      <c r="K1204">
        <v>79491.14</v>
      </c>
      <c r="L1204">
        <v>0.1741</v>
      </c>
      <c r="M1204">
        <v>15890000000</v>
      </c>
      <c r="N1204">
        <v>4002556000</v>
      </c>
      <c r="O1204">
        <v>-1634613000</v>
      </c>
      <c r="P1204">
        <v>499800000</v>
      </c>
      <c r="Q1204">
        <v>2312000000</v>
      </c>
      <c r="R1204">
        <v>2.8729748288855789E-10</v>
      </c>
      <c r="S1204">
        <v>0.14550031466331026</v>
      </c>
      <c r="U1204">
        <v>5.1157125456760037E-2</v>
      </c>
      <c r="V1204">
        <v>8.08</v>
      </c>
      <c r="W1204">
        <v>8.0399999999999991</v>
      </c>
      <c r="X1204">
        <f t="shared" si="20"/>
        <v>4.9627791563276588E-3</v>
      </c>
      <c r="Y1204">
        <v>2933371</v>
      </c>
      <c r="Z1204">
        <v>561090000</v>
      </c>
      <c r="AA1204">
        <v>23584302.839999996</v>
      </c>
      <c r="AB1204">
        <v>561100000</v>
      </c>
      <c r="AC1204">
        <v>5.227893423632151E-3</v>
      </c>
      <c r="AD1204">
        <v>77980.289999999994</v>
      </c>
      <c r="AE1204">
        <v>0.189</v>
      </c>
      <c r="AF1204">
        <v>15890000000</v>
      </c>
      <c r="AG1204">
        <v>4002556000</v>
      </c>
      <c r="AH1204">
        <v>-1634613000</v>
      </c>
      <c r="AI1204">
        <v>499800000</v>
      </c>
      <c r="AJ1204">
        <v>2312000000</v>
      </c>
      <c r="AK1204">
        <v>6.2354534932444495E-10</v>
      </c>
      <c r="AL1204">
        <v>0.14550031466331026</v>
      </c>
    </row>
    <row r="1205" spans="2:38">
      <c r="B1205">
        <v>0.1087775982767905</v>
      </c>
      <c r="C1205">
        <v>8.85</v>
      </c>
      <c r="D1205">
        <v>8.83</v>
      </c>
      <c r="E1205">
        <v>2.2624434389139788E-3</v>
      </c>
      <c r="F1205">
        <v>21744520</v>
      </c>
      <c r="G1205">
        <v>561090000</v>
      </c>
      <c r="H1205">
        <v>192004111.59999999</v>
      </c>
      <c r="I1205">
        <v>561100000</v>
      </c>
      <c r="J1205">
        <v>3.8753377294599892E-2</v>
      </c>
      <c r="K1205">
        <v>79333.06</v>
      </c>
      <c r="L1205">
        <v>0.1741</v>
      </c>
      <c r="M1205">
        <v>15890000000</v>
      </c>
      <c r="N1205">
        <v>4002556000</v>
      </c>
      <c r="O1205">
        <v>-1634613000</v>
      </c>
      <c r="P1205">
        <v>499800000</v>
      </c>
      <c r="Q1205">
        <v>2312000000</v>
      </c>
      <c r="R1205">
        <v>2.8965511622945914E-10</v>
      </c>
      <c r="S1205">
        <v>0.14550031466331026</v>
      </c>
      <c r="U1205">
        <v>2.3156611822059876E-2</v>
      </c>
      <c r="V1205">
        <v>8.15</v>
      </c>
      <c r="W1205">
        <v>8.14</v>
      </c>
      <c r="X1205">
        <f t="shared" si="20"/>
        <v>1.2277470841006491E-3</v>
      </c>
      <c r="Y1205">
        <v>1625414</v>
      </c>
      <c r="Z1205">
        <v>561090000</v>
      </c>
      <c r="AA1205">
        <v>13263378.24</v>
      </c>
      <c r="AB1205">
        <v>561100000</v>
      </c>
      <c r="AC1205">
        <v>2.8968347888076993E-3</v>
      </c>
      <c r="AD1205">
        <v>78569.59</v>
      </c>
      <c r="AE1205">
        <v>0.189</v>
      </c>
      <c r="AF1205">
        <v>15890000000</v>
      </c>
      <c r="AG1205">
        <v>4002556000</v>
      </c>
      <c r="AH1205">
        <v>-1634613000</v>
      </c>
      <c r="AI1205">
        <v>499800000</v>
      </c>
      <c r="AJ1205">
        <v>2312000000</v>
      </c>
      <c r="AK1205">
        <v>2.7617425943238312E-10</v>
      </c>
      <c r="AL1205">
        <v>0.14550031466331026</v>
      </c>
    </row>
    <row r="1206" spans="2:38">
      <c r="B1206">
        <v>0.10112359550561803</v>
      </c>
      <c r="C1206">
        <v>8.65</v>
      </c>
      <c r="D1206">
        <v>9.35</v>
      </c>
      <c r="E1206">
        <v>-7.7777777777777696E-2</v>
      </c>
      <c r="F1206">
        <v>32499453</v>
      </c>
      <c r="G1206">
        <v>561090000</v>
      </c>
      <c r="H1206">
        <v>303869885.55000001</v>
      </c>
      <c r="I1206">
        <v>561100000</v>
      </c>
      <c r="J1206">
        <v>5.7920964177508465E-2</v>
      </c>
      <c r="K1206">
        <v>79017.62</v>
      </c>
      <c r="L1206">
        <v>0.1741</v>
      </c>
      <c r="M1206">
        <v>15890000000</v>
      </c>
      <c r="N1206">
        <v>4002556000</v>
      </c>
      <c r="O1206">
        <v>-1634613000</v>
      </c>
      <c r="P1206">
        <v>499800000</v>
      </c>
      <c r="Q1206">
        <v>2312000000</v>
      </c>
      <c r="R1206">
        <v>3.9411762973863457E-10</v>
      </c>
      <c r="S1206">
        <v>0.14550031466331026</v>
      </c>
      <c r="U1206">
        <v>4.0865384615384595E-2</v>
      </c>
      <c r="V1206">
        <v>8.19</v>
      </c>
      <c r="W1206">
        <v>8.18</v>
      </c>
      <c r="X1206">
        <f t="shared" si="20"/>
        <v>1.2217470983506157E-3</v>
      </c>
      <c r="Y1206">
        <v>1690873</v>
      </c>
      <c r="Z1206">
        <v>561090000</v>
      </c>
      <c r="AA1206">
        <v>13848249.869999999</v>
      </c>
      <c r="AB1206">
        <v>561100000</v>
      </c>
      <c r="AC1206">
        <v>3.0134967029050081E-3</v>
      </c>
      <c r="AD1206">
        <v>77874.22</v>
      </c>
      <c r="AE1206">
        <v>0.189</v>
      </c>
      <c r="AF1206">
        <v>15890000000</v>
      </c>
      <c r="AG1206">
        <v>4002556000</v>
      </c>
      <c r="AH1206">
        <v>-1634613000</v>
      </c>
      <c r="AI1206">
        <v>499800000</v>
      </c>
      <c r="AJ1206">
        <v>2312000000</v>
      </c>
      <c r="AK1206">
        <v>1.8889992866687426E-9</v>
      </c>
      <c r="AL1206">
        <v>0.14550031466331026</v>
      </c>
    </row>
    <row r="1207" spans="2:38">
      <c r="B1207">
        <v>5.6470588235294168E-2</v>
      </c>
      <c r="C1207">
        <v>8.3699999999999992</v>
      </c>
      <c r="D1207">
        <v>8.35</v>
      </c>
      <c r="E1207">
        <v>2.3923444976076047E-3</v>
      </c>
      <c r="F1207">
        <v>3731733</v>
      </c>
      <c r="G1207">
        <v>561090000</v>
      </c>
      <c r="H1207">
        <v>31159970.549999997</v>
      </c>
      <c r="I1207">
        <v>561100000</v>
      </c>
      <c r="J1207">
        <v>6.6507449652468366E-3</v>
      </c>
      <c r="K1207">
        <v>78651.8</v>
      </c>
      <c r="L1207">
        <v>0.1741</v>
      </c>
      <c r="M1207">
        <v>15890000000</v>
      </c>
      <c r="N1207">
        <v>4002556000</v>
      </c>
      <c r="O1207">
        <v>-1634613000</v>
      </c>
      <c r="P1207">
        <v>499800000</v>
      </c>
      <c r="Q1207">
        <v>2312000000</v>
      </c>
      <c r="R1207">
        <v>7.7052716731582741E-11</v>
      </c>
      <c r="S1207">
        <v>0.14550031466331026</v>
      </c>
      <c r="U1207">
        <v>3.8892162639952869E-2</v>
      </c>
      <c r="V1207">
        <v>8.35</v>
      </c>
      <c r="W1207">
        <v>8.32</v>
      </c>
      <c r="X1207">
        <f t="shared" si="20"/>
        <v>3.5992801439711287E-3</v>
      </c>
      <c r="Y1207">
        <v>2571623</v>
      </c>
      <c r="Z1207">
        <v>561090000</v>
      </c>
      <c r="AA1207">
        <v>21627349.43</v>
      </c>
      <c r="AB1207">
        <v>561100000</v>
      </c>
      <c r="AC1207">
        <v>4.5831812511138836E-3</v>
      </c>
      <c r="AD1207">
        <v>77114.490000000005</v>
      </c>
      <c r="AE1207">
        <v>0.189</v>
      </c>
      <c r="AF1207">
        <v>15890000000</v>
      </c>
      <c r="AG1207">
        <v>4002556000</v>
      </c>
      <c r="AH1207">
        <v>-1634613000</v>
      </c>
      <c r="AI1207">
        <v>499800000</v>
      </c>
      <c r="AJ1207">
        <v>2312000000</v>
      </c>
      <c r="AK1207">
        <v>3.2754014950243053E-10</v>
      </c>
      <c r="AL1207">
        <v>0.14550031466331026</v>
      </c>
    </row>
    <row r="1208" spans="2:38">
      <c r="B1208">
        <v>2.9850746268656716E-2</v>
      </c>
      <c r="C1208">
        <v>8.4</v>
      </c>
      <c r="D1208">
        <v>8.35</v>
      </c>
      <c r="E1208">
        <v>5.9701492537314283E-3</v>
      </c>
      <c r="F1208">
        <v>1114362</v>
      </c>
      <c r="G1208">
        <v>561090000</v>
      </c>
      <c r="H1208">
        <v>9282635.4600000009</v>
      </c>
      <c r="I1208">
        <v>561100000</v>
      </c>
      <c r="J1208">
        <v>1.9860310105150598E-3</v>
      </c>
      <c r="K1208">
        <v>79286.740000000005</v>
      </c>
      <c r="L1208">
        <v>0.1741</v>
      </c>
      <c r="M1208">
        <v>15890000000</v>
      </c>
      <c r="N1208">
        <v>4002556000</v>
      </c>
      <c r="O1208">
        <v>-1634613000</v>
      </c>
      <c r="P1208">
        <v>499800000</v>
      </c>
      <c r="Q1208">
        <v>2312000000</v>
      </c>
      <c r="R1208">
        <v>7.7040305096504048E-10</v>
      </c>
      <c r="S1208">
        <v>0.14550031466331026</v>
      </c>
      <c r="U1208">
        <v>8.0552359033371615E-2</v>
      </c>
      <c r="V1208">
        <v>8.5299999999999994</v>
      </c>
      <c r="W1208">
        <v>8.52</v>
      </c>
      <c r="X1208">
        <f t="shared" si="20"/>
        <v>1.1730205278592128E-3</v>
      </c>
      <c r="Y1208">
        <v>7910505</v>
      </c>
      <c r="Z1208">
        <v>561090000</v>
      </c>
      <c r="AA1208">
        <v>67001977.350000001</v>
      </c>
      <c r="AB1208">
        <v>561100000</v>
      </c>
      <c r="AC1208">
        <v>1.4098208875423276E-2</v>
      </c>
      <c r="AD1208">
        <v>77191.34</v>
      </c>
      <c r="AE1208">
        <v>0.19489999999999999</v>
      </c>
      <c r="AF1208">
        <v>15890000000</v>
      </c>
      <c r="AG1208">
        <v>4002556000</v>
      </c>
      <c r="AH1208">
        <v>-1634613000</v>
      </c>
      <c r="AI1208">
        <v>499800000</v>
      </c>
      <c r="AJ1208">
        <v>2312000000</v>
      </c>
      <c r="AK1208">
        <v>6.408445661692777E-10</v>
      </c>
      <c r="AL1208">
        <v>0.14550031466331026</v>
      </c>
    </row>
    <row r="1209" spans="2:38">
      <c r="B1209">
        <v>3.6926742108397914E-2</v>
      </c>
      <c r="C1209">
        <v>8.44</v>
      </c>
      <c r="D1209">
        <v>8.42</v>
      </c>
      <c r="E1209">
        <v>2.3724792408065924E-3</v>
      </c>
      <c r="F1209">
        <v>2417525</v>
      </c>
      <c r="G1209">
        <v>561090000</v>
      </c>
      <c r="H1209">
        <v>20283034.75</v>
      </c>
      <c r="I1209">
        <v>561100000</v>
      </c>
      <c r="J1209">
        <v>4.3085457137765105E-3</v>
      </c>
      <c r="K1209">
        <v>78615</v>
      </c>
      <c r="L1209">
        <v>0.1741</v>
      </c>
      <c r="M1209">
        <v>15890000000</v>
      </c>
      <c r="N1209">
        <v>4002556000</v>
      </c>
      <c r="O1209">
        <v>-1634613000</v>
      </c>
      <c r="P1209">
        <v>499800000</v>
      </c>
      <c r="Q1209">
        <v>2312000000</v>
      </c>
      <c r="R1209">
        <v>4.6566504818472845E-10</v>
      </c>
      <c r="S1209">
        <v>0.14550031466331026</v>
      </c>
      <c r="U1209">
        <v>9.3587521663778206E-2</v>
      </c>
      <c r="V1209">
        <v>8.85</v>
      </c>
      <c r="W1209">
        <v>8.84</v>
      </c>
      <c r="X1209">
        <f t="shared" si="20"/>
        <v>1.1305822498586533E-3</v>
      </c>
      <c r="Y1209">
        <v>16769167</v>
      </c>
      <c r="Z1209">
        <v>561090000</v>
      </c>
      <c r="AA1209">
        <v>148407127.94999999</v>
      </c>
      <c r="AB1209">
        <v>561100000</v>
      </c>
      <c r="AC1209">
        <v>2.9886235965068616E-2</v>
      </c>
      <c r="AD1209">
        <v>77084.490000000005</v>
      </c>
      <c r="AE1209">
        <v>0.19489999999999999</v>
      </c>
      <c r="AF1209">
        <v>15890000000</v>
      </c>
      <c r="AG1209">
        <v>4002556000</v>
      </c>
      <c r="AH1209">
        <v>-1634613000</v>
      </c>
      <c r="AI1209">
        <v>499800000</v>
      </c>
      <c r="AJ1209">
        <v>2312000000</v>
      </c>
      <c r="AK1209">
        <v>3.3571206952893195E-10</v>
      </c>
      <c r="AL1209">
        <v>0.14550031466331026</v>
      </c>
    </row>
    <row r="1210" spans="2:38">
      <c r="B1210">
        <v>4.2799305957200606E-2</v>
      </c>
      <c r="C1210">
        <v>8.49</v>
      </c>
      <c r="D1210">
        <v>8.48</v>
      </c>
      <c r="E1210">
        <v>1.1785503830288495E-3</v>
      </c>
      <c r="F1210">
        <v>1887880</v>
      </c>
      <c r="G1210">
        <v>561090000</v>
      </c>
      <c r="H1210">
        <v>15990343.600000001</v>
      </c>
      <c r="I1210">
        <v>561100000</v>
      </c>
      <c r="J1210">
        <v>3.3646052397077169E-3</v>
      </c>
      <c r="K1210">
        <v>78897.73</v>
      </c>
      <c r="L1210">
        <v>0.1741</v>
      </c>
      <c r="M1210">
        <v>15890000000</v>
      </c>
      <c r="N1210">
        <v>4002556000</v>
      </c>
      <c r="O1210">
        <v>-1634613000</v>
      </c>
      <c r="P1210">
        <v>499800000</v>
      </c>
      <c r="Q1210">
        <v>2312000000</v>
      </c>
      <c r="R1210">
        <v>9.4533797696300438E-10</v>
      </c>
      <c r="S1210">
        <v>0.14550031466331026</v>
      </c>
      <c r="U1210">
        <v>0.1252279635258359</v>
      </c>
      <c r="V1210">
        <v>8.5399999999999991</v>
      </c>
      <c r="W1210">
        <v>8.5299999999999994</v>
      </c>
      <c r="X1210">
        <f t="shared" si="20"/>
        <v>1.1716461628587917E-3</v>
      </c>
      <c r="Y1210">
        <v>16831144</v>
      </c>
      <c r="Z1210">
        <v>561090000</v>
      </c>
      <c r="AA1210">
        <v>141886543.91999999</v>
      </c>
      <c r="AB1210">
        <v>561100000</v>
      </c>
      <c r="AC1210">
        <v>2.9996692211726964E-2</v>
      </c>
      <c r="AD1210">
        <v>78225.98</v>
      </c>
      <c r="AE1210">
        <v>0.19489999999999999</v>
      </c>
      <c r="AF1210">
        <v>15890000000</v>
      </c>
      <c r="AG1210">
        <v>4002556000</v>
      </c>
      <c r="AH1210">
        <v>-1634613000</v>
      </c>
      <c r="AI1210">
        <v>499800000</v>
      </c>
      <c r="AJ1210">
        <v>2312000000</v>
      </c>
      <c r="AK1210">
        <v>6.2829979756198268E-10</v>
      </c>
      <c r="AL1210">
        <v>0.14550031466331026</v>
      </c>
    </row>
    <row r="1211" spans="2:38">
      <c r="B1211">
        <v>3.4403669724770526E-2</v>
      </c>
      <c r="C1211">
        <v>8.6999999999999993</v>
      </c>
      <c r="D1211">
        <v>8.68</v>
      </c>
      <c r="E1211">
        <v>2.3014959723819993E-3</v>
      </c>
      <c r="F1211">
        <v>4639430</v>
      </c>
      <c r="G1211">
        <v>561090000</v>
      </c>
      <c r="H1211">
        <v>39899098</v>
      </c>
      <c r="I1211">
        <v>561100000</v>
      </c>
      <c r="J1211">
        <v>8.2684548208875417E-3</v>
      </c>
      <c r="K1211">
        <v>78863.34</v>
      </c>
      <c r="L1211">
        <v>0.1741</v>
      </c>
      <c r="M1211">
        <v>15890000000</v>
      </c>
      <c r="N1211">
        <v>4002556000</v>
      </c>
      <c r="O1211">
        <v>-1634613000</v>
      </c>
      <c r="P1211">
        <v>499800000</v>
      </c>
      <c r="Q1211">
        <v>2312000000</v>
      </c>
      <c r="R1211">
        <v>2.3533542942505508E-10</v>
      </c>
      <c r="S1211">
        <v>0.14550031466331026</v>
      </c>
      <c r="U1211">
        <v>3.6919159770846595E-2</v>
      </c>
      <c r="V1211">
        <v>7.75</v>
      </c>
      <c r="W1211">
        <v>7.73</v>
      </c>
      <c r="X1211">
        <f t="shared" si="20"/>
        <v>2.5839793281653197E-3</v>
      </c>
      <c r="Y1211">
        <v>2008334</v>
      </c>
      <c r="Z1211">
        <v>561090000</v>
      </c>
      <c r="AA1211">
        <v>15544505.16</v>
      </c>
      <c r="AB1211">
        <v>561100000</v>
      </c>
      <c r="AC1211">
        <v>3.5792799857422919E-3</v>
      </c>
      <c r="AD1211">
        <v>77740.31</v>
      </c>
      <c r="AE1211">
        <v>0.19489999999999999</v>
      </c>
      <c r="AF1211">
        <v>15890000000</v>
      </c>
      <c r="AG1211">
        <v>4002556000</v>
      </c>
      <c r="AH1211">
        <v>-1634613000</v>
      </c>
      <c r="AI1211">
        <v>499800000</v>
      </c>
      <c r="AJ1211">
        <v>2312000000</v>
      </c>
      <c r="AK1211">
        <v>1.6204386448654457E-9</v>
      </c>
      <c r="AL1211">
        <v>0.14550031466331026</v>
      </c>
    </row>
    <row r="1212" spans="2:38">
      <c r="B1212">
        <v>5.1764705882353095E-2</v>
      </c>
      <c r="C1212">
        <v>8.5500000000000007</v>
      </c>
      <c r="D1212">
        <v>8.5399999999999991</v>
      </c>
      <c r="E1212">
        <v>1.1702750146286207E-3</v>
      </c>
      <c r="F1212">
        <v>5119403</v>
      </c>
      <c r="G1212">
        <v>561090000</v>
      </c>
      <c r="H1212">
        <v>43617313.559999995</v>
      </c>
      <c r="I1212">
        <v>561100000</v>
      </c>
      <c r="J1212">
        <v>9.1238691855284257E-3</v>
      </c>
      <c r="K1212">
        <v>78848.009999999995</v>
      </c>
      <c r="L1212">
        <v>0.1741</v>
      </c>
      <c r="M1212">
        <v>15890000000</v>
      </c>
      <c r="N1212">
        <v>4002556000</v>
      </c>
      <c r="O1212">
        <v>-1634613000</v>
      </c>
      <c r="P1212">
        <v>499800000</v>
      </c>
      <c r="Q1212">
        <v>2312000000</v>
      </c>
      <c r="R1212">
        <v>5.7937447449580097E-10</v>
      </c>
      <c r="S1212">
        <v>0.14550031466331026</v>
      </c>
      <c r="U1212">
        <v>0.14276689829437786</v>
      </c>
      <c r="V1212">
        <v>7.96</v>
      </c>
      <c r="W1212">
        <v>7.95</v>
      </c>
      <c r="X1212">
        <f t="shared" si="20"/>
        <v>1.2570710245128581E-3</v>
      </c>
      <c r="Y1212">
        <v>19693668</v>
      </c>
      <c r="Z1212">
        <v>561090000</v>
      </c>
      <c r="AA1212">
        <v>156367723.92000002</v>
      </c>
      <c r="AB1212">
        <v>561100000</v>
      </c>
      <c r="AC1212">
        <v>3.5098321154874351E-2</v>
      </c>
      <c r="AD1212">
        <v>77886.990000000005</v>
      </c>
      <c r="AE1212">
        <v>0.19489999999999999</v>
      </c>
      <c r="AF1212">
        <v>15890000000</v>
      </c>
      <c r="AG1212">
        <v>4002556000</v>
      </c>
      <c r="AH1212">
        <v>-1634613000</v>
      </c>
      <c r="AI1212">
        <v>499800000</v>
      </c>
      <c r="AJ1212">
        <v>2312000000</v>
      </c>
      <c r="AK1212">
        <v>3.9328657258368398E-10</v>
      </c>
      <c r="AL1212">
        <v>0.14550031466331026</v>
      </c>
    </row>
    <row r="1213" spans="2:38">
      <c r="B1213">
        <v>1.6826923076923146E-2</v>
      </c>
      <c r="C1213">
        <v>8.34</v>
      </c>
      <c r="D1213">
        <v>8.33</v>
      </c>
      <c r="E1213">
        <v>1.1997600479903762E-3</v>
      </c>
      <c r="F1213">
        <v>1154469</v>
      </c>
      <c r="G1213">
        <v>561090000</v>
      </c>
      <c r="H1213">
        <v>9593637.3900000006</v>
      </c>
      <c r="I1213">
        <v>561100000</v>
      </c>
      <c r="J1213">
        <v>2.0575102477276776E-3</v>
      </c>
      <c r="K1213">
        <v>78356.320000000007</v>
      </c>
      <c r="L1213">
        <v>0.17469999999999999</v>
      </c>
      <c r="M1213">
        <v>15890000000</v>
      </c>
      <c r="N1213">
        <v>4002556000</v>
      </c>
      <c r="O1213">
        <v>-1634613000</v>
      </c>
      <c r="P1213">
        <v>499800000</v>
      </c>
      <c r="Q1213">
        <v>2312000000</v>
      </c>
      <c r="R1213">
        <v>1.2558524239870274E-10</v>
      </c>
      <c r="S1213">
        <v>0.14550031466331026</v>
      </c>
      <c r="U1213">
        <v>4.7430830039525619E-2</v>
      </c>
      <c r="V1213">
        <v>7.46</v>
      </c>
      <c r="W1213">
        <v>7.45</v>
      </c>
      <c r="X1213">
        <f t="shared" si="20"/>
        <v>1.3413816230717353E-3</v>
      </c>
      <c r="Y1213">
        <v>1429458</v>
      </c>
      <c r="Z1213">
        <v>561090000</v>
      </c>
      <c r="AA1213">
        <v>10692345.84</v>
      </c>
      <c r="AB1213">
        <v>561100000</v>
      </c>
      <c r="AC1213">
        <v>2.5475993584031368E-3</v>
      </c>
      <c r="AD1213">
        <v>78628.81</v>
      </c>
      <c r="AE1213">
        <v>0.19489999999999999</v>
      </c>
      <c r="AF1213">
        <v>15890000000</v>
      </c>
      <c r="AG1213">
        <v>4002556000</v>
      </c>
      <c r="AH1213">
        <v>-1634613000</v>
      </c>
      <c r="AI1213">
        <v>499800000</v>
      </c>
      <c r="AJ1213">
        <v>2312000000</v>
      </c>
      <c r="AK1213">
        <v>2.316782369542239E-9</v>
      </c>
      <c r="AL1213">
        <v>0.14550031466331026</v>
      </c>
    </row>
    <row r="1214" spans="2:38">
      <c r="B1214">
        <v>5.4309327036599665E-2</v>
      </c>
      <c r="C1214">
        <v>8.35</v>
      </c>
      <c r="D1214">
        <v>8.3000000000000007</v>
      </c>
      <c r="E1214">
        <v>6.0060060060058785E-3</v>
      </c>
      <c r="F1214">
        <v>4135913</v>
      </c>
      <c r="G1214">
        <v>561090000</v>
      </c>
      <c r="H1214">
        <v>34328077.900000006</v>
      </c>
      <c r="I1214">
        <v>561100000</v>
      </c>
      <c r="J1214">
        <v>7.3710800213865621E-3</v>
      </c>
      <c r="K1214">
        <v>78283.3</v>
      </c>
      <c r="L1214">
        <v>0.17469999999999999</v>
      </c>
      <c r="M1214">
        <v>15890000000</v>
      </c>
      <c r="N1214">
        <v>4002556000</v>
      </c>
      <c r="O1214">
        <v>-1634613000</v>
      </c>
      <c r="P1214">
        <v>499800000</v>
      </c>
      <c r="Q1214">
        <v>2312000000</v>
      </c>
      <c r="R1214">
        <v>1.0161862552238156E-9</v>
      </c>
      <c r="S1214">
        <v>0.14550031466331026</v>
      </c>
      <c r="U1214">
        <v>3.8510911424903815E-2</v>
      </c>
      <c r="V1214">
        <v>7.65</v>
      </c>
      <c r="W1214">
        <v>7.64</v>
      </c>
      <c r="X1214">
        <f t="shared" si="20"/>
        <v>1.3080444735121878E-3</v>
      </c>
      <c r="Y1214">
        <v>1172942</v>
      </c>
      <c r="Z1214">
        <v>561090000</v>
      </c>
      <c r="AA1214">
        <v>8996465.1400000006</v>
      </c>
      <c r="AB1214">
        <v>561100000</v>
      </c>
      <c r="AC1214">
        <v>2.0904330778827303E-3</v>
      </c>
      <c r="AD1214">
        <v>78827.740000000005</v>
      </c>
      <c r="AE1214">
        <v>0.19489999999999999</v>
      </c>
      <c r="AF1214">
        <v>15890000000</v>
      </c>
      <c r="AG1214">
        <v>4002556000</v>
      </c>
      <c r="AH1214">
        <v>-1634613000</v>
      </c>
      <c r="AI1214">
        <v>499800000</v>
      </c>
      <c r="AJ1214">
        <v>2312000000</v>
      </c>
      <c r="AK1214">
        <v>5.7667843582360479E-10</v>
      </c>
      <c r="AL1214">
        <v>0.14550031466331026</v>
      </c>
    </row>
    <row r="1215" spans="2:38">
      <c r="B1215">
        <v>5.7471264367816098E-2</v>
      </c>
      <c r="C1215">
        <v>8.64</v>
      </c>
      <c r="D1215">
        <v>8.6199999999999992</v>
      </c>
      <c r="E1215">
        <v>2.3174971031287776E-3</v>
      </c>
      <c r="F1215">
        <v>9658398</v>
      </c>
      <c r="G1215">
        <v>561090000</v>
      </c>
      <c r="H1215">
        <v>83062222.799999997</v>
      </c>
      <c r="I1215">
        <v>561100000</v>
      </c>
      <c r="J1215">
        <v>1.7213327392621637E-2</v>
      </c>
      <c r="K1215">
        <v>78488.22</v>
      </c>
      <c r="L1215">
        <v>0.17469999999999999</v>
      </c>
      <c r="M1215">
        <v>15890000000</v>
      </c>
      <c r="N1215">
        <v>4002556000</v>
      </c>
      <c r="O1215">
        <v>-1634613000</v>
      </c>
      <c r="P1215">
        <v>499800000</v>
      </c>
      <c r="Q1215">
        <v>2312000000</v>
      </c>
      <c r="R1215">
        <v>2.7199070092501941E-10</v>
      </c>
      <c r="S1215">
        <v>0.14550031466331026</v>
      </c>
      <c r="U1215">
        <v>5.0890585241730325E-2</v>
      </c>
      <c r="V1215">
        <v>7.77</v>
      </c>
      <c r="W1215">
        <v>7.76</v>
      </c>
      <c r="X1215">
        <f t="shared" si="20"/>
        <v>1.2878300064391227E-3</v>
      </c>
      <c r="Y1215">
        <v>4515701</v>
      </c>
      <c r="Z1215">
        <v>561090000</v>
      </c>
      <c r="AA1215">
        <v>34816054.710000001</v>
      </c>
      <c r="AB1215">
        <v>561100000</v>
      </c>
      <c r="AC1215">
        <v>8.0479433256104085E-3</v>
      </c>
      <c r="AD1215">
        <v>78029.509999999995</v>
      </c>
      <c r="AE1215">
        <v>0.19489999999999999</v>
      </c>
      <c r="AF1215">
        <v>15890000000</v>
      </c>
      <c r="AG1215">
        <v>4002556000</v>
      </c>
      <c r="AH1215">
        <v>-1634613000</v>
      </c>
      <c r="AI1215">
        <v>499800000</v>
      </c>
      <c r="AJ1215">
        <v>2312000000</v>
      </c>
      <c r="AK1215">
        <v>9.7180989483128785E-10</v>
      </c>
      <c r="AL1215">
        <v>0.14550031466331026</v>
      </c>
    </row>
    <row r="1216" spans="2:38">
      <c r="B1216">
        <v>8.5816448152562647E-2</v>
      </c>
      <c r="C1216">
        <v>8.4600000000000009</v>
      </c>
      <c r="D1216">
        <v>8.4499999999999993</v>
      </c>
      <c r="E1216">
        <v>1.1827321111770033E-3</v>
      </c>
      <c r="F1216">
        <v>7932911</v>
      </c>
      <c r="G1216">
        <v>561090000</v>
      </c>
      <c r="H1216">
        <v>66715781.509999998</v>
      </c>
      <c r="I1216">
        <v>561100000</v>
      </c>
      <c r="J1216">
        <v>1.4138141151309926E-2</v>
      </c>
      <c r="K1216">
        <v>78349.66</v>
      </c>
      <c r="L1216">
        <v>0.17469999999999999</v>
      </c>
      <c r="M1216">
        <v>15890000000</v>
      </c>
      <c r="N1216">
        <v>4002556000</v>
      </c>
      <c r="O1216">
        <v>-1634613000</v>
      </c>
      <c r="P1216">
        <v>499800000</v>
      </c>
      <c r="Q1216">
        <v>2312000000</v>
      </c>
      <c r="R1216">
        <v>5.7365145205613994E-10</v>
      </c>
      <c r="S1216">
        <v>0.14550031466331026</v>
      </c>
      <c r="U1216">
        <v>7.7858880778588671E-2</v>
      </c>
      <c r="V1216">
        <v>7.95</v>
      </c>
      <c r="W1216">
        <v>7.91</v>
      </c>
      <c r="X1216">
        <f t="shared" si="20"/>
        <v>5.0441361916771796E-3</v>
      </c>
      <c r="Y1216">
        <v>5763774</v>
      </c>
      <c r="Z1216">
        <v>561090000</v>
      </c>
      <c r="AA1216">
        <v>45994916.520000003</v>
      </c>
      <c r="AB1216">
        <v>561100000</v>
      </c>
      <c r="AC1216">
        <v>1.027227588665122E-2</v>
      </c>
      <c r="AD1216">
        <v>78469.33</v>
      </c>
      <c r="AE1216">
        <v>0.19489999999999999</v>
      </c>
      <c r="AF1216">
        <v>15890000000</v>
      </c>
      <c r="AG1216">
        <v>4002556000</v>
      </c>
      <c r="AH1216">
        <v>-1634613000</v>
      </c>
      <c r="AI1216">
        <v>499800000</v>
      </c>
      <c r="AJ1216">
        <v>2312000000</v>
      </c>
      <c r="AK1216">
        <v>1.0130463452106054E-9</v>
      </c>
      <c r="AL1216">
        <v>0.14550031466331026</v>
      </c>
    </row>
    <row r="1217" spans="2:38">
      <c r="B1217">
        <v>3.5430665852168718E-2</v>
      </c>
      <c r="C1217">
        <v>8.11</v>
      </c>
      <c r="D1217">
        <v>8.1</v>
      </c>
      <c r="E1217">
        <v>1.2338062924120649E-3</v>
      </c>
      <c r="F1217">
        <v>1183946</v>
      </c>
      <c r="G1217">
        <v>561090000</v>
      </c>
      <c r="H1217">
        <v>9589962.5999999996</v>
      </c>
      <c r="I1217">
        <v>561100000</v>
      </c>
      <c r="J1217">
        <v>2.1100445553377295E-3</v>
      </c>
      <c r="K1217">
        <v>77992.789999999994</v>
      </c>
      <c r="L1217">
        <v>0.17469999999999999</v>
      </c>
      <c r="M1217">
        <v>15890000000</v>
      </c>
      <c r="N1217">
        <v>4002556000</v>
      </c>
      <c r="O1217">
        <v>-1634613000</v>
      </c>
      <c r="P1217">
        <v>499800000</v>
      </c>
      <c r="Q1217">
        <v>2312000000</v>
      </c>
      <c r="R1217">
        <v>1.397116477022019E-9</v>
      </c>
      <c r="S1217">
        <v>0.14550031466331026</v>
      </c>
      <c r="U1217">
        <v>0.12614819350887929</v>
      </c>
      <c r="V1217">
        <v>8.35</v>
      </c>
      <c r="W1217">
        <v>8.34</v>
      </c>
      <c r="X1217">
        <f t="shared" si="20"/>
        <v>1.1983223487117781E-3</v>
      </c>
      <c r="Y1217">
        <v>10362350</v>
      </c>
      <c r="Z1217">
        <v>561090000</v>
      </c>
      <c r="AA1217">
        <v>86732869.499999985</v>
      </c>
      <c r="AB1217">
        <v>561100000</v>
      </c>
      <c r="AC1217">
        <v>1.846792015683479E-2</v>
      </c>
      <c r="AD1217">
        <v>79397.009999999995</v>
      </c>
      <c r="AE1217">
        <v>0.19489999999999999</v>
      </c>
      <c r="AF1217">
        <v>15890000000</v>
      </c>
      <c r="AG1217">
        <v>4002556000</v>
      </c>
      <c r="AH1217">
        <v>-1634613000</v>
      </c>
      <c r="AI1217">
        <v>499800000</v>
      </c>
      <c r="AJ1217">
        <v>2312000000</v>
      </c>
      <c r="AK1217">
        <v>5.0316446356719402E-10</v>
      </c>
      <c r="AL1217">
        <v>0.14550031466331026</v>
      </c>
    </row>
    <row r="1218" spans="2:38">
      <c r="B1218">
        <v>2.7761013880506991E-2</v>
      </c>
      <c r="C1218">
        <v>8.1999999999999993</v>
      </c>
      <c r="D1218">
        <v>8.19</v>
      </c>
      <c r="E1218">
        <v>1.2202562538132747E-3</v>
      </c>
      <c r="F1218">
        <v>1081338</v>
      </c>
      <c r="G1218">
        <v>561090000</v>
      </c>
      <c r="H1218">
        <v>8877784.9800000004</v>
      </c>
      <c r="I1218">
        <v>561100000</v>
      </c>
      <c r="J1218">
        <v>1.9271751915879523E-3</v>
      </c>
      <c r="K1218">
        <v>78084.240000000005</v>
      </c>
      <c r="L1218">
        <v>0.17469999999999999</v>
      </c>
      <c r="M1218">
        <v>15890000000</v>
      </c>
      <c r="N1218">
        <v>4002556000</v>
      </c>
      <c r="O1218">
        <v>-1634613000</v>
      </c>
      <c r="P1218">
        <v>499800000</v>
      </c>
      <c r="Q1218">
        <v>2312000000</v>
      </c>
      <c r="R1218">
        <v>1.6226752886418606E-9</v>
      </c>
      <c r="S1218">
        <v>0.14550031466331026</v>
      </c>
      <c r="U1218">
        <v>7.5917859365276841E-2</v>
      </c>
      <c r="V1218">
        <v>8.35</v>
      </c>
      <c r="W1218">
        <v>7.85</v>
      </c>
      <c r="X1218">
        <f t="shared" si="20"/>
        <v>6.1728395061728399E-2</v>
      </c>
      <c r="Y1218">
        <v>3733888</v>
      </c>
      <c r="Z1218">
        <v>561090000</v>
      </c>
      <c r="AA1218">
        <v>29945781.759999998</v>
      </c>
      <c r="AB1218">
        <v>561100000</v>
      </c>
      <c r="AC1218">
        <v>6.6545856353591162E-3</v>
      </c>
      <c r="AD1218">
        <v>78987.09</v>
      </c>
      <c r="AE1218">
        <v>0.19489999999999999</v>
      </c>
      <c r="AF1218">
        <v>15890000000</v>
      </c>
      <c r="AG1218">
        <v>4002556000</v>
      </c>
      <c r="AH1218">
        <v>-1634613000</v>
      </c>
      <c r="AI1218">
        <v>499800000</v>
      </c>
      <c r="AJ1218">
        <v>2312000000</v>
      </c>
      <c r="AK1218">
        <v>7.3303210743078259E-10</v>
      </c>
      <c r="AL1218">
        <v>0.14550031466331026</v>
      </c>
    </row>
    <row r="1219" spans="2:38">
      <c r="B1219">
        <v>3.898405197873598E-2</v>
      </c>
      <c r="C1219">
        <v>8.35</v>
      </c>
      <c r="D1219">
        <v>8.32</v>
      </c>
      <c r="E1219">
        <v>3.5992801439711287E-3</v>
      </c>
      <c r="F1219">
        <v>1861573</v>
      </c>
      <c r="G1219">
        <v>561090000</v>
      </c>
      <c r="H1219">
        <v>15506903.09</v>
      </c>
      <c r="I1219">
        <v>561100000</v>
      </c>
      <c r="J1219">
        <v>3.317720548921761E-3</v>
      </c>
      <c r="K1219">
        <v>78571.06</v>
      </c>
      <c r="L1219">
        <v>0.17469999999999999</v>
      </c>
      <c r="M1219">
        <v>15890000000</v>
      </c>
      <c r="N1219">
        <v>4002556000</v>
      </c>
      <c r="O1219">
        <v>-1634613000</v>
      </c>
      <c r="P1219">
        <v>499800000</v>
      </c>
      <c r="Q1219">
        <v>2312000000</v>
      </c>
      <c r="R1219">
        <v>6.8929534430417643E-10</v>
      </c>
      <c r="S1219">
        <v>0.14550031466331026</v>
      </c>
      <c r="U1219">
        <v>6.4516129032258174E-2</v>
      </c>
      <c r="V1219">
        <v>8.15</v>
      </c>
      <c r="W1219">
        <v>8.1</v>
      </c>
      <c r="X1219">
        <f t="shared" si="20"/>
        <v>6.1538461538462414E-3</v>
      </c>
      <c r="Y1219">
        <v>1269154</v>
      </c>
      <c r="Z1219">
        <v>561090000</v>
      </c>
      <c r="AA1219">
        <v>10407062.799999999</v>
      </c>
      <c r="AB1219">
        <v>561100000</v>
      </c>
      <c r="AC1219">
        <v>2.2619034040278025E-3</v>
      </c>
      <c r="AD1219">
        <v>78539.19</v>
      </c>
      <c r="AE1219">
        <v>0.19489999999999999</v>
      </c>
      <c r="AF1219">
        <v>15890000000</v>
      </c>
      <c r="AG1219">
        <v>4002556000</v>
      </c>
      <c r="AH1219">
        <v>-1634613000</v>
      </c>
      <c r="AI1219">
        <v>499800000</v>
      </c>
      <c r="AJ1219">
        <v>2312000000</v>
      </c>
      <c r="AK1219">
        <v>0</v>
      </c>
      <c r="AL1219">
        <v>0.14550031466331026</v>
      </c>
    </row>
    <row r="1220" spans="2:38">
      <c r="B1220">
        <v>3.2825322391559122E-2</v>
      </c>
      <c r="C1220">
        <v>8.44</v>
      </c>
      <c r="D1220">
        <v>8.42</v>
      </c>
      <c r="E1220">
        <v>2.3724792408065924E-3</v>
      </c>
      <c r="F1220">
        <v>3198641</v>
      </c>
      <c r="G1220">
        <v>561090000</v>
      </c>
      <c r="H1220">
        <v>26932557.219999999</v>
      </c>
      <c r="I1220">
        <v>561100000</v>
      </c>
      <c r="J1220">
        <v>5.7006612012119049E-3</v>
      </c>
      <c r="K1220">
        <v>78801.429999999993</v>
      </c>
      <c r="L1220">
        <v>0.17469999999999999</v>
      </c>
      <c r="M1220">
        <v>15890000000</v>
      </c>
      <c r="N1220">
        <v>4002556000</v>
      </c>
      <c r="O1220">
        <v>-1634613000</v>
      </c>
      <c r="P1220">
        <v>499800000</v>
      </c>
      <c r="Q1220">
        <v>2312000000</v>
      </c>
      <c r="R1220">
        <v>0</v>
      </c>
      <c r="S1220">
        <v>0.14550031466331026</v>
      </c>
      <c r="U1220">
        <v>1.1494252873563178E-2</v>
      </c>
      <c r="V1220">
        <v>17.46</v>
      </c>
      <c r="W1220">
        <v>17.45</v>
      </c>
      <c r="X1220">
        <f t="shared" si="20"/>
        <v>5.7290174735041908E-4</v>
      </c>
      <c r="Y1220">
        <v>380284</v>
      </c>
      <c r="Z1220">
        <v>2223000000</v>
      </c>
      <c r="AA1220">
        <v>6635955.7999999998</v>
      </c>
      <c r="AB1220">
        <v>2223000000</v>
      </c>
      <c r="AC1220">
        <v>1.7106792622582096E-4</v>
      </c>
      <c r="AD1220">
        <v>82074.45</v>
      </c>
      <c r="AE1220">
        <v>0.1741</v>
      </c>
      <c r="AF1220">
        <v>73305590000</v>
      </c>
      <c r="AG1220">
        <v>859150000</v>
      </c>
      <c r="AH1220">
        <v>1024319999.9999999</v>
      </c>
      <c r="AI1220">
        <v>1041260000</v>
      </c>
      <c r="AJ1220">
        <v>0</v>
      </c>
      <c r="AK1220">
        <v>7.812486932530526E-10</v>
      </c>
      <c r="AL1220">
        <v>0</v>
      </c>
    </row>
    <row r="1221" spans="2:38">
      <c r="B1221">
        <v>6.3754427390791138E-2</v>
      </c>
      <c r="C1221">
        <v>8.39</v>
      </c>
      <c r="D1221">
        <v>8.3800000000000008</v>
      </c>
      <c r="E1221">
        <v>1.1926058437686088E-3</v>
      </c>
      <c r="F1221">
        <v>9486143</v>
      </c>
      <c r="G1221">
        <v>561090000</v>
      </c>
      <c r="H1221">
        <v>79873324.060000002</v>
      </c>
      <c r="I1221">
        <v>561100000</v>
      </c>
      <c r="J1221">
        <v>1.6906332204598112E-2</v>
      </c>
      <c r="K1221">
        <v>78793.41</v>
      </c>
      <c r="L1221">
        <v>0.17469999999999999</v>
      </c>
      <c r="M1221">
        <v>15890000000</v>
      </c>
      <c r="N1221">
        <v>4002556000</v>
      </c>
      <c r="O1221">
        <v>-1634613000</v>
      </c>
      <c r="P1221">
        <v>499800000</v>
      </c>
      <c r="Q1221">
        <v>2312000000</v>
      </c>
      <c r="R1221">
        <v>1.8100951094060563E-10</v>
      </c>
      <c r="S1221">
        <v>0.14550031466331026</v>
      </c>
      <c r="U1221">
        <v>1.0947853644482726E-2</v>
      </c>
      <c r="V1221">
        <v>17.350000000000001</v>
      </c>
      <c r="W1221">
        <v>17.34</v>
      </c>
      <c r="X1221">
        <f t="shared" si="20"/>
        <v>5.7653502450282868E-4</v>
      </c>
      <c r="Y1221">
        <v>354413</v>
      </c>
      <c r="Z1221">
        <v>2223000000</v>
      </c>
      <c r="AA1221">
        <v>6152609.6799999997</v>
      </c>
      <c r="AB1221">
        <v>2223000000</v>
      </c>
      <c r="AC1221">
        <v>1.5943004948268106E-4</v>
      </c>
      <c r="AD1221">
        <v>81459.289999999994</v>
      </c>
      <c r="AE1221">
        <v>0.1741</v>
      </c>
      <c r="AF1221">
        <v>73305590000</v>
      </c>
      <c r="AG1221">
        <v>859150000</v>
      </c>
      <c r="AH1221">
        <v>1024319999.9999999</v>
      </c>
      <c r="AI1221">
        <v>1041260000</v>
      </c>
      <c r="AJ1221">
        <v>0</v>
      </c>
      <c r="AK1221">
        <v>3.7536410438616531E-10</v>
      </c>
      <c r="AL1221">
        <v>0</v>
      </c>
    </row>
    <row r="1222" spans="2:38">
      <c r="B1222">
        <v>4.6285018270402038E-2</v>
      </c>
      <c r="C1222">
        <v>8.1999999999999993</v>
      </c>
      <c r="D1222">
        <v>8.18</v>
      </c>
      <c r="E1222">
        <v>2.44200244200239E-3</v>
      </c>
      <c r="F1222">
        <v>2989618</v>
      </c>
      <c r="G1222">
        <v>561090000</v>
      </c>
      <c r="H1222">
        <v>24813829.400000002</v>
      </c>
      <c r="I1222">
        <v>561100000</v>
      </c>
      <c r="J1222">
        <v>5.3281375868829087E-3</v>
      </c>
      <c r="K1222">
        <v>78260.86</v>
      </c>
      <c r="L1222">
        <v>0.17469999999999999</v>
      </c>
      <c r="M1222">
        <v>15890000000</v>
      </c>
      <c r="N1222">
        <v>4002556000</v>
      </c>
      <c r="O1222">
        <v>-1634613000</v>
      </c>
      <c r="P1222">
        <v>499800000</v>
      </c>
      <c r="Q1222">
        <v>2312000000</v>
      </c>
      <c r="R1222">
        <v>1.6160444234603486E-9</v>
      </c>
      <c r="S1222">
        <v>0.14550031466331026</v>
      </c>
      <c r="U1222">
        <v>1.7291066282420789E-2</v>
      </c>
      <c r="V1222">
        <v>17.34</v>
      </c>
      <c r="W1222">
        <v>17.3</v>
      </c>
      <c r="X1222">
        <f t="shared" si="20"/>
        <v>2.3094688221708512E-3</v>
      </c>
      <c r="Y1222">
        <v>810522</v>
      </c>
      <c r="Z1222">
        <v>2223000000</v>
      </c>
      <c r="AA1222">
        <v>14038241.040000001</v>
      </c>
      <c r="AB1222">
        <v>2223000000</v>
      </c>
      <c r="AC1222">
        <v>3.6460728744939271E-4</v>
      </c>
      <c r="AD1222">
        <v>80461.34</v>
      </c>
      <c r="AE1222">
        <v>0.1741</v>
      </c>
      <c r="AF1222">
        <v>73305590000</v>
      </c>
      <c r="AG1222">
        <v>859150000</v>
      </c>
      <c r="AH1222">
        <v>1024319999.9999999</v>
      </c>
      <c r="AI1222">
        <v>1041260000</v>
      </c>
      <c r="AJ1222">
        <v>0</v>
      </c>
      <c r="AK1222">
        <v>4.9014217132677079E-10</v>
      </c>
      <c r="AL1222">
        <v>0</v>
      </c>
    </row>
    <row r="1223" spans="2:38">
      <c r="B1223">
        <v>3.6092097075295586E-2</v>
      </c>
      <c r="C1223">
        <v>8</v>
      </c>
      <c r="D1223">
        <v>7.98</v>
      </c>
      <c r="E1223">
        <v>2.5031289111388704E-3</v>
      </c>
      <c r="F1223">
        <v>2026568</v>
      </c>
      <c r="G1223">
        <v>561090000</v>
      </c>
      <c r="H1223">
        <v>16172012.640000001</v>
      </c>
      <c r="I1223">
        <v>561100000</v>
      </c>
      <c r="J1223">
        <v>3.6117768668686508E-3</v>
      </c>
      <c r="K1223">
        <v>77745.52</v>
      </c>
      <c r="L1223">
        <v>0.189</v>
      </c>
      <c r="M1223">
        <v>15890000000</v>
      </c>
      <c r="N1223">
        <v>4002556000</v>
      </c>
      <c r="O1223">
        <v>-1634613000</v>
      </c>
      <c r="P1223">
        <v>499800000</v>
      </c>
      <c r="Q1223">
        <v>2312000000</v>
      </c>
      <c r="R1223">
        <v>4.6145688438962416E-10</v>
      </c>
      <c r="S1223">
        <v>0.14550031466331026</v>
      </c>
      <c r="U1223">
        <v>1.7291066282420789E-2</v>
      </c>
      <c r="V1223">
        <v>17.46</v>
      </c>
      <c r="W1223">
        <v>17.440000000000001</v>
      </c>
      <c r="X1223">
        <f t="shared" si="20"/>
        <v>1.1461318051575685E-3</v>
      </c>
      <c r="Y1223">
        <v>350953</v>
      </c>
      <c r="Z1223">
        <v>2223000000</v>
      </c>
      <c r="AA1223">
        <v>6120620.3200000003</v>
      </c>
      <c r="AB1223">
        <v>2223000000</v>
      </c>
      <c r="AC1223">
        <v>1.5787359424201529E-4</v>
      </c>
      <c r="AD1223">
        <v>79491.14</v>
      </c>
      <c r="AE1223">
        <v>0.1741</v>
      </c>
      <c r="AF1223">
        <v>73305590000</v>
      </c>
      <c r="AG1223">
        <v>859150000</v>
      </c>
      <c r="AH1223">
        <v>1024319999.9999999</v>
      </c>
      <c r="AI1223">
        <v>1041260000</v>
      </c>
      <c r="AJ1223">
        <v>0</v>
      </c>
      <c r="AK1223">
        <v>8.4751538463771526E-10</v>
      </c>
      <c r="AL1223">
        <v>0</v>
      </c>
    </row>
    <row r="1224" spans="2:38">
      <c r="B1224">
        <v>2.5846153846153953E-2</v>
      </c>
      <c r="C1224">
        <v>8.09</v>
      </c>
      <c r="D1224">
        <v>8.0500000000000007</v>
      </c>
      <c r="E1224">
        <v>4.9566294919453713E-3</v>
      </c>
      <c r="F1224">
        <v>1065852</v>
      </c>
      <c r="G1224">
        <v>561090000</v>
      </c>
      <c r="H1224">
        <v>8569450.0799999982</v>
      </c>
      <c r="I1224">
        <v>561100000</v>
      </c>
      <c r="J1224">
        <v>1.8995758331848155E-3</v>
      </c>
      <c r="K1224">
        <v>77830.34</v>
      </c>
      <c r="L1224">
        <v>0.189</v>
      </c>
      <c r="M1224">
        <v>15890000000</v>
      </c>
      <c r="N1224">
        <v>4002556000</v>
      </c>
      <c r="O1224">
        <v>-1634613000</v>
      </c>
      <c r="P1224">
        <v>499800000</v>
      </c>
      <c r="Q1224">
        <v>2312000000</v>
      </c>
      <c r="R1224">
        <v>1.0072197490199176E-9</v>
      </c>
      <c r="S1224">
        <v>0.14550031466331026</v>
      </c>
      <c r="U1224">
        <v>1.9158200290275866E-2</v>
      </c>
      <c r="V1224">
        <v>17.38</v>
      </c>
      <c r="W1224">
        <v>17.350000000000001</v>
      </c>
      <c r="X1224">
        <f t="shared" si="20"/>
        <v>1.7276130146845713E-3</v>
      </c>
      <c r="Y1224">
        <v>505492</v>
      </c>
      <c r="Z1224">
        <v>2223000000</v>
      </c>
      <c r="AA1224">
        <v>8770286.2000000011</v>
      </c>
      <c r="AB1224">
        <v>2223000000</v>
      </c>
      <c r="AC1224">
        <v>2.2739181286549707E-4</v>
      </c>
      <c r="AD1224">
        <v>79333.06</v>
      </c>
      <c r="AE1224">
        <v>0.1741</v>
      </c>
      <c r="AF1224">
        <v>73305590000</v>
      </c>
      <c r="AG1224">
        <v>859150000</v>
      </c>
      <c r="AH1224">
        <v>1024319999.9999999</v>
      </c>
      <c r="AI1224">
        <v>1041260000</v>
      </c>
      <c r="AJ1224">
        <v>0</v>
      </c>
      <c r="AK1224">
        <v>1.9382295263132465E-9</v>
      </c>
      <c r="AL1224">
        <v>0</v>
      </c>
    </row>
    <row r="1225" spans="2:38">
      <c r="B1225">
        <v>5.234327449786972E-2</v>
      </c>
      <c r="C1225">
        <v>8.14</v>
      </c>
      <c r="D1225">
        <v>8.1</v>
      </c>
      <c r="E1225">
        <v>4.9261083743843493E-3</v>
      </c>
      <c r="F1225">
        <v>1777489</v>
      </c>
      <c r="G1225">
        <v>561090000</v>
      </c>
      <c r="H1225">
        <v>14415435.789999999</v>
      </c>
      <c r="I1225">
        <v>561100000</v>
      </c>
      <c r="J1225">
        <v>3.1678649082160044E-3</v>
      </c>
      <c r="K1225">
        <v>78045.31</v>
      </c>
      <c r="L1225">
        <v>0.189</v>
      </c>
      <c r="M1225">
        <v>15890000000</v>
      </c>
      <c r="N1225">
        <v>4002556000</v>
      </c>
      <c r="O1225">
        <v>-1634613000</v>
      </c>
      <c r="P1225">
        <v>499800000</v>
      </c>
      <c r="Q1225">
        <v>2312000000</v>
      </c>
      <c r="R1225">
        <v>1.706521145862749E-10</v>
      </c>
      <c r="S1225">
        <v>0.14550031466331026</v>
      </c>
      <c r="U1225">
        <v>1.4018691588784958E-2</v>
      </c>
      <c r="V1225">
        <v>17.100000000000001</v>
      </c>
      <c r="W1225">
        <v>17.07</v>
      </c>
      <c r="X1225">
        <f t="shared" si="20"/>
        <v>1.7559262510975203E-3</v>
      </c>
      <c r="Y1225">
        <v>368739</v>
      </c>
      <c r="Z1225">
        <v>2223000000</v>
      </c>
      <c r="AA1225">
        <v>6290687.3399999999</v>
      </c>
      <c r="AB1225">
        <v>2223000000</v>
      </c>
      <c r="AC1225">
        <v>1.6587449392712551E-4</v>
      </c>
      <c r="AD1225">
        <v>79017.62</v>
      </c>
      <c r="AE1225">
        <v>0.1741</v>
      </c>
      <c r="AF1225">
        <v>73305590000</v>
      </c>
      <c r="AG1225">
        <v>859150000</v>
      </c>
      <c r="AH1225">
        <v>1024319999.9999999</v>
      </c>
      <c r="AI1225">
        <v>1041260000</v>
      </c>
      <c r="AJ1225">
        <v>0</v>
      </c>
      <c r="AK1225">
        <v>4.6453869375099223E-10</v>
      </c>
      <c r="AL1225">
        <v>0</v>
      </c>
    </row>
    <row r="1226" spans="2:38">
      <c r="B1226">
        <v>4.4499381953028362E-2</v>
      </c>
      <c r="C1226">
        <v>8.14</v>
      </c>
      <c r="D1226">
        <v>8.06</v>
      </c>
      <c r="E1226">
        <v>9.8765432098765499E-3</v>
      </c>
      <c r="F1226">
        <v>2027234</v>
      </c>
      <c r="G1226">
        <v>561090000</v>
      </c>
      <c r="H1226">
        <v>16481412.420000002</v>
      </c>
      <c r="I1226">
        <v>561100000</v>
      </c>
      <c r="J1226">
        <v>3.6129638210657638E-3</v>
      </c>
      <c r="K1226">
        <v>78105.98</v>
      </c>
      <c r="L1226">
        <v>0.189</v>
      </c>
      <c r="M1226">
        <v>15890000000</v>
      </c>
      <c r="N1226">
        <v>4002556000</v>
      </c>
      <c r="O1226">
        <v>-1634613000</v>
      </c>
      <c r="P1226">
        <v>499800000</v>
      </c>
      <c r="Q1226">
        <v>2312000000</v>
      </c>
      <c r="R1226">
        <v>7.5559665683878191E-10</v>
      </c>
      <c r="S1226">
        <v>0.14550031466331026</v>
      </c>
      <c r="U1226">
        <v>4.6674445740955833E-3</v>
      </c>
      <c r="V1226">
        <v>17.12</v>
      </c>
      <c r="W1226">
        <v>17.11</v>
      </c>
      <c r="X1226">
        <f t="shared" si="20"/>
        <v>5.8428279287184119E-4</v>
      </c>
      <c r="Y1226">
        <v>237613</v>
      </c>
      <c r="Z1226">
        <v>2223000000</v>
      </c>
      <c r="AA1226">
        <v>4065558.4299999997</v>
      </c>
      <c r="AB1226">
        <v>2223000000</v>
      </c>
      <c r="AC1226">
        <v>1.0688843904633378E-4</v>
      </c>
      <c r="AD1226">
        <v>78651.8</v>
      </c>
      <c r="AE1226">
        <v>0.1741</v>
      </c>
      <c r="AF1226">
        <v>73305590000</v>
      </c>
      <c r="AG1226">
        <v>859150000</v>
      </c>
      <c r="AH1226">
        <v>1024319999.9999999</v>
      </c>
      <c r="AI1226">
        <v>1041260000</v>
      </c>
      <c r="AJ1226">
        <v>0</v>
      </c>
      <c r="AK1226">
        <v>1.4384132750917331E-10</v>
      </c>
      <c r="AL1226">
        <v>0</v>
      </c>
    </row>
    <row r="1227" spans="2:38">
      <c r="B1227">
        <v>2.9702970297029618E-2</v>
      </c>
      <c r="C1227">
        <v>7.99</v>
      </c>
      <c r="D1227">
        <v>7.97</v>
      </c>
      <c r="E1227">
        <v>2.5062656641604585E-3</v>
      </c>
      <c r="F1227">
        <v>1824910</v>
      </c>
      <c r="G1227">
        <v>561090000</v>
      </c>
      <c r="H1227">
        <v>14654027.299999999</v>
      </c>
      <c r="I1227">
        <v>561100000</v>
      </c>
      <c r="J1227">
        <v>3.252379255034753E-3</v>
      </c>
      <c r="K1227">
        <v>77877.42</v>
      </c>
      <c r="L1227">
        <v>0.189</v>
      </c>
      <c r="M1227">
        <v>15890000000</v>
      </c>
      <c r="N1227">
        <v>4002556000</v>
      </c>
      <c r="O1227">
        <v>-1634613000</v>
      </c>
      <c r="P1227">
        <v>499800000</v>
      </c>
      <c r="Q1227">
        <v>2312000000</v>
      </c>
      <c r="R1227">
        <v>8.4876400805349725E-11</v>
      </c>
      <c r="S1227">
        <v>0.14550031466331026</v>
      </c>
      <c r="U1227">
        <v>7.5956763073326897E-3</v>
      </c>
      <c r="V1227">
        <v>17.11</v>
      </c>
      <c r="W1227">
        <v>17.100000000000001</v>
      </c>
      <c r="X1227">
        <f t="shared" si="20"/>
        <v>5.8462437883648112E-4</v>
      </c>
      <c r="Y1227">
        <v>353320</v>
      </c>
      <c r="Z1227">
        <v>2223000000</v>
      </c>
      <c r="AA1227">
        <v>6041772.0000000009</v>
      </c>
      <c r="AB1227">
        <v>2223000000</v>
      </c>
      <c r="AC1227">
        <v>1.5893837156995052E-4</v>
      </c>
      <c r="AD1227">
        <v>79286.740000000005</v>
      </c>
      <c r="AE1227">
        <v>0.1741</v>
      </c>
      <c r="AF1227">
        <v>73305590000</v>
      </c>
      <c r="AG1227">
        <v>859150000</v>
      </c>
      <c r="AH1227">
        <v>1024319999.9999999</v>
      </c>
      <c r="AI1227">
        <v>1041260000</v>
      </c>
      <c r="AJ1227">
        <v>0</v>
      </c>
      <c r="AK1227">
        <v>3.8807586335789067E-10</v>
      </c>
      <c r="AL1227">
        <v>0</v>
      </c>
    </row>
    <row r="1228" spans="2:38">
      <c r="B1228">
        <v>5.1157125456760037E-2</v>
      </c>
      <c r="C1228">
        <v>8.08</v>
      </c>
      <c r="D1228">
        <v>8.0399999999999991</v>
      </c>
      <c r="E1228">
        <v>4.9627791563276588E-3</v>
      </c>
      <c r="F1228">
        <v>2933371</v>
      </c>
      <c r="G1228">
        <v>561090000</v>
      </c>
      <c r="H1228">
        <v>23584302.839999996</v>
      </c>
      <c r="I1228">
        <v>561100000</v>
      </c>
      <c r="J1228">
        <v>5.227893423632151E-3</v>
      </c>
      <c r="K1228">
        <v>77980.289999999994</v>
      </c>
      <c r="L1228">
        <v>0.189</v>
      </c>
      <c r="M1228">
        <v>15890000000</v>
      </c>
      <c r="N1228">
        <v>4002556000</v>
      </c>
      <c r="O1228">
        <v>-1634613000</v>
      </c>
      <c r="P1228">
        <v>499800000</v>
      </c>
      <c r="Q1228">
        <v>2312000000</v>
      </c>
      <c r="R1228">
        <v>6.2354534932444495E-10</v>
      </c>
      <c r="S1228">
        <v>0.14550031466331026</v>
      </c>
      <c r="U1228">
        <v>1.1146963919037915E-2</v>
      </c>
      <c r="V1228">
        <v>17.100000000000001</v>
      </c>
      <c r="W1228">
        <v>17.010000000000002</v>
      </c>
      <c r="X1228">
        <f t="shared" si="20"/>
        <v>5.2770448548812585E-3</v>
      </c>
      <c r="Y1228">
        <v>300936</v>
      </c>
      <c r="Z1228">
        <v>2223000000</v>
      </c>
      <c r="AA1228">
        <v>5133968.1599999992</v>
      </c>
      <c r="AB1228">
        <v>2223000000</v>
      </c>
      <c r="AC1228">
        <v>1.3537381916329285E-4</v>
      </c>
      <c r="AD1228">
        <v>78615</v>
      </c>
      <c r="AE1228">
        <v>0.1741</v>
      </c>
      <c r="AF1228">
        <v>73305590000</v>
      </c>
      <c r="AG1228">
        <v>859150000</v>
      </c>
      <c r="AH1228">
        <v>1024319999.9999999</v>
      </c>
      <c r="AI1228">
        <v>1041260000</v>
      </c>
      <c r="AJ1228">
        <v>0</v>
      </c>
      <c r="AK1228">
        <v>3.4192119375020107E-10</v>
      </c>
      <c r="AL1228">
        <v>0</v>
      </c>
    </row>
    <row r="1229" spans="2:38">
      <c r="B1229">
        <v>2.3156611822059876E-2</v>
      </c>
      <c r="C1229">
        <v>8.15</v>
      </c>
      <c r="D1229">
        <v>8.14</v>
      </c>
      <c r="E1229">
        <v>1.2277470841006491E-3</v>
      </c>
      <c r="F1229">
        <v>1625414</v>
      </c>
      <c r="G1229">
        <v>561090000</v>
      </c>
      <c r="H1229">
        <v>13263378.24</v>
      </c>
      <c r="I1229">
        <v>561100000</v>
      </c>
      <c r="J1229">
        <v>2.8968347888076993E-3</v>
      </c>
      <c r="K1229">
        <v>78569.59</v>
      </c>
      <c r="L1229">
        <v>0.189</v>
      </c>
      <c r="M1229">
        <v>15890000000</v>
      </c>
      <c r="N1229">
        <v>4002556000</v>
      </c>
      <c r="O1229">
        <v>-1634613000</v>
      </c>
      <c r="P1229">
        <v>499800000</v>
      </c>
      <c r="Q1229">
        <v>2312000000</v>
      </c>
      <c r="R1229">
        <v>2.7617425943238312E-10</v>
      </c>
      <c r="S1229">
        <v>0.14550031466331026</v>
      </c>
      <c r="U1229">
        <v>1.4010507880910589E-2</v>
      </c>
      <c r="V1229">
        <v>17.09</v>
      </c>
      <c r="W1229">
        <v>17.079999999999998</v>
      </c>
      <c r="X1229">
        <f t="shared" si="20"/>
        <v>5.8530875036590948E-4</v>
      </c>
      <c r="Y1229">
        <v>259983</v>
      </c>
      <c r="Z1229">
        <v>2223000000</v>
      </c>
      <c r="AA1229">
        <v>4443109.47</v>
      </c>
      <c r="AB1229">
        <v>2223000000</v>
      </c>
      <c r="AC1229">
        <v>1.1695141700404859E-4</v>
      </c>
      <c r="AD1229">
        <v>78897.73</v>
      </c>
      <c r="AE1229">
        <v>0.1741</v>
      </c>
      <c r="AF1229">
        <v>73305590000</v>
      </c>
      <c r="AG1229">
        <v>859150000</v>
      </c>
      <c r="AH1229">
        <v>1024319999.9999999</v>
      </c>
      <c r="AI1229">
        <v>1041260000</v>
      </c>
      <c r="AJ1229">
        <v>0</v>
      </c>
      <c r="AK1229">
        <v>1.0585190047606063E-9</v>
      </c>
      <c r="AL1229">
        <v>0</v>
      </c>
    </row>
    <row r="1230" spans="2:38">
      <c r="B1230">
        <v>4.0865384615384595E-2</v>
      </c>
      <c r="C1230">
        <v>8.19</v>
      </c>
      <c r="D1230">
        <v>8.18</v>
      </c>
      <c r="E1230">
        <v>1.2217470983506157E-3</v>
      </c>
      <c r="F1230">
        <v>1690873</v>
      </c>
      <c r="G1230">
        <v>561090000</v>
      </c>
      <c r="H1230">
        <v>13848249.869999999</v>
      </c>
      <c r="I1230">
        <v>561100000</v>
      </c>
      <c r="J1230">
        <v>3.0134967029050081E-3</v>
      </c>
      <c r="K1230">
        <v>77874.22</v>
      </c>
      <c r="L1230">
        <v>0.189</v>
      </c>
      <c r="M1230">
        <v>15890000000</v>
      </c>
      <c r="N1230">
        <v>4002556000</v>
      </c>
      <c r="O1230">
        <v>-1634613000</v>
      </c>
      <c r="P1230">
        <v>499800000</v>
      </c>
      <c r="Q1230">
        <v>2312000000</v>
      </c>
      <c r="R1230">
        <v>1.8889992866687426E-9</v>
      </c>
      <c r="S1230">
        <v>0.14550031466331026</v>
      </c>
      <c r="U1230">
        <v>1.2895662368112683E-2</v>
      </c>
      <c r="V1230">
        <v>16.98</v>
      </c>
      <c r="W1230">
        <v>16.97</v>
      </c>
      <c r="X1230">
        <f t="shared" si="20"/>
        <v>5.891016200295471E-4</v>
      </c>
      <c r="Y1230">
        <v>438302</v>
      </c>
      <c r="Z1230">
        <v>2223000000</v>
      </c>
      <c r="AA1230">
        <v>7455517.0200000005</v>
      </c>
      <c r="AB1230">
        <v>2223000000</v>
      </c>
      <c r="AC1230">
        <v>1.9716689158794421E-4</v>
      </c>
      <c r="AD1230">
        <v>78863.34</v>
      </c>
      <c r="AE1230">
        <v>0.1741</v>
      </c>
      <c r="AF1230">
        <v>73305590000</v>
      </c>
      <c r="AG1230">
        <v>859150000</v>
      </c>
      <c r="AH1230">
        <v>1024319999.9999999</v>
      </c>
      <c r="AI1230">
        <v>1041260000</v>
      </c>
      <c r="AJ1230">
        <v>0</v>
      </c>
      <c r="AK1230">
        <v>7.8392086608619934E-10</v>
      </c>
      <c r="AL1230">
        <v>0</v>
      </c>
    </row>
    <row r="1231" spans="2:38">
      <c r="B1231">
        <v>3.8892162639952869E-2</v>
      </c>
      <c r="C1231">
        <v>8.35</v>
      </c>
      <c r="D1231">
        <v>8.32</v>
      </c>
      <c r="E1231">
        <v>3.5992801439711287E-3</v>
      </c>
      <c r="F1231">
        <v>2571623</v>
      </c>
      <c r="G1231">
        <v>561090000</v>
      </c>
      <c r="H1231">
        <v>21627349.43</v>
      </c>
      <c r="I1231">
        <v>561100000</v>
      </c>
      <c r="J1231">
        <v>4.5831812511138836E-3</v>
      </c>
      <c r="K1231">
        <v>77114.490000000005</v>
      </c>
      <c r="L1231">
        <v>0.189</v>
      </c>
      <c r="M1231">
        <v>15890000000</v>
      </c>
      <c r="N1231">
        <v>4002556000</v>
      </c>
      <c r="O1231">
        <v>-1634613000</v>
      </c>
      <c r="P1231">
        <v>499800000</v>
      </c>
      <c r="Q1231">
        <v>2312000000</v>
      </c>
      <c r="R1231">
        <v>3.2754014950243053E-10</v>
      </c>
      <c r="S1231">
        <v>0.14550031466331026</v>
      </c>
      <c r="U1231">
        <v>8.1967213114752368E-3</v>
      </c>
      <c r="V1231">
        <v>17.12</v>
      </c>
      <c r="W1231">
        <v>17.100000000000001</v>
      </c>
      <c r="X1231">
        <f t="shared" si="20"/>
        <v>1.1689070718877601E-3</v>
      </c>
      <c r="Y1231">
        <v>236265</v>
      </c>
      <c r="Z1231">
        <v>2223000000</v>
      </c>
      <c r="AA1231">
        <v>4042494.15</v>
      </c>
      <c r="AB1231">
        <v>2223000000</v>
      </c>
      <c r="AC1231">
        <v>1.0628205128205129E-4</v>
      </c>
      <c r="AD1231">
        <v>78848.009999999995</v>
      </c>
      <c r="AE1231">
        <v>0.1741</v>
      </c>
      <c r="AF1231">
        <v>73305590000</v>
      </c>
      <c r="AG1231">
        <v>859150000</v>
      </c>
      <c r="AH1231">
        <v>1024319999.9999999</v>
      </c>
      <c r="AI1231">
        <v>1041260000</v>
      </c>
      <c r="AJ1231">
        <v>0</v>
      </c>
      <c r="AK1231">
        <v>4.3449420477961901E-10</v>
      </c>
      <c r="AL1231">
        <v>0</v>
      </c>
    </row>
    <row r="1232" spans="2:38">
      <c r="B1232">
        <v>8.0552359033371615E-2</v>
      </c>
      <c r="C1232">
        <v>8.5299999999999994</v>
      </c>
      <c r="D1232">
        <v>8.52</v>
      </c>
      <c r="E1232">
        <v>1.1730205278592128E-3</v>
      </c>
      <c r="F1232">
        <v>7910505</v>
      </c>
      <c r="G1232">
        <v>561090000</v>
      </c>
      <c r="H1232">
        <v>67001977.350000001</v>
      </c>
      <c r="I1232">
        <v>561100000</v>
      </c>
      <c r="J1232">
        <v>1.4098208875423276E-2</v>
      </c>
      <c r="K1232">
        <v>77191.34</v>
      </c>
      <c r="L1232">
        <v>0.19489999999999999</v>
      </c>
      <c r="M1232">
        <v>15890000000</v>
      </c>
      <c r="N1232">
        <v>4002556000</v>
      </c>
      <c r="O1232">
        <v>-1634613000</v>
      </c>
      <c r="P1232">
        <v>499800000</v>
      </c>
      <c r="Q1232">
        <v>2312000000</v>
      </c>
      <c r="R1232">
        <v>6.408445661692777E-10</v>
      </c>
      <c r="S1232">
        <v>0.14550031466331026</v>
      </c>
      <c r="U1232">
        <v>1.1114360924246931E-2</v>
      </c>
      <c r="V1232">
        <v>17.079999999999998</v>
      </c>
      <c r="W1232">
        <v>17</v>
      </c>
      <c r="X1232">
        <f t="shared" si="20"/>
        <v>4.6948356807510741E-3</v>
      </c>
      <c r="Y1232">
        <v>431046</v>
      </c>
      <c r="Z1232">
        <v>2223000000</v>
      </c>
      <c r="AA1232">
        <v>7362265.6799999997</v>
      </c>
      <c r="AB1232">
        <v>2223000000</v>
      </c>
      <c r="AC1232">
        <v>1.9390283400809718E-4</v>
      </c>
      <c r="AD1232">
        <v>78356.320000000007</v>
      </c>
      <c r="AE1232">
        <v>0.17469999999999999</v>
      </c>
      <c r="AF1232">
        <v>73305590000</v>
      </c>
      <c r="AG1232">
        <v>859150000</v>
      </c>
      <c r="AH1232">
        <v>1024319999.9999999</v>
      </c>
      <c r="AI1232">
        <v>1041260000</v>
      </c>
      <c r="AJ1232">
        <v>0</v>
      </c>
      <c r="AK1232">
        <v>2.3815503053561958E-10</v>
      </c>
      <c r="AL1232">
        <v>0</v>
      </c>
    </row>
    <row r="1233" spans="2:38">
      <c r="B1233">
        <v>9.3587521663778206E-2</v>
      </c>
      <c r="C1233">
        <v>8.85</v>
      </c>
      <c r="D1233">
        <v>8.84</v>
      </c>
      <c r="E1233">
        <v>1.1305822498586533E-3</v>
      </c>
      <c r="F1233">
        <v>16769167</v>
      </c>
      <c r="G1233">
        <v>561090000</v>
      </c>
      <c r="H1233">
        <v>148407127.94999999</v>
      </c>
      <c r="I1233">
        <v>561100000</v>
      </c>
      <c r="J1233">
        <v>2.9886235965068616E-2</v>
      </c>
      <c r="K1233">
        <v>77084.490000000005</v>
      </c>
      <c r="L1233">
        <v>0.19489999999999999</v>
      </c>
      <c r="M1233">
        <v>15890000000</v>
      </c>
      <c r="N1233">
        <v>4002556000</v>
      </c>
      <c r="O1233">
        <v>-1634613000</v>
      </c>
      <c r="P1233">
        <v>499800000</v>
      </c>
      <c r="Q1233">
        <v>2312000000</v>
      </c>
      <c r="R1233">
        <v>3.3571206952893195E-10</v>
      </c>
      <c r="S1233">
        <v>0.14550031466331026</v>
      </c>
      <c r="U1233">
        <v>1.1695906432748496E-2</v>
      </c>
      <c r="V1233">
        <v>17.18</v>
      </c>
      <c r="W1233">
        <v>17.149999999999999</v>
      </c>
      <c r="X1233">
        <f t="shared" si="20"/>
        <v>1.7477424992718403E-3</v>
      </c>
      <c r="Y1233">
        <v>207115</v>
      </c>
      <c r="Z1233">
        <v>2223000000</v>
      </c>
      <c r="AA1233">
        <v>3543737.65</v>
      </c>
      <c r="AB1233">
        <v>2223000000</v>
      </c>
      <c r="AC1233">
        <v>9.3169140800719745E-5</v>
      </c>
      <c r="AD1233">
        <v>78283.3</v>
      </c>
      <c r="AE1233">
        <v>0.17469999999999999</v>
      </c>
      <c r="AF1233">
        <v>73305590000</v>
      </c>
      <c r="AG1233">
        <v>859150000</v>
      </c>
      <c r="AH1233">
        <v>1024319999.9999999</v>
      </c>
      <c r="AI1233">
        <v>1041260000</v>
      </c>
      <c r="AJ1233">
        <v>0</v>
      </c>
      <c r="AK1233">
        <v>1.3132655370846048E-9</v>
      </c>
      <c r="AL1233">
        <v>0</v>
      </c>
    </row>
    <row r="1234" spans="2:38">
      <c r="B1234">
        <v>0.1252279635258359</v>
      </c>
      <c r="C1234">
        <v>8.5399999999999991</v>
      </c>
      <c r="D1234">
        <v>8.5299999999999994</v>
      </c>
      <c r="E1234">
        <v>1.1716461628587917E-3</v>
      </c>
      <c r="F1234">
        <v>16831144</v>
      </c>
      <c r="G1234">
        <v>561090000</v>
      </c>
      <c r="H1234">
        <v>141886543.91999999</v>
      </c>
      <c r="I1234">
        <v>561100000</v>
      </c>
      <c r="J1234">
        <v>2.9996692211726964E-2</v>
      </c>
      <c r="K1234">
        <v>78225.98</v>
      </c>
      <c r="L1234">
        <v>0.19489999999999999</v>
      </c>
      <c r="M1234">
        <v>15890000000</v>
      </c>
      <c r="N1234">
        <v>4002556000</v>
      </c>
      <c r="O1234">
        <v>-1634613000</v>
      </c>
      <c r="P1234">
        <v>499800000</v>
      </c>
      <c r="Q1234">
        <v>2312000000</v>
      </c>
      <c r="R1234">
        <v>6.2829979756198268E-10</v>
      </c>
      <c r="S1234">
        <v>0.14550031466331026</v>
      </c>
      <c r="U1234">
        <v>3.1204003532528769E-2</v>
      </c>
      <c r="V1234">
        <v>17.2</v>
      </c>
      <c r="W1234">
        <v>17.14</v>
      </c>
      <c r="X1234">
        <f t="shared" si="20"/>
        <v>3.4944670937681254E-3</v>
      </c>
      <c r="Y1234">
        <v>694975</v>
      </c>
      <c r="Z1234">
        <v>2223000000</v>
      </c>
      <c r="AA1234">
        <v>11946620.25</v>
      </c>
      <c r="AB1234">
        <v>2223000000</v>
      </c>
      <c r="AC1234">
        <v>3.1262932973459291E-4</v>
      </c>
      <c r="AD1234">
        <v>78488.22</v>
      </c>
      <c r="AE1234">
        <v>0.17469999999999999</v>
      </c>
      <c r="AF1234">
        <v>73305590000</v>
      </c>
      <c r="AG1234">
        <v>859150000</v>
      </c>
      <c r="AH1234">
        <v>1024319999.9999999</v>
      </c>
      <c r="AI1234">
        <v>1041260000</v>
      </c>
      <c r="AJ1234">
        <v>0</v>
      </c>
      <c r="AK1234">
        <v>2.0963856048861541E-9</v>
      </c>
      <c r="AL1234">
        <v>0</v>
      </c>
    </row>
    <row r="1235" spans="2:38">
      <c r="B1235">
        <v>3.6919159770846595E-2</v>
      </c>
      <c r="C1235">
        <v>7.75</v>
      </c>
      <c r="D1235">
        <v>7.73</v>
      </c>
      <c r="E1235">
        <v>2.5839793281653197E-3</v>
      </c>
      <c r="F1235">
        <v>2008334</v>
      </c>
      <c r="G1235">
        <v>561090000</v>
      </c>
      <c r="H1235">
        <v>15544505.16</v>
      </c>
      <c r="I1235">
        <v>561100000</v>
      </c>
      <c r="J1235">
        <v>3.5792799857422919E-3</v>
      </c>
      <c r="K1235">
        <v>77740.31</v>
      </c>
      <c r="L1235">
        <v>0.19489999999999999</v>
      </c>
      <c r="M1235">
        <v>15890000000</v>
      </c>
      <c r="N1235">
        <v>4002556000</v>
      </c>
      <c r="O1235">
        <v>-1634613000</v>
      </c>
      <c r="P1235">
        <v>499800000</v>
      </c>
      <c r="Q1235">
        <v>2312000000</v>
      </c>
      <c r="R1235">
        <v>1.6204386448654457E-9</v>
      </c>
      <c r="S1235">
        <v>0.14550031466331026</v>
      </c>
      <c r="U1235">
        <v>1.3181545835829984E-2</v>
      </c>
      <c r="V1235">
        <v>16.8</v>
      </c>
      <c r="W1235">
        <v>16.71</v>
      </c>
      <c r="X1235">
        <f t="shared" si="20"/>
        <v>5.3715308863025871E-3</v>
      </c>
      <c r="Y1235">
        <v>307350</v>
      </c>
      <c r="Z1235">
        <v>2223000000</v>
      </c>
      <c r="AA1235">
        <v>5154259.5</v>
      </c>
      <c r="AB1235">
        <v>2223000000</v>
      </c>
      <c r="AC1235">
        <v>1.382591093117409E-4</v>
      </c>
      <c r="AD1235">
        <v>78349.66</v>
      </c>
      <c r="AE1235">
        <v>0.17469999999999999</v>
      </c>
      <c r="AF1235">
        <v>73305590000</v>
      </c>
      <c r="AG1235">
        <v>859150000</v>
      </c>
      <c r="AH1235">
        <v>1024319999.9999999</v>
      </c>
      <c r="AI1235">
        <v>1041260000</v>
      </c>
      <c r="AJ1235">
        <v>0</v>
      </c>
      <c r="AK1235">
        <v>1.5157366446140208E-9</v>
      </c>
      <c r="AL1235">
        <v>0</v>
      </c>
    </row>
    <row r="1236" spans="2:38">
      <c r="B1236">
        <v>0.14276689829437786</v>
      </c>
      <c r="C1236">
        <v>7.96</v>
      </c>
      <c r="D1236">
        <v>7.95</v>
      </c>
      <c r="E1236">
        <v>1.2570710245128581E-3</v>
      </c>
      <c r="F1236">
        <v>19693668</v>
      </c>
      <c r="G1236">
        <v>561090000</v>
      </c>
      <c r="H1236">
        <v>156367723.92000002</v>
      </c>
      <c r="I1236">
        <v>561100000</v>
      </c>
      <c r="J1236">
        <v>3.5098321154874351E-2</v>
      </c>
      <c r="K1236">
        <v>77886.990000000005</v>
      </c>
      <c r="L1236">
        <v>0.19489999999999999</v>
      </c>
      <c r="M1236">
        <v>15890000000</v>
      </c>
      <c r="N1236">
        <v>4002556000</v>
      </c>
      <c r="O1236">
        <v>-1634613000</v>
      </c>
      <c r="P1236">
        <v>499800000</v>
      </c>
      <c r="Q1236">
        <v>2312000000</v>
      </c>
      <c r="R1236">
        <v>3.9328657258368398E-10</v>
      </c>
      <c r="S1236">
        <v>0.14550031466331026</v>
      </c>
      <c r="U1236">
        <v>1.2654413980114545E-2</v>
      </c>
      <c r="V1236">
        <v>16.649999999999999</v>
      </c>
      <c r="W1236">
        <v>16.64</v>
      </c>
      <c r="X1236">
        <f t="shared" si="20"/>
        <v>6.0078101531979642E-4</v>
      </c>
      <c r="Y1236">
        <v>192129</v>
      </c>
      <c r="Z1236">
        <v>2223000000</v>
      </c>
      <c r="AA1236">
        <v>3197026.56</v>
      </c>
      <c r="AB1236">
        <v>2223000000</v>
      </c>
      <c r="AC1236">
        <v>8.6427800269905537E-5</v>
      </c>
      <c r="AD1236">
        <v>77992.789999999994</v>
      </c>
      <c r="AE1236">
        <v>0.17469999999999999</v>
      </c>
      <c r="AF1236">
        <v>73305590000</v>
      </c>
      <c r="AG1236">
        <v>859150000</v>
      </c>
      <c r="AH1236">
        <v>1024319999.9999999</v>
      </c>
      <c r="AI1236">
        <v>1041260000</v>
      </c>
      <c r="AJ1236">
        <v>0</v>
      </c>
      <c r="AK1236">
        <v>1.8808818103875258E-10</v>
      </c>
      <c r="AL1236">
        <v>0</v>
      </c>
    </row>
    <row r="1237" spans="2:38">
      <c r="B1237">
        <v>4.7430830039525619E-2</v>
      </c>
      <c r="C1237">
        <v>7.46</v>
      </c>
      <c r="D1237">
        <v>7.45</v>
      </c>
      <c r="E1237">
        <v>1.3413816230717353E-3</v>
      </c>
      <c r="F1237">
        <v>1429458</v>
      </c>
      <c r="G1237">
        <v>561090000</v>
      </c>
      <c r="H1237">
        <v>10692345.84</v>
      </c>
      <c r="I1237">
        <v>561100000</v>
      </c>
      <c r="J1237">
        <v>2.5475993584031368E-3</v>
      </c>
      <c r="K1237">
        <v>78628.81</v>
      </c>
      <c r="L1237">
        <v>0.19489999999999999</v>
      </c>
      <c r="M1237">
        <v>15890000000</v>
      </c>
      <c r="N1237">
        <v>4002556000</v>
      </c>
      <c r="O1237">
        <v>-1634613000</v>
      </c>
      <c r="P1237">
        <v>499800000</v>
      </c>
      <c r="Q1237">
        <v>2312000000</v>
      </c>
      <c r="R1237">
        <v>2.316782369542239E-9</v>
      </c>
      <c r="S1237">
        <v>0.14550031466331026</v>
      </c>
      <c r="U1237">
        <v>9.0497737556560227E-3</v>
      </c>
      <c r="V1237">
        <v>16.600000000000001</v>
      </c>
      <c r="W1237">
        <v>16.55</v>
      </c>
      <c r="X1237">
        <f t="shared" si="20"/>
        <v>3.0165912518854117E-3</v>
      </c>
      <c r="Y1237">
        <v>117767</v>
      </c>
      <c r="Z1237">
        <v>2223000000</v>
      </c>
      <c r="AA1237">
        <v>1958465.21</v>
      </c>
      <c r="AB1237">
        <v>2223000000</v>
      </c>
      <c r="AC1237">
        <v>5.29766081871345E-5</v>
      </c>
      <c r="AD1237">
        <v>78084.240000000005</v>
      </c>
      <c r="AE1237">
        <v>0.17469999999999999</v>
      </c>
      <c r="AF1237">
        <v>73305590000</v>
      </c>
      <c r="AG1237">
        <v>859150000</v>
      </c>
      <c r="AH1237">
        <v>1024319999.9999999</v>
      </c>
      <c r="AI1237">
        <v>1041260000</v>
      </c>
      <c r="AJ1237">
        <v>0</v>
      </c>
      <c r="AK1237">
        <v>2.4681760152410055E-9</v>
      </c>
      <c r="AL1237">
        <v>0</v>
      </c>
    </row>
    <row r="1238" spans="2:38">
      <c r="B1238">
        <v>3.8510911424903815E-2</v>
      </c>
      <c r="C1238">
        <v>7.65</v>
      </c>
      <c r="D1238">
        <v>7.64</v>
      </c>
      <c r="E1238">
        <v>1.3080444735121878E-3</v>
      </c>
      <c r="F1238">
        <v>1172942</v>
      </c>
      <c r="G1238">
        <v>561090000</v>
      </c>
      <c r="H1238">
        <v>8996465.1400000006</v>
      </c>
      <c r="I1238">
        <v>561100000</v>
      </c>
      <c r="J1238">
        <v>2.0904330778827303E-3</v>
      </c>
      <c r="K1238">
        <v>78827.740000000005</v>
      </c>
      <c r="L1238">
        <v>0.19489999999999999</v>
      </c>
      <c r="M1238">
        <v>15890000000</v>
      </c>
      <c r="N1238">
        <v>4002556000</v>
      </c>
      <c r="O1238">
        <v>-1634613000</v>
      </c>
      <c r="P1238">
        <v>499800000</v>
      </c>
      <c r="Q1238">
        <v>2312000000</v>
      </c>
      <c r="R1238">
        <v>5.7667843582360479E-10</v>
      </c>
      <c r="S1238">
        <v>0.14550031466331026</v>
      </c>
      <c r="U1238">
        <v>1.3851249623607375E-2</v>
      </c>
      <c r="V1238">
        <v>16.63</v>
      </c>
      <c r="W1238">
        <v>16.600000000000001</v>
      </c>
      <c r="X1238">
        <f t="shared" ref="X1238:X1260" si="21">(V1238-W1238)/AVERAGE(V1238:W1238)</f>
        <v>1.8055973517904051E-3</v>
      </c>
      <c r="Y1238">
        <v>236582</v>
      </c>
      <c r="Z1238">
        <v>2223000000</v>
      </c>
      <c r="AA1238">
        <v>3915432.1</v>
      </c>
      <c r="AB1238">
        <v>2223000000</v>
      </c>
      <c r="AC1238">
        <v>1.0642465137201979E-4</v>
      </c>
      <c r="AD1238">
        <v>78571.06</v>
      </c>
      <c r="AE1238">
        <v>0.17469999999999999</v>
      </c>
      <c r="AF1238">
        <v>73305590000</v>
      </c>
      <c r="AG1238">
        <v>859150000</v>
      </c>
      <c r="AH1238">
        <v>1024319999.9999999</v>
      </c>
      <c r="AI1238">
        <v>1041260000</v>
      </c>
      <c r="AJ1238">
        <v>0</v>
      </c>
      <c r="AK1238">
        <v>1.2286213016496925E-9</v>
      </c>
      <c r="AL1238">
        <v>0</v>
      </c>
    </row>
    <row r="1239" spans="2:38">
      <c r="B1239">
        <v>5.0890585241730325E-2</v>
      </c>
      <c r="C1239">
        <v>7.77</v>
      </c>
      <c r="D1239">
        <v>7.76</v>
      </c>
      <c r="E1239">
        <v>1.2878300064391227E-3</v>
      </c>
      <c r="F1239">
        <v>4515701</v>
      </c>
      <c r="G1239">
        <v>561090000</v>
      </c>
      <c r="H1239">
        <v>34816054.710000001</v>
      </c>
      <c r="I1239">
        <v>561100000</v>
      </c>
      <c r="J1239">
        <v>8.0479433256104085E-3</v>
      </c>
      <c r="K1239">
        <v>78029.509999999995</v>
      </c>
      <c r="L1239">
        <v>0.19489999999999999</v>
      </c>
      <c r="M1239">
        <v>15890000000</v>
      </c>
      <c r="N1239">
        <v>4002556000</v>
      </c>
      <c r="O1239">
        <v>-1634613000</v>
      </c>
      <c r="P1239">
        <v>499800000</v>
      </c>
      <c r="Q1239">
        <v>2312000000</v>
      </c>
      <c r="R1239">
        <v>9.7180989483128785E-10</v>
      </c>
      <c r="S1239">
        <v>0.14550031466331026</v>
      </c>
      <c r="U1239">
        <v>8.4490042245021456E-3</v>
      </c>
      <c r="V1239">
        <v>16.63</v>
      </c>
      <c r="W1239">
        <v>16.62</v>
      </c>
      <c r="X1239">
        <f t="shared" si="21"/>
        <v>6.0150375939837662E-4</v>
      </c>
      <c r="Y1239">
        <v>118710</v>
      </c>
      <c r="Z1239">
        <v>2223000000</v>
      </c>
      <c r="AA1239">
        <v>1974147.2999999998</v>
      </c>
      <c r="AB1239">
        <v>2223000000</v>
      </c>
      <c r="AC1239">
        <v>5.3400809716599187E-5</v>
      </c>
      <c r="AD1239">
        <v>78801.429999999993</v>
      </c>
      <c r="AE1239">
        <v>0.17469999999999999</v>
      </c>
      <c r="AF1239">
        <v>73305590000</v>
      </c>
      <c r="AG1239">
        <v>859150000</v>
      </c>
      <c r="AH1239">
        <v>1024319999.9999999</v>
      </c>
      <c r="AI1239">
        <v>1041260000</v>
      </c>
      <c r="AJ1239">
        <v>0</v>
      </c>
      <c r="AK1239">
        <v>2.4485694952985219E-9</v>
      </c>
      <c r="AL1239">
        <v>0</v>
      </c>
    </row>
    <row r="1240" spans="2:38">
      <c r="B1240">
        <v>7.7858880778588671E-2</v>
      </c>
      <c r="C1240">
        <v>7.95</v>
      </c>
      <c r="D1240">
        <v>7.91</v>
      </c>
      <c r="E1240">
        <v>5.0441361916771796E-3</v>
      </c>
      <c r="F1240">
        <v>5763774</v>
      </c>
      <c r="G1240">
        <v>561090000</v>
      </c>
      <c r="H1240">
        <v>45994916.520000003</v>
      </c>
      <c r="I1240">
        <v>561100000</v>
      </c>
      <c r="J1240">
        <v>1.027227588665122E-2</v>
      </c>
      <c r="K1240">
        <v>78469.33</v>
      </c>
      <c r="L1240">
        <v>0.19489999999999999</v>
      </c>
      <c r="M1240">
        <v>15890000000</v>
      </c>
      <c r="N1240">
        <v>4002556000</v>
      </c>
      <c r="O1240">
        <v>-1634613000</v>
      </c>
      <c r="P1240">
        <v>499800000</v>
      </c>
      <c r="Q1240">
        <v>2312000000</v>
      </c>
      <c r="R1240">
        <v>1.0130463452106054E-9</v>
      </c>
      <c r="S1240">
        <v>0.14550031466331026</v>
      </c>
      <c r="U1240">
        <v>7.8716318498334246E-3</v>
      </c>
      <c r="V1240">
        <v>16.579999999999998</v>
      </c>
      <c r="W1240">
        <v>16.55</v>
      </c>
      <c r="X1240">
        <f t="shared" si="21"/>
        <v>1.8110473890732019E-3</v>
      </c>
      <c r="Y1240">
        <v>187201</v>
      </c>
      <c r="Z1240">
        <v>2223000000</v>
      </c>
      <c r="AA1240">
        <v>3098176.5500000003</v>
      </c>
      <c r="AB1240">
        <v>2223000000</v>
      </c>
      <c r="AC1240">
        <v>8.4210976158344581E-5</v>
      </c>
      <c r="AD1240">
        <v>78793.41</v>
      </c>
      <c r="AE1240">
        <v>0.17469999999999999</v>
      </c>
      <c r="AF1240">
        <v>73305590000</v>
      </c>
      <c r="AG1240">
        <v>859150000</v>
      </c>
      <c r="AH1240">
        <v>1024319999.9999999</v>
      </c>
      <c r="AI1240">
        <v>1041260000</v>
      </c>
      <c r="AJ1240">
        <v>0</v>
      </c>
      <c r="AK1240">
        <v>1.9621307106023982E-9</v>
      </c>
      <c r="AL1240">
        <v>0</v>
      </c>
    </row>
    <row r="1241" spans="2:38">
      <c r="B1241">
        <v>0.12614819350887929</v>
      </c>
      <c r="C1241">
        <v>8.35</v>
      </c>
      <c r="D1241">
        <v>8.34</v>
      </c>
      <c r="E1241">
        <v>1.1983223487117781E-3</v>
      </c>
      <c r="F1241">
        <v>10362350</v>
      </c>
      <c r="G1241">
        <v>561090000</v>
      </c>
      <c r="H1241">
        <v>86732869.499999985</v>
      </c>
      <c r="I1241">
        <v>561100000</v>
      </c>
      <c r="J1241">
        <v>1.846792015683479E-2</v>
      </c>
      <c r="K1241">
        <v>79397.009999999995</v>
      </c>
      <c r="L1241">
        <v>0.19489999999999999</v>
      </c>
      <c r="M1241">
        <v>15890000000</v>
      </c>
      <c r="N1241">
        <v>4002556000</v>
      </c>
      <c r="O1241">
        <v>-1634613000</v>
      </c>
      <c r="P1241">
        <v>499800000</v>
      </c>
      <c r="Q1241">
        <v>2312000000</v>
      </c>
      <c r="R1241">
        <v>5.0316446356719402E-10</v>
      </c>
      <c r="S1241">
        <v>0.14550031466331026</v>
      </c>
      <c r="U1241">
        <v>1.1553663727576633E-2</v>
      </c>
      <c r="V1241">
        <v>16.48</v>
      </c>
      <c r="W1241">
        <v>16.46</v>
      </c>
      <c r="X1241">
        <f t="shared" si="21"/>
        <v>1.2143290831815165E-3</v>
      </c>
      <c r="Y1241">
        <v>122555</v>
      </c>
      <c r="Z1241">
        <v>2223000000</v>
      </c>
      <c r="AA1241">
        <v>2016029.75</v>
      </c>
      <c r="AB1241">
        <v>2223000000</v>
      </c>
      <c r="AC1241">
        <v>5.5130454340980659E-5</v>
      </c>
      <c r="AD1241">
        <v>78260.86</v>
      </c>
      <c r="AE1241">
        <v>0.17469999999999999</v>
      </c>
      <c r="AF1241">
        <v>73305590000</v>
      </c>
      <c r="AG1241">
        <v>859150000</v>
      </c>
      <c r="AH1241">
        <v>1024319999.9999999</v>
      </c>
      <c r="AI1241">
        <v>1041260000</v>
      </c>
      <c r="AJ1241">
        <v>0</v>
      </c>
      <c r="AK1241">
        <v>1.8158307244423472E-9</v>
      </c>
      <c r="AL1241">
        <v>0</v>
      </c>
    </row>
    <row r="1242" spans="2:38">
      <c r="B1242">
        <v>7.5917859365276841E-2</v>
      </c>
      <c r="C1242">
        <v>8.35</v>
      </c>
      <c r="D1242">
        <v>7.85</v>
      </c>
      <c r="E1242">
        <v>6.1728395061728399E-2</v>
      </c>
      <c r="F1242">
        <v>3733888</v>
      </c>
      <c r="G1242">
        <v>561090000</v>
      </c>
      <c r="H1242">
        <v>29945781.759999998</v>
      </c>
      <c r="I1242">
        <v>561100000</v>
      </c>
      <c r="J1242">
        <v>6.6545856353591162E-3</v>
      </c>
      <c r="K1242">
        <v>78987.09</v>
      </c>
      <c r="L1242">
        <v>0.19489999999999999</v>
      </c>
      <c r="M1242">
        <v>15890000000</v>
      </c>
      <c r="N1242">
        <v>4002556000</v>
      </c>
      <c r="O1242">
        <v>-1634613000</v>
      </c>
      <c r="P1242">
        <v>499800000</v>
      </c>
      <c r="Q1242">
        <v>2312000000</v>
      </c>
      <c r="R1242">
        <v>7.3303210743078259E-10</v>
      </c>
      <c r="S1242">
        <v>0.14550031466331026</v>
      </c>
      <c r="U1242">
        <v>1.5174506828528072E-2</v>
      </c>
      <c r="V1242">
        <v>16.41</v>
      </c>
      <c r="W1242">
        <v>16.36</v>
      </c>
      <c r="X1242">
        <f t="shared" si="21"/>
        <v>3.0515715593531106E-3</v>
      </c>
      <c r="Y1242">
        <v>364290</v>
      </c>
      <c r="Z1242">
        <v>2223000000</v>
      </c>
      <c r="AA1242">
        <v>5970713.1000000006</v>
      </c>
      <c r="AB1242">
        <v>2223000000</v>
      </c>
      <c r="AC1242">
        <v>1.638731443994602E-4</v>
      </c>
      <c r="AD1242">
        <v>77745.52</v>
      </c>
      <c r="AE1242">
        <v>0.189</v>
      </c>
      <c r="AF1242">
        <v>73305590000</v>
      </c>
      <c r="AG1242">
        <v>859150000</v>
      </c>
      <c r="AH1242">
        <v>1024319999.9999999</v>
      </c>
      <c r="AI1242">
        <v>1041260000</v>
      </c>
      <c r="AJ1242">
        <v>0</v>
      </c>
      <c r="AK1242">
        <v>1.317974798466378E-9</v>
      </c>
      <c r="AL1242">
        <v>0</v>
      </c>
    </row>
    <row r="1243" spans="2:38">
      <c r="B1243">
        <v>6.4516129032258174E-2</v>
      </c>
      <c r="C1243">
        <v>8.15</v>
      </c>
      <c r="D1243">
        <v>8.1</v>
      </c>
      <c r="E1243">
        <v>6.1538461538462414E-3</v>
      </c>
      <c r="F1243">
        <v>1269154</v>
      </c>
      <c r="G1243">
        <v>561090000</v>
      </c>
      <c r="H1243">
        <v>10407062.799999999</v>
      </c>
      <c r="I1243">
        <v>561100000</v>
      </c>
      <c r="J1243">
        <v>2.2619034040278025E-3</v>
      </c>
      <c r="K1243">
        <v>78539.19</v>
      </c>
      <c r="L1243">
        <v>0.19489999999999999</v>
      </c>
      <c r="M1243">
        <v>15890000000</v>
      </c>
      <c r="N1243">
        <v>4002556000</v>
      </c>
      <c r="O1243">
        <v>-1634613000</v>
      </c>
      <c r="P1243">
        <v>499800000</v>
      </c>
      <c r="Q1243">
        <v>2312000000</v>
      </c>
      <c r="R1243">
        <v>0</v>
      </c>
      <c r="S1243">
        <v>0.14550031466331026</v>
      </c>
      <c r="U1243">
        <v>8.5054678007290743E-3</v>
      </c>
      <c r="V1243">
        <v>16.52</v>
      </c>
      <c r="W1243">
        <v>16.5</v>
      </c>
      <c r="X1243">
        <f t="shared" si="21"/>
        <v>1.2113870381586661E-3</v>
      </c>
      <c r="Y1243">
        <v>193908</v>
      </c>
      <c r="Z1243">
        <v>2223000000</v>
      </c>
      <c r="AA1243">
        <v>3203360.16</v>
      </c>
      <c r="AB1243">
        <v>2223000000</v>
      </c>
      <c r="AC1243">
        <v>8.7228070175438593E-5</v>
      </c>
      <c r="AD1243">
        <v>77830.34</v>
      </c>
      <c r="AE1243">
        <v>0.189</v>
      </c>
      <c r="AF1243">
        <v>73305590000</v>
      </c>
      <c r="AG1243">
        <v>859150000</v>
      </c>
      <c r="AH1243">
        <v>1024319999.9999999</v>
      </c>
      <c r="AI1243">
        <v>1041260000</v>
      </c>
      <c r="AJ1243">
        <v>0</v>
      </c>
      <c r="AK1243">
        <v>5.6793002470159824E-10</v>
      </c>
      <c r="AL1243">
        <v>0</v>
      </c>
    </row>
    <row r="1244" spans="2:38">
      <c r="B1244">
        <v>0</v>
      </c>
      <c r="C1244">
        <v>0</v>
      </c>
      <c r="D1244">
        <v>0</v>
      </c>
      <c r="E1244">
        <v>0</v>
      </c>
      <c r="F1244">
        <v>0</v>
      </c>
      <c r="G1244">
        <v>0</v>
      </c>
      <c r="H1244">
        <v>0</v>
      </c>
      <c r="I1244">
        <v>0</v>
      </c>
      <c r="J1244">
        <v>0</v>
      </c>
      <c r="K1244">
        <v>0</v>
      </c>
      <c r="L1244">
        <v>0</v>
      </c>
      <c r="M1244">
        <v>0</v>
      </c>
      <c r="N1244">
        <v>0</v>
      </c>
      <c r="O1244">
        <v>0</v>
      </c>
      <c r="P1244">
        <v>0</v>
      </c>
      <c r="Q1244">
        <v>0</v>
      </c>
      <c r="R1244">
        <v>0</v>
      </c>
      <c r="S1244">
        <v>0</v>
      </c>
      <c r="U1244">
        <v>8.4951456310679956E-3</v>
      </c>
      <c r="V1244">
        <v>16.5</v>
      </c>
      <c r="W1244">
        <v>16.47</v>
      </c>
      <c r="X1244">
        <f t="shared" si="21"/>
        <v>1.8198362147407424E-3</v>
      </c>
      <c r="Y1244">
        <v>102242</v>
      </c>
      <c r="Z1244">
        <v>2223000000</v>
      </c>
      <c r="AA1244">
        <v>1685970.5799999998</v>
      </c>
      <c r="AB1244">
        <v>2223000000</v>
      </c>
      <c r="AC1244">
        <v>4.5992802519118307E-5</v>
      </c>
      <c r="AD1244">
        <v>78045.31</v>
      </c>
      <c r="AE1244">
        <v>0.189</v>
      </c>
      <c r="AF1244">
        <v>73305590000</v>
      </c>
      <c r="AG1244">
        <v>859150000</v>
      </c>
      <c r="AH1244">
        <v>1024319999.9999999</v>
      </c>
      <c r="AI1244">
        <v>1041260000</v>
      </c>
      <c r="AJ1244">
        <v>0</v>
      </c>
      <c r="AK1244">
        <v>1.4422617874205068E-9</v>
      </c>
      <c r="AL1244">
        <v>0</v>
      </c>
    </row>
    <row r="1245" spans="2:38">
      <c r="B1245" t="str">
        <v>Relative high-low price</v>
      </c>
      <c r="C1245" t="str">
        <v>Ask price</v>
      </c>
      <c r="D1245" t="str">
        <v xml:space="preserve">Bid price </v>
      </c>
      <c r="E1245" t="str">
        <v xml:space="preserve">Relative Bid-Ask Spread </v>
      </c>
      <c r="F1245" t="str">
        <v>daily trading volume</v>
      </c>
      <c r="G1245" t="str">
        <v>Common Share Outstanding</v>
      </c>
      <c r="H1245" t="str">
        <v xml:space="preserve">Trading value </v>
      </c>
      <c r="I1245" t="str">
        <v xml:space="preserve">free float shares </v>
      </c>
      <c r="J1245" t="str">
        <v>Turnover</v>
      </c>
      <c r="K1245" t="str">
        <v>KSE-100 Index</v>
      </c>
      <c r="L1245" t="str">
        <v xml:space="preserve">Risk free rate </v>
      </c>
      <c r="M1245" t="str">
        <v xml:space="preserve">Total assets </v>
      </c>
      <c r="N1245" t="str">
        <v xml:space="preserve">Total Liabilities </v>
      </c>
      <c r="O1245" t="str">
        <v>EBITDA (in millions)</v>
      </c>
      <c r="P1245" t="str">
        <v xml:space="preserve">Cash and equivalents </v>
      </c>
      <c r="Q1245" t="str">
        <v xml:space="preserve">Total Debt </v>
      </c>
      <c r="R1245" t="str">
        <v>Amihud illiquidity ratio</v>
      </c>
      <c r="S1245" t="str">
        <v>Leverage ratio</v>
      </c>
      <c r="U1245">
        <v>1.3969025204980071E-2</v>
      </c>
      <c r="V1245">
        <v>16.440000000000001</v>
      </c>
      <c r="W1245">
        <v>16.38</v>
      </c>
      <c r="X1245">
        <f t="shared" si="21"/>
        <v>3.6563071297990414E-3</v>
      </c>
      <c r="Y1245">
        <v>330078</v>
      </c>
      <c r="Z1245">
        <v>2223000000</v>
      </c>
      <c r="AA1245">
        <v>5429783.0999999996</v>
      </c>
      <c r="AB1245">
        <v>2223000000</v>
      </c>
      <c r="AC1245">
        <v>1.4848313090418352E-4</v>
      </c>
      <c r="AD1245">
        <v>78105.98</v>
      </c>
      <c r="AE1245">
        <v>0.189</v>
      </c>
      <c r="AF1245">
        <v>73305590000</v>
      </c>
      <c r="AG1245">
        <v>859150000</v>
      </c>
      <c r="AH1245">
        <v>1024319999.9999999</v>
      </c>
      <c r="AI1245">
        <v>1041260000</v>
      </c>
      <c r="AJ1245">
        <v>0</v>
      </c>
      <c r="AK1245">
        <v>3.3525986507907325E-10</v>
      </c>
      <c r="AL1245">
        <v>0</v>
      </c>
    </row>
    <row r="1246" spans="2:38">
      <c r="B1246">
        <v>1.1494252873563178E-2</v>
      </c>
      <c r="C1246">
        <v>17.46</v>
      </c>
      <c r="D1246">
        <v>17.45</v>
      </c>
      <c r="E1246">
        <v>5.7290174735041908E-4</v>
      </c>
      <c r="F1246">
        <v>380284</v>
      </c>
      <c r="G1246">
        <v>2223000000</v>
      </c>
      <c r="H1246">
        <v>6635955.7999999998</v>
      </c>
      <c r="I1246">
        <v>2223000000</v>
      </c>
      <c r="J1246">
        <v>1.7106792622582096E-4</v>
      </c>
      <c r="K1246">
        <v>82074.45</v>
      </c>
      <c r="L1246">
        <v>0.1741</v>
      </c>
      <c r="M1246">
        <v>73305590000</v>
      </c>
      <c r="N1246">
        <v>859150000</v>
      </c>
      <c r="O1246">
        <v>1024319999.9999999</v>
      </c>
      <c r="P1246">
        <v>1041260000</v>
      </c>
      <c r="Q1246">
        <v>0</v>
      </c>
      <c r="R1246">
        <v>7.812486932530526E-10</v>
      </c>
      <c r="S1246">
        <v>0</v>
      </c>
      <c r="U1246">
        <v>1.9417475728155355E-2</v>
      </c>
      <c r="V1246">
        <v>16.48</v>
      </c>
      <c r="W1246">
        <v>16.45</v>
      </c>
      <c r="X1246">
        <f t="shared" si="21"/>
        <v>1.8220467658670596E-3</v>
      </c>
      <c r="Y1246">
        <v>482641</v>
      </c>
      <c r="Z1246">
        <v>2223000000</v>
      </c>
      <c r="AA1246">
        <v>7953923.6800000006</v>
      </c>
      <c r="AB1246">
        <v>2223000000</v>
      </c>
      <c r="AC1246">
        <v>2.1711246063877644E-4</v>
      </c>
      <c r="AD1246">
        <v>77877.42</v>
      </c>
      <c r="AE1246">
        <v>0.189</v>
      </c>
      <c r="AF1246">
        <v>73305590000</v>
      </c>
      <c r="AG1246">
        <v>859150000</v>
      </c>
      <c r="AH1246">
        <v>1024319999.9999999</v>
      </c>
      <c r="AI1246">
        <v>1041260000</v>
      </c>
      <c r="AJ1246">
        <v>0</v>
      </c>
      <c r="AK1246">
        <v>3.0441673863951596E-10</v>
      </c>
      <c r="AL1246">
        <v>0</v>
      </c>
    </row>
    <row r="1247" spans="2:38">
      <c r="B1247">
        <v>1.0947853644482726E-2</v>
      </c>
      <c r="C1247">
        <v>17.350000000000001</v>
      </c>
      <c r="D1247">
        <v>17.34</v>
      </c>
      <c r="E1247">
        <v>5.7653502450282868E-4</v>
      </c>
      <c r="F1247">
        <v>354413</v>
      </c>
      <c r="G1247">
        <v>2223000000</v>
      </c>
      <c r="H1247">
        <v>6152609.6799999997</v>
      </c>
      <c r="I1247">
        <v>2223000000</v>
      </c>
      <c r="J1247">
        <v>1.5943004948268106E-4</v>
      </c>
      <c r="K1247">
        <v>81459.289999999994</v>
      </c>
      <c r="L1247">
        <v>0.1741</v>
      </c>
      <c r="M1247">
        <v>73305590000</v>
      </c>
      <c r="N1247">
        <v>859150000</v>
      </c>
      <c r="O1247">
        <v>1024319999.9999999</v>
      </c>
      <c r="P1247">
        <v>1041260000</v>
      </c>
      <c r="Q1247">
        <v>0</v>
      </c>
      <c r="R1247">
        <v>3.7536410438616531E-10</v>
      </c>
      <c r="S1247">
        <v>0</v>
      </c>
      <c r="U1247">
        <v>2.1244309559939171E-2</v>
      </c>
      <c r="V1247">
        <v>16.57</v>
      </c>
      <c r="W1247">
        <v>16.43</v>
      </c>
      <c r="X1247">
        <f t="shared" si="21"/>
        <v>8.4848484848485187E-3</v>
      </c>
      <c r="Y1247">
        <v>951131</v>
      </c>
      <c r="Z1247">
        <v>2223000000</v>
      </c>
      <c r="AA1247">
        <v>15712684.119999999</v>
      </c>
      <c r="AB1247">
        <v>2223000000</v>
      </c>
      <c r="AC1247">
        <v>4.2785919928025191E-4</v>
      </c>
      <c r="AD1247">
        <v>77980.289999999994</v>
      </c>
      <c r="AE1247">
        <v>0.189</v>
      </c>
      <c r="AF1247">
        <v>73305590000</v>
      </c>
      <c r="AG1247">
        <v>859150000</v>
      </c>
      <c r="AH1247">
        <v>1024319999.9999999</v>
      </c>
      <c r="AI1247">
        <v>1041260000</v>
      </c>
      <c r="AJ1247">
        <v>0</v>
      </c>
      <c r="AK1247">
        <v>7.7993688838850472E-10</v>
      </c>
      <c r="AL1247">
        <v>0</v>
      </c>
    </row>
    <row r="1248" spans="2:38">
      <c r="B1248">
        <v>1.7291066282420789E-2</v>
      </c>
      <c r="C1248">
        <v>17.34</v>
      </c>
      <c r="D1248">
        <v>17.3</v>
      </c>
      <c r="E1248">
        <v>2.3094688221708512E-3</v>
      </c>
      <c r="F1248">
        <v>810522</v>
      </c>
      <c r="G1248">
        <v>2223000000</v>
      </c>
      <c r="H1248">
        <v>14038241.040000001</v>
      </c>
      <c r="I1248">
        <v>2223000000</v>
      </c>
      <c r="J1248">
        <v>3.6460728744939271E-4</v>
      </c>
      <c r="K1248">
        <v>80461.34</v>
      </c>
      <c r="L1248">
        <v>0.1741</v>
      </c>
      <c r="M1248">
        <v>73305590000</v>
      </c>
      <c r="N1248">
        <v>859150000</v>
      </c>
      <c r="O1248">
        <v>1024319999.9999999</v>
      </c>
      <c r="P1248">
        <v>1041260000</v>
      </c>
      <c r="Q1248">
        <v>0</v>
      </c>
      <c r="R1248">
        <v>4.9014217132677079E-10</v>
      </c>
      <c r="S1248">
        <v>0</v>
      </c>
      <c r="U1248">
        <v>1.8461538461538286E-2</v>
      </c>
      <c r="V1248">
        <v>16.37</v>
      </c>
      <c r="W1248">
        <v>16.3</v>
      </c>
      <c r="X1248">
        <f t="shared" si="21"/>
        <v>4.2852770125497569E-3</v>
      </c>
      <c r="Y1248">
        <v>656780</v>
      </c>
      <c r="Z1248">
        <v>2223000000</v>
      </c>
      <c r="AA1248">
        <v>10718649.6</v>
      </c>
      <c r="AB1248">
        <v>2223000000</v>
      </c>
      <c r="AC1248">
        <v>2.9544759334233019E-4</v>
      </c>
      <c r="AD1248">
        <v>78569.59</v>
      </c>
      <c r="AE1248">
        <v>0.189</v>
      </c>
      <c r="AF1248">
        <v>73305590000</v>
      </c>
      <c r="AG1248">
        <v>859150000</v>
      </c>
      <c r="AH1248">
        <v>1024319999.9999999</v>
      </c>
      <c r="AI1248">
        <v>1041260000</v>
      </c>
      <c r="AJ1248">
        <v>0</v>
      </c>
      <c r="AK1248">
        <v>0</v>
      </c>
      <c r="AL1248">
        <v>0</v>
      </c>
    </row>
    <row r="1249" spans="2:38">
      <c r="B1249">
        <v>1.7291066282420789E-2</v>
      </c>
      <c r="C1249">
        <v>17.46</v>
      </c>
      <c r="D1249">
        <v>17.440000000000001</v>
      </c>
      <c r="E1249">
        <v>1.1461318051575685E-3</v>
      </c>
      <c r="F1249">
        <v>350953</v>
      </c>
      <c r="G1249">
        <v>2223000000</v>
      </c>
      <c r="H1249">
        <v>6120620.3200000003</v>
      </c>
      <c r="I1249">
        <v>2223000000</v>
      </c>
      <c r="J1249">
        <v>1.5787359424201529E-4</v>
      </c>
      <c r="K1249">
        <v>79491.14</v>
      </c>
      <c r="L1249">
        <v>0.1741</v>
      </c>
      <c r="M1249">
        <v>73305590000</v>
      </c>
      <c r="N1249">
        <v>859150000</v>
      </c>
      <c r="O1249">
        <v>1024319999.9999999</v>
      </c>
      <c r="P1249">
        <v>1041260000</v>
      </c>
      <c r="Q1249">
        <v>0</v>
      </c>
      <c r="R1249">
        <v>8.4751538463771526E-10</v>
      </c>
      <c r="S1249">
        <v>0</v>
      </c>
      <c r="U1249">
        <v>1.0388023220287083E-2</v>
      </c>
      <c r="V1249">
        <v>16.38</v>
      </c>
      <c r="W1249">
        <v>16.34</v>
      </c>
      <c r="X1249">
        <f t="shared" si="21"/>
        <v>2.4449877750610726E-3</v>
      </c>
      <c r="Y1249">
        <v>152392</v>
      </c>
      <c r="Z1249">
        <v>2223000000</v>
      </c>
      <c r="AA1249">
        <v>2487037.44</v>
      </c>
      <c r="AB1249">
        <v>2223000000</v>
      </c>
      <c r="AC1249">
        <v>6.8552406657669822E-5</v>
      </c>
      <c r="AD1249">
        <v>77874.22</v>
      </c>
      <c r="AE1249">
        <v>0.189</v>
      </c>
      <c r="AF1249">
        <v>73305590000</v>
      </c>
      <c r="AG1249">
        <v>859150000</v>
      </c>
      <c r="AH1249">
        <v>1024319999.9999999</v>
      </c>
      <c r="AI1249">
        <v>1041260000</v>
      </c>
      <c r="AJ1249">
        <v>0</v>
      </c>
      <c r="AK1249">
        <v>3.9037361110565659E-9</v>
      </c>
      <c r="AL1249">
        <v>0</v>
      </c>
    </row>
    <row r="1250" spans="2:38">
      <c r="B1250">
        <v>1.9158200290275866E-2</v>
      </c>
      <c r="C1250">
        <v>17.38</v>
      </c>
      <c r="D1250">
        <v>17.350000000000001</v>
      </c>
      <c r="E1250">
        <v>1.7276130146845713E-3</v>
      </c>
      <c r="F1250">
        <v>505492</v>
      </c>
      <c r="G1250">
        <v>2223000000</v>
      </c>
      <c r="H1250">
        <v>8770286.2000000011</v>
      </c>
      <c r="I1250">
        <v>2223000000</v>
      </c>
      <c r="J1250">
        <v>2.2739181286549707E-4</v>
      </c>
      <c r="K1250">
        <v>79333.06</v>
      </c>
      <c r="L1250">
        <v>0.1741</v>
      </c>
      <c r="M1250">
        <v>73305590000</v>
      </c>
      <c r="N1250">
        <v>859150000</v>
      </c>
      <c r="O1250">
        <v>1024319999.9999999</v>
      </c>
      <c r="P1250">
        <v>1041260000</v>
      </c>
      <c r="Q1250">
        <v>0</v>
      </c>
      <c r="R1250">
        <v>1.9382295263132465E-9</v>
      </c>
      <c r="S1250">
        <v>0</v>
      </c>
      <c r="U1250">
        <v>3.0750307503075027E-2</v>
      </c>
      <c r="V1250">
        <v>16.45</v>
      </c>
      <c r="W1250">
        <v>16.25</v>
      </c>
      <c r="X1250">
        <f t="shared" si="21"/>
        <v>1.2232415902140628E-2</v>
      </c>
      <c r="Y1250">
        <v>724014</v>
      </c>
      <c r="Z1250">
        <v>2223000000</v>
      </c>
      <c r="AA1250">
        <v>11931750.720000001</v>
      </c>
      <c r="AB1250">
        <v>2223000000</v>
      </c>
      <c r="AC1250">
        <v>3.2569230769230771E-4</v>
      </c>
      <c r="AD1250">
        <v>77114.490000000005</v>
      </c>
      <c r="AE1250">
        <v>0.189</v>
      </c>
      <c r="AF1250">
        <v>73305590000</v>
      </c>
      <c r="AG1250">
        <v>859150000</v>
      </c>
      <c r="AH1250">
        <v>1024319999.9999999</v>
      </c>
      <c r="AI1250">
        <v>1041260000</v>
      </c>
      <c r="AJ1250">
        <v>0</v>
      </c>
      <c r="AK1250">
        <v>2.1917932141914048E-9</v>
      </c>
      <c r="AL1250">
        <v>0</v>
      </c>
    </row>
    <row r="1251" spans="2:38">
      <c r="B1251">
        <v>1.4018691588784958E-2</v>
      </c>
      <c r="C1251">
        <v>17.100000000000001</v>
      </c>
      <c r="D1251">
        <v>17.07</v>
      </c>
      <c r="E1251">
        <v>1.7559262510975203E-3</v>
      </c>
      <c r="F1251">
        <v>368739</v>
      </c>
      <c r="G1251">
        <v>2223000000</v>
      </c>
      <c r="H1251">
        <v>6290687.3399999999</v>
      </c>
      <c r="I1251">
        <v>2223000000</v>
      </c>
      <c r="J1251">
        <v>1.6587449392712551E-4</v>
      </c>
      <c r="K1251">
        <v>79017.62</v>
      </c>
      <c r="L1251">
        <v>0.1741</v>
      </c>
      <c r="M1251">
        <v>73305590000</v>
      </c>
      <c r="N1251">
        <v>859150000</v>
      </c>
      <c r="O1251">
        <v>1024319999.9999999</v>
      </c>
      <c r="P1251">
        <v>1041260000</v>
      </c>
      <c r="Q1251">
        <v>0</v>
      </c>
      <c r="R1251">
        <v>4.6453869375099223E-10</v>
      </c>
      <c r="S1251">
        <v>0</v>
      </c>
      <c r="U1251">
        <v>1.5552099533437015E-2</v>
      </c>
      <c r="V1251">
        <v>16.14</v>
      </c>
      <c r="W1251">
        <v>16.05</v>
      </c>
      <c r="X1251">
        <f t="shared" si="21"/>
        <v>5.5917986952469627E-3</v>
      </c>
      <c r="Y1251">
        <v>118754</v>
      </c>
      <c r="Z1251">
        <v>2223000000</v>
      </c>
      <c r="AA1251">
        <v>1907189.2399999998</v>
      </c>
      <c r="AB1251">
        <v>2223000000</v>
      </c>
      <c r="AC1251">
        <v>5.3420602789023842E-5</v>
      </c>
      <c r="AD1251">
        <v>77191.34</v>
      </c>
      <c r="AE1251">
        <v>0.19489999999999999</v>
      </c>
      <c r="AF1251">
        <v>73305590000</v>
      </c>
      <c r="AG1251">
        <v>859150000</v>
      </c>
      <c r="AH1251">
        <v>1024319999.9999999</v>
      </c>
      <c r="AI1251">
        <v>1041260000</v>
      </c>
      <c r="AJ1251">
        <v>0</v>
      </c>
      <c r="AK1251">
        <v>0</v>
      </c>
      <c r="AL1251">
        <v>0</v>
      </c>
    </row>
    <row r="1252" spans="2:38">
      <c r="B1252">
        <v>4.6674445740955833E-3</v>
      </c>
      <c r="C1252">
        <v>17.12</v>
      </c>
      <c r="D1252">
        <v>17.11</v>
      </c>
      <c r="E1252">
        <v>5.8428279287184119E-4</v>
      </c>
      <c r="F1252">
        <v>237613</v>
      </c>
      <c r="G1252">
        <v>2223000000</v>
      </c>
      <c r="H1252">
        <v>4065558.4299999997</v>
      </c>
      <c r="I1252">
        <v>2223000000</v>
      </c>
      <c r="J1252">
        <v>1.0688843904633378E-4</v>
      </c>
      <c r="K1252">
        <v>78651.8</v>
      </c>
      <c r="L1252">
        <v>0.1741</v>
      </c>
      <c r="M1252">
        <v>73305590000</v>
      </c>
      <c r="N1252">
        <v>859150000</v>
      </c>
      <c r="O1252">
        <v>1024319999.9999999</v>
      </c>
      <c r="P1252">
        <v>1041260000</v>
      </c>
      <c r="Q1252">
        <v>0</v>
      </c>
      <c r="R1252">
        <v>1.4384132750917331E-10</v>
      </c>
      <c r="S1252">
        <v>0</v>
      </c>
      <c r="U1252">
        <v>2.051600870376127E-2</v>
      </c>
      <c r="V1252">
        <v>16.149999999999999</v>
      </c>
      <c r="W1252">
        <v>16</v>
      </c>
      <c r="X1252">
        <f t="shared" si="21"/>
        <v>9.3312597200621208E-3</v>
      </c>
      <c r="Y1252">
        <v>576245</v>
      </c>
      <c r="Z1252">
        <v>2223000000</v>
      </c>
      <c r="AA1252">
        <v>9254494.6999999993</v>
      </c>
      <c r="AB1252">
        <v>2223000000</v>
      </c>
      <c r="AC1252">
        <v>2.5921952316689158E-4</v>
      </c>
      <c r="AD1252">
        <v>77084.490000000005</v>
      </c>
      <c r="AE1252">
        <v>0.19489999999999999</v>
      </c>
      <c r="AF1252">
        <v>73305590000</v>
      </c>
      <c r="AG1252">
        <v>859150000</v>
      </c>
      <c r="AH1252">
        <v>1024319999.9999999</v>
      </c>
      <c r="AI1252">
        <v>1041260000</v>
      </c>
      <c r="AJ1252">
        <v>0</v>
      </c>
      <c r="AK1252">
        <v>1.4602108436578027E-9</v>
      </c>
      <c r="AL1252">
        <v>0</v>
      </c>
    </row>
    <row r="1253" spans="2:38">
      <c r="B1253">
        <v>7.5956763073326897E-3</v>
      </c>
      <c r="C1253">
        <v>17.11</v>
      </c>
      <c r="D1253">
        <v>17.100000000000001</v>
      </c>
      <c r="E1253">
        <v>5.8462437883648112E-4</v>
      </c>
      <c r="F1253">
        <v>353320</v>
      </c>
      <c r="G1253">
        <v>2223000000</v>
      </c>
      <c r="H1253">
        <v>6041772.0000000009</v>
      </c>
      <c r="I1253">
        <v>2223000000</v>
      </c>
      <c r="J1253">
        <v>1.5893837156995052E-4</v>
      </c>
      <c r="K1253">
        <v>79286.740000000005</v>
      </c>
      <c r="L1253">
        <v>0.1741</v>
      </c>
      <c r="M1253">
        <v>73305590000</v>
      </c>
      <c r="N1253">
        <v>859150000</v>
      </c>
      <c r="O1253">
        <v>1024319999.9999999</v>
      </c>
      <c r="P1253">
        <v>1041260000</v>
      </c>
      <c r="Q1253">
        <v>0</v>
      </c>
      <c r="R1253">
        <v>3.8807586335789067E-10</v>
      </c>
      <c r="S1253">
        <v>0</v>
      </c>
      <c r="U1253">
        <v>2.0833333333333325E-2</v>
      </c>
      <c r="V1253">
        <v>16.489999999999998</v>
      </c>
      <c r="W1253">
        <v>16.16</v>
      </c>
      <c r="X1253">
        <f t="shared" si="21"/>
        <v>2.021439509954048E-2</v>
      </c>
      <c r="Y1253">
        <v>228225</v>
      </c>
      <c r="Z1253">
        <v>2223000000</v>
      </c>
      <c r="AA1253">
        <v>3715503.0000000005</v>
      </c>
      <c r="AB1253">
        <v>2223000000</v>
      </c>
      <c r="AC1253">
        <v>1.0266531713900135E-4</v>
      </c>
      <c r="AD1253">
        <v>78225.98</v>
      </c>
      <c r="AE1253">
        <v>0.19489999999999999</v>
      </c>
      <c r="AF1253">
        <v>73305590000</v>
      </c>
      <c r="AG1253">
        <v>859150000</v>
      </c>
      <c r="AH1253">
        <v>1024319999.9999999</v>
      </c>
      <c r="AI1253">
        <v>1041260000</v>
      </c>
      <c r="AJ1253">
        <v>0</v>
      </c>
      <c r="AK1253">
        <v>1.9985833881058597E-9</v>
      </c>
      <c r="AL1253">
        <v>0</v>
      </c>
    </row>
    <row r="1254" spans="2:38">
      <c r="B1254">
        <v>1.1146963919037915E-2</v>
      </c>
      <c r="C1254">
        <v>17.100000000000001</v>
      </c>
      <c r="D1254">
        <v>17.010000000000002</v>
      </c>
      <c r="E1254">
        <v>5.2770448548812585E-3</v>
      </c>
      <c r="F1254">
        <v>300936</v>
      </c>
      <c r="G1254">
        <v>2223000000</v>
      </c>
      <c r="H1254">
        <v>5133968.1599999992</v>
      </c>
      <c r="I1254">
        <v>2223000000</v>
      </c>
      <c r="J1254">
        <v>1.3537381916329285E-4</v>
      </c>
      <c r="K1254">
        <v>78615</v>
      </c>
      <c r="L1254">
        <v>0.1741</v>
      </c>
      <c r="M1254">
        <v>73305590000</v>
      </c>
      <c r="N1254">
        <v>859150000</v>
      </c>
      <c r="O1254">
        <v>1024319999.9999999</v>
      </c>
      <c r="P1254">
        <v>1041260000</v>
      </c>
      <c r="Q1254">
        <v>0</v>
      </c>
      <c r="R1254">
        <v>3.4192119375020107E-10</v>
      </c>
      <c r="S1254">
        <v>0</v>
      </c>
      <c r="U1254">
        <v>1.4219474497681637E-2</v>
      </c>
      <c r="V1254">
        <v>16.190000000000001</v>
      </c>
      <c r="W1254">
        <v>16.149999999999999</v>
      </c>
      <c r="X1254">
        <f t="shared" si="21"/>
        <v>2.4737167594312119E-3</v>
      </c>
      <c r="Y1254">
        <v>217170</v>
      </c>
      <c r="Z1254">
        <v>2223000000</v>
      </c>
      <c r="AA1254">
        <v>3509467.2</v>
      </c>
      <c r="AB1254">
        <v>2223000000</v>
      </c>
      <c r="AC1254">
        <v>9.7692307692307694E-5</v>
      </c>
      <c r="AD1254">
        <v>77740.31</v>
      </c>
      <c r="AE1254">
        <v>0.19489999999999999</v>
      </c>
      <c r="AF1254">
        <v>73305590000</v>
      </c>
      <c r="AG1254">
        <v>859150000</v>
      </c>
      <c r="AH1254">
        <v>1024319999.9999999</v>
      </c>
      <c r="AI1254">
        <v>1041260000</v>
      </c>
      <c r="AJ1254">
        <v>0</v>
      </c>
      <c r="AK1254">
        <v>7.0705592523096349E-10</v>
      </c>
      <c r="AL1254">
        <v>0</v>
      </c>
    </row>
    <row r="1255" spans="2:38">
      <c r="B1255">
        <v>1.4010507880910589E-2</v>
      </c>
      <c r="C1255">
        <v>17.09</v>
      </c>
      <c r="D1255">
        <v>17.079999999999998</v>
      </c>
      <c r="E1255">
        <v>5.8530875036590948E-4</v>
      </c>
      <c r="F1255">
        <v>259983</v>
      </c>
      <c r="G1255">
        <v>2223000000</v>
      </c>
      <c r="H1255">
        <v>4443109.47</v>
      </c>
      <c r="I1255">
        <v>2223000000</v>
      </c>
      <c r="J1255">
        <v>1.1695141700404859E-4</v>
      </c>
      <c r="K1255">
        <v>78897.73</v>
      </c>
      <c r="L1255">
        <v>0.1741</v>
      </c>
      <c r="M1255">
        <v>73305590000</v>
      </c>
      <c r="N1255">
        <v>859150000</v>
      </c>
      <c r="O1255">
        <v>1024319999.9999999</v>
      </c>
      <c r="P1255">
        <v>1041260000</v>
      </c>
      <c r="Q1255">
        <v>0</v>
      </c>
      <c r="R1255">
        <v>1.0585190047606063E-9</v>
      </c>
      <c r="S1255">
        <v>0</v>
      </c>
      <c r="U1255">
        <v>1.4254725751471983E-2</v>
      </c>
      <c r="V1255">
        <v>16.2</v>
      </c>
      <c r="W1255">
        <v>16.010000000000002</v>
      </c>
      <c r="X1255">
        <f t="shared" si="21"/>
        <v>1.1797578391803646E-2</v>
      </c>
      <c r="Y1255">
        <v>364628</v>
      </c>
      <c r="Z1255">
        <v>2223000000</v>
      </c>
      <c r="AA1255">
        <v>5877803.3600000003</v>
      </c>
      <c r="AB1255">
        <v>2223000000</v>
      </c>
      <c r="AC1255">
        <v>1.6402519118308593E-4</v>
      </c>
      <c r="AD1255">
        <v>77886.990000000005</v>
      </c>
      <c r="AE1255">
        <v>0.19489999999999999</v>
      </c>
      <c r="AF1255">
        <v>73305590000</v>
      </c>
      <c r="AG1255">
        <v>859150000</v>
      </c>
      <c r="AH1255">
        <v>1024319999.9999999</v>
      </c>
      <c r="AI1255">
        <v>1041260000</v>
      </c>
      <c r="AJ1255">
        <v>0</v>
      </c>
      <c r="AK1255">
        <v>0</v>
      </c>
      <c r="AL1255">
        <v>0</v>
      </c>
    </row>
    <row r="1256" spans="2:38">
      <c r="B1256">
        <v>1.2895662368112683E-2</v>
      </c>
      <c r="C1256">
        <v>16.98</v>
      </c>
      <c r="D1256">
        <v>16.97</v>
      </c>
      <c r="E1256">
        <v>5.891016200295471E-4</v>
      </c>
      <c r="F1256">
        <v>438302</v>
      </c>
      <c r="G1256">
        <v>2223000000</v>
      </c>
      <c r="H1256">
        <v>7455517.0200000005</v>
      </c>
      <c r="I1256">
        <v>2223000000</v>
      </c>
      <c r="J1256">
        <v>1.9716689158794421E-4</v>
      </c>
      <c r="K1256">
        <v>78863.34</v>
      </c>
      <c r="L1256">
        <v>0.1741</v>
      </c>
      <c r="M1256">
        <v>73305590000</v>
      </c>
      <c r="N1256">
        <v>859150000</v>
      </c>
      <c r="O1256">
        <v>1024319999.9999999</v>
      </c>
      <c r="P1256">
        <v>1041260000</v>
      </c>
      <c r="Q1256">
        <v>0</v>
      </c>
      <c r="R1256">
        <v>7.8392086608619934E-10</v>
      </c>
      <c r="S1256">
        <v>0</v>
      </c>
      <c r="U1256">
        <v>1.8575851393188899E-2</v>
      </c>
      <c r="V1256">
        <v>16.079999999999998</v>
      </c>
      <c r="W1256">
        <v>16.059999999999999</v>
      </c>
      <c r="X1256">
        <f t="shared" si="21"/>
        <v>1.2445550715618901E-3</v>
      </c>
      <c r="Y1256">
        <v>350849</v>
      </c>
      <c r="Z1256">
        <v>2223000000</v>
      </c>
      <c r="AA1256">
        <v>5655685.8799999999</v>
      </c>
      <c r="AB1256">
        <v>2223000000</v>
      </c>
      <c r="AC1256">
        <v>1.5782681061628429E-4</v>
      </c>
      <c r="AD1256">
        <v>78628.81</v>
      </c>
      <c r="AE1256">
        <v>0.19489999999999999</v>
      </c>
      <c r="AF1256">
        <v>73305590000</v>
      </c>
      <c r="AG1256">
        <v>859150000</v>
      </c>
      <c r="AH1256">
        <v>1024319999.9999999</v>
      </c>
      <c r="AI1256">
        <v>1041260000</v>
      </c>
      <c r="AJ1256">
        <v>0</v>
      </c>
      <c r="AK1256">
        <v>6.6057240741949449E-10</v>
      </c>
      <c r="AL1256">
        <v>0</v>
      </c>
    </row>
    <row r="1257" spans="2:38">
      <c r="B1257">
        <v>8.1967213114752368E-3</v>
      </c>
      <c r="C1257">
        <v>17.12</v>
      </c>
      <c r="D1257">
        <v>17.100000000000001</v>
      </c>
      <c r="E1257">
        <v>1.1689070718877601E-3</v>
      </c>
      <c r="F1257">
        <v>236265</v>
      </c>
      <c r="G1257">
        <v>2223000000</v>
      </c>
      <c r="H1257">
        <v>4042494.15</v>
      </c>
      <c r="I1257">
        <v>2223000000</v>
      </c>
      <c r="J1257">
        <v>1.0628205128205129E-4</v>
      </c>
      <c r="K1257">
        <v>78848.009999999995</v>
      </c>
      <c r="L1257">
        <v>0.1741</v>
      </c>
      <c r="M1257">
        <v>73305590000</v>
      </c>
      <c r="N1257">
        <v>859150000</v>
      </c>
      <c r="O1257">
        <v>1024319999.9999999</v>
      </c>
      <c r="P1257">
        <v>1041260000</v>
      </c>
      <c r="Q1257">
        <v>0</v>
      </c>
      <c r="R1257">
        <v>4.3449420477961901E-10</v>
      </c>
      <c r="S1257">
        <v>0</v>
      </c>
      <c r="U1257">
        <v>1.1249999999999982E-2</v>
      </c>
      <c r="V1257">
        <v>16.07</v>
      </c>
      <c r="W1257">
        <v>16.059999999999999</v>
      </c>
      <c r="X1257">
        <f t="shared" si="21"/>
        <v>6.2247121070660221E-4</v>
      </c>
      <c r="Y1257">
        <v>443972</v>
      </c>
      <c r="Z1257">
        <v>2223000000</v>
      </c>
      <c r="AA1257">
        <v>7130190.3199999994</v>
      </c>
      <c r="AB1257">
        <v>2223000000</v>
      </c>
      <c r="AC1257">
        <v>1.997174988753936E-4</v>
      </c>
      <c r="AD1257">
        <v>78827.740000000005</v>
      </c>
      <c r="AE1257">
        <v>0.19489999999999999</v>
      </c>
      <c r="AF1257">
        <v>73305590000</v>
      </c>
      <c r="AG1257">
        <v>859150000</v>
      </c>
      <c r="AH1257">
        <v>1024319999.9999999</v>
      </c>
      <c r="AI1257">
        <v>1041260000</v>
      </c>
      <c r="AJ1257">
        <v>0</v>
      </c>
      <c r="AK1257">
        <v>1.1445280854659223E-9</v>
      </c>
      <c r="AL1257">
        <v>0</v>
      </c>
    </row>
    <row r="1258" spans="2:38">
      <c r="B1258">
        <v>1.1114360924246931E-2</v>
      </c>
      <c r="C1258">
        <v>17.079999999999998</v>
      </c>
      <c r="D1258">
        <v>17</v>
      </c>
      <c r="E1258">
        <v>4.6948356807510741E-3</v>
      </c>
      <c r="F1258">
        <v>431046</v>
      </c>
      <c r="G1258">
        <v>2223000000</v>
      </c>
      <c r="H1258">
        <v>7362265.6799999997</v>
      </c>
      <c r="I1258">
        <v>2223000000</v>
      </c>
      <c r="J1258">
        <v>1.9390283400809718E-4</v>
      </c>
      <c r="K1258">
        <v>78356.320000000007</v>
      </c>
      <c r="L1258">
        <v>0.17469999999999999</v>
      </c>
      <c r="M1258">
        <v>73305590000</v>
      </c>
      <c r="N1258">
        <v>859150000</v>
      </c>
      <c r="O1258">
        <v>1024319999.9999999</v>
      </c>
      <c r="P1258">
        <v>1041260000</v>
      </c>
      <c r="Q1258">
        <v>0</v>
      </c>
      <c r="R1258">
        <v>2.3815503053561958E-10</v>
      </c>
      <c r="S1258">
        <v>0</v>
      </c>
      <c r="U1258">
        <v>4.3138480775242231E-2</v>
      </c>
      <c r="V1258">
        <v>15.95</v>
      </c>
      <c r="W1258">
        <v>15.76</v>
      </c>
      <c r="X1258">
        <f t="shared" si="21"/>
        <v>1.1983601387574866E-2</v>
      </c>
      <c r="Y1258">
        <v>605100</v>
      </c>
      <c r="Z1258">
        <v>2223000000</v>
      </c>
      <c r="AA1258">
        <v>9639243</v>
      </c>
      <c r="AB1258">
        <v>2223000000</v>
      </c>
      <c r="AC1258">
        <v>2.7219973009446691E-4</v>
      </c>
      <c r="AD1258">
        <v>78029.509999999995</v>
      </c>
      <c r="AE1258">
        <v>0.19489999999999999</v>
      </c>
      <c r="AF1258">
        <v>73305590000</v>
      </c>
      <c r="AG1258">
        <v>859150000</v>
      </c>
      <c r="AH1258">
        <v>1024319999.9999999</v>
      </c>
      <c r="AI1258">
        <v>1041260000</v>
      </c>
      <c r="AJ1258">
        <v>0</v>
      </c>
      <c r="AK1258">
        <v>2.0429309326788119E-9</v>
      </c>
      <c r="AL1258">
        <v>0</v>
      </c>
    </row>
    <row r="1259" spans="2:38">
      <c r="B1259">
        <v>1.1695906432748496E-2</v>
      </c>
      <c r="C1259">
        <v>17.18</v>
      </c>
      <c r="D1259">
        <v>17.149999999999999</v>
      </c>
      <c r="E1259">
        <v>1.7477424992718403E-3</v>
      </c>
      <c r="F1259">
        <v>207115</v>
      </c>
      <c r="G1259">
        <v>2223000000</v>
      </c>
      <c r="H1259">
        <v>3543737.65</v>
      </c>
      <c r="I1259">
        <v>2223000000</v>
      </c>
      <c r="J1259">
        <v>9.3169140800719745E-5</v>
      </c>
      <c r="K1259">
        <v>78283.3</v>
      </c>
      <c r="L1259">
        <v>0.17469999999999999</v>
      </c>
      <c r="M1259">
        <v>73305590000</v>
      </c>
      <c r="N1259">
        <v>859150000</v>
      </c>
      <c r="O1259">
        <v>1024319999.9999999</v>
      </c>
      <c r="P1259">
        <v>1041260000</v>
      </c>
      <c r="Q1259">
        <v>0</v>
      </c>
      <c r="R1259">
        <v>1.3132655370846048E-9</v>
      </c>
      <c r="S1259">
        <v>0</v>
      </c>
      <c r="U1259">
        <v>2.1505376344085891E-2</v>
      </c>
      <c r="V1259">
        <v>16.28</v>
      </c>
      <c r="W1259">
        <v>16.23</v>
      </c>
      <c r="X1259">
        <f t="shared" si="21"/>
        <v>3.0759766225777118E-3</v>
      </c>
      <c r="Y1259">
        <v>256450</v>
      </c>
      <c r="Z1259">
        <v>2223000000</v>
      </c>
      <c r="AA1259">
        <v>4167312.5</v>
      </c>
      <c r="AB1259">
        <v>2223000000</v>
      </c>
      <c r="AC1259">
        <v>1.1536212325686009E-4</v>
      </c>
      <c r="AD1259">
        <v>78469.33</v>
      </c>
      <c r="AE1259">
        <v>0.19489999999999999</v>
      </c>
      <c r="AF1259">
        <v>73305590000</v>
      </c>
      <c r="AG1259">
        <v>859150000</v>
      </c>
      <c r="AH1259">
        <v>1024319999.9999999</v>
      </c>
      <c r="AI1259">
        <v>1041260000</v>
      </c>
      <c r="AJ1259">
        <v>0</v>
      </c>
      <c r="AK1259">
        <v>4.4920573542984712E-9</v>
      </c>
      <c r="AL1259">
        <v>0</v>
      </c>
    </row>
    <row r="1260" spans="2:38">
      <c r="B1260">
        <v>3.1204003532528769E-2</v>
      </c>
      <c r="C1260">
        <v>17.2</v>
      </c>
      <c r="D1260">
        <v>17.14</v>
      </c>
      <c r="E1260">
        <v>3.4944670937681254E-3</v>
      </c>
      <c r="F1260">
        <v>694975</v>
      </c>
      <c r="G1260">
        <v>2223000000</v>
      </c>
      <c r="H1260">
        <v>11946620.25</v>
      </c>
      <c r="I1260">
        <v>2223000000</v>
      </c>
      <c r="J1260">
        <v>3.1262932973459291E-4</v>
      </c>
      <c r="K1260">
        <v>78488.22</v>
      </c>
      <c r="L1260">
        <v>0.17469999999999999</v>
      </c>
      <c r="M1260">
        <v>73305590000</v>
      </c>
      <c r="N1260">
        <v>859150000</v>
      </c>
      <c r="O1260">
        <v>1024319999.9999999</v>
      </c>
      <c r="P1260">
        <v>1041260000</v>
      </c>
      <c r="Q1260">
        <v>0</v>
      </c>
      <c r="R1260">
        <v>2.0963856048861541E-9</v>
      </c>
      <c r="S1260">
        <v>0</v>
      </c>
      <c r="U1260">
        <v>1.8782187215995071E-2</v>
      </c>
      <c r="V1260">
        <v>16.63</v>
      </c>
      <c r="W1260">
        <v>16.57</v>
      </c>
      <c r="X1260">
        <f t="shared" si="21"/>
        <v>3.6144578313252237E-3</v>
      </c>
      <c r="Y1260">
        <v>269266</v>
      </c>
      <c r="Z1260">
        <v>2223000000</v>
      </c>
      <c r="AA1260">
        <v>4459044.96</v>
      </c>
      <c r="AB1260">
        <v>2223000000</v>
      </c>
      <c r="AC1260">
        <v>1.2112730544309491E-4</v>
      </c>
      <c r="AD1260">
        <v>79397.009999999995</v>
      </c>
      <c r="AE1260">
        <v>0.19489999999999999</v>
      </c>
      <c r="AF1260">
        <v>73305590000</v>
      </c>
      <c r="AG1260">
        <v>859150000</v>
      </c>
      <c r="AH1260">
        <v>1024319999.9999999</v>
      </c>
      <c r="AI1260">
        <v>1041260000</v>
      </c>
      <c r="AJ1260">
        <v>0</v>
      </c>
      <c r="AK1260">
        <v>4.0701137776097472E-10</v>
      </c>
      <c r="AL1260">
        <v>0</v>
      </c>
    </row>
    <row r="1261" spans="2:38">
      <c r="B1261">
        <v>1.3181545835829984E-2</v>
      </c>
      <c r="C1261">
        <v>16.8</v>
      </c>
      <c r="D1261">
        <v>16.71</v>
      </c>
      <c r="E1261">
        <v>5.3715308863025871E-3</v>
      </c>
      <c r="F1261">
        <v>307350</v>
      </c>
      <c r="G1261">
        <v>2223000000</v>
      </c>
      <c r="H1261">
        <v>5154259.5</v>
      </c>
      <c r="I1261">
        <v>2223000000</v>
      </c>
      <c r="J1261">
        <v>1.382591093117409E-4</v>
      </c>
      <c r="K1261">
        <v>78349.66</v>
      </c>
      <c r="L1261">
        <v>0.17469999999999999</v>
      </c>
      <c r="M1261">
        <v>73305590000</v>
      </c>
      <c r="N1261">
        <v>859150000</v>
      </c>
      <c r="O1261">
        <v>1024319999.9999999</v>
      </c>
      <c r="P1261">
        <v>1041260000</v>
      </c>
      <c r="Q1261">
        <v>0</v>
      </c>
      <c r="R1261">
        <v>1.5157366446140208E-9</v>
      </c>
      <c r="S1261">
        <v>0</v>
      </c>
      <c r="U1261">
        <v>1.33819951338201E-2</v>
      </c>
      <c r="V1261">
        <v>16.54</v>
      </c>
      <c r="W1261">
        <v>16.53</v>
      </c>
      <c r="X1261">
        <v>6.0477774417889388E-4</v>
      </c>
      <c r="Y1261">
        <v>225169</v>
      </c>
      <c r="Z1261">
        <v>2223000000</v>
      </c>
      <c r="AA1261">
        <v>3722043.5700000003</v>
      </c>
      <c r="AB1261">
        <v>2223000000</v>
      </c>
      <c r="AC1261">
        <v>1.0129059829059828E-4</v>
      </c>
      <c r="AD1261">
        <v>78987.09</v>
      </c>
      <c r="AE1261">
        <v>0.19489999999999999</v>
      </c>
      <c r="AF1261">
        <v>73305590000</v>
      </c>
      <c r="AG1261">
        <v>859150000</v>
      </c>
      <c r="AH1261">
        <v>1024319999.9999999</v>
      </c>
      <c r="AI1261">
        <v>1041260000</v>
      </c>
      <c r="AJ1261">
        <v>0</v>
      </c>
      <c r="AK1261">
        <v>3.2905035090835102E-9</v>
      </c>
      <c r="AL1261">
        <v>0</v>
      </c>
    </row>
    <row r="1262" spans="2:38">
      <c r="B1262">
        <v>1.2654413980114545E-2</v>
      </c>
      <c r="C1262">
        <v>16.649999999999999</v>
      </c>
      <c r="D1262">
        <v>16.64</v>
      </c>
      <c r="E1262">
        <v>6.0078101531979642E-4</v>
      </c>
      <c r="F1262">
        <v>192129</v>
      </c>
      <c r="G1262">
        <v>2223000000</v>
      </c>
      <c r="H1262">
        <v>3197026.56</v>
      </c>
      <c r="I1262">
        <v>2223000000</v>
      </c>
      <c r="J1262">
        <v>8.6427800269905537E-5</v>
      </c>
      <c r="K1262">
        <v>77992.789999999994</v>
      </c>
      <c r="L1262">
        <v>0.17469999999999999</v>
      </c>
      <c r="M1262">
        <v>73305590000</v>
      </c>
      <c r="N1262">
        <v>859150000</v>
      </c>
      <c r="O1262">
        <v>1024319999.9999999</v>
      </c>
      <c r="P1262">
        <v>1041260000</v>
      </c>
      <c r="Q1262">
        <v>0</v>
      </c>
      <c r="R1262">
        <v>1.8808818103875258E-10</v>
      </c>
      <c r="S1262">
        <v>0</v>
      </c>
      <c r="U1262">
        <v>1.2232415902140628E-2</v>
      </c>
      <c r="V1262">
        <v>16.350000000000001</v>
      </c>
      <c r="W1262">
        <v>16.329999999999998</v>
      </c>
      <c r="X1262">
        <v>1.2239902080785267E-3</v>
      </c>
      <c r="Y1262">
        <v>262747</v>
      </c>
      <c r="Z1262">
        <v>2223000000</v>
      </c>
      <c r="AA1262">
        <v>4290658.51</v>
      </c>
      <c r="AB1262">
        <v>2223000000</v>
      </c>
      <c r="AC1262">
        <v>1.1819478182636077E-4</v>
      </c>
      <c r="AD1262">
        <v>78539.19</v>
      </c>
      <c r="AE1262">
        <v>0.19489999999999999</v>
      </c>
      <c r="AF1262">
        <v>73305590000</v>
      </c>
      <c r="AG1262">
        <v>859150000</v>
      </c>
      <c r="AH1262">
        <v>1024319999.9999999</v>
      </c>
      <c r="AI1262">
        <v>1041260000</v>
      </c>
      <c r="AJ1262">
        <v>0</v>
      </c>
      <c r="AK1262">
        <v>0</v>
      </c>
      <c r="AL1262">
        <v>0</v>
      </c>
    </row>
    <row r="1263" spans="2:38">
      <c r="B1263">
        <v>9.0497737556560227E-3</v>
      </c>
      <c r="C1263">
        <v>16.600000000000001</v>
      </c>
      <c r="D1263">
        <v>16.55</v>
      </c>
      <c r="E1263">
        <v>3.0165912518854117E-3</v>
      </c>
      <c r="F1263">
        <v>117767</v>
      </c>
      <c r="G1263">
        <v>2223000000</v>
      </c>
      <c r="H1263">
        <v>1958465.21</v>
      </c>
      <c r="I1263">
        <v>2223000000</v>
      </c>
      <c r="J1263">
        <v>5.29766081871345E-5</v>
      </c>
      <c r="K1263">
        <v>78084.240000000005</v>
      </c>
      <c r="L1263">
        <v>0.17469999999999999</v>
      </c>
      <c r="M1263">
        <v>73305590000</v>
      </c>
      <c r="N1263">
        <v>859150000</v>
      </c>
      <c r="O1263">
        <v>1024319999.9999999</v>
      </c>
      <c r="P1263">
        <v>1041260000</v>
      </c>
      <c r="Q1263">
        <v>0</v>
      </c>
      <c r="R1263">
        <v>2.4681760152410055E-9</v>
      </c>
      <c r="S1263">
        <v>0</v>
      </c>
      <c r="U1263">
        <v>0</v>
      </c>
      <c r="V1263">
        <v>0</v>
      </c>
      <c r="W1263">
        <v>0</v>
      </c>
      <c r="X1263">
        <v>0</v>
      </c>
      <c r="Y1263">
        <v>0</v>
      </c>
      <c r="Z1263">
        <v>0</v>
      </c>
      <c r="AA1263">
        <v>0</v>
      </c>
      <c r="AB1263">
        <v>0</v>
      </c>
      <c r="AC1263">
        <v>0</v>
      </c>
      <c r="AD1263">
        <v>0</v>
      </c>
      <c r="AE1263">
        <v>0</v>
      </c>
      <c r="AF1263">
        <v>0</v>
      </c>
      <c r="AG1263">
        <v>0</v>
      </c>
      <c r="AH1263">
        <v>0</v>
      </c>
      <c r="AI1263">
        <v>0</v>
      </c>
      <c r="AJ1263">
        <v>0</v>
      </c>
      <c r="AK1263">
        <v>0</v>
      </c>
      <c r="AL1263">
        <v>0</v>
      </c>
    </row>
    <row r="1264" spans="2:38">
      <c r="B1264">
        <v>1.3851249623607375E-2</v>
      </c>
      <c r="C1264">
        <v>16.63</v>
      </c>
      <c r="D1264">
        <v>16.600000000000001</v>
      </c>
      <c r="E1264">
        <v>1.8055973517904051E-3</v>
      </c>
      <c r="F1264">
        <v>236582</v>
      </c>
      <c r="G1264">
        <v>2223000000</v>
      </c>
      <c r="H1264">
        <v>3915432.1</v>
      </c>
      <c r="I1264">
        <v>2223000000</v>
      </c>
      <c r="J1264">
        <v>1.0642465137201979E-4</v>
      </c>
      <c r="K1264">
        <v>78571.06</v>
      </c>
      <c r="L1264">
        <v>0.17469999999999999</v>
      </c>
      <c r="M1264">
        <v>73305590000</v>
      </c>
      <c r="N1264">
        <v>859150000</v>
      </c>
      <c r="O1264">
        <v>1024319999.9999999</v>
      </c>
      <c r="P1264">
        <v>1041260000</v>
      </c>
      <c r="Q1264">
        <v>0</v>
      </c>
      <c r="R1264">
        <v>1.2286213016496925E-9</v>
      </c>
      <c r="S1264">
        <v>0</v>
      </c>
    </row>
    <row r="1265" spans="2:19">
      <c r="B1265">
        <v>8.4490042245021456E-3</v>
      </c>
      <c r="C1265">
        <v>16.63</v>
      </c>
      <c r="D1265">
        <v>16.62</v>
      </c>
      <c r="E1265">
        <v>6.0150375939837662E-4</v>
      </c>
      <c r="F1265">
        <v>118710</v>
      </c>
      <c r="G1265">
        <v>2223000000</v>
      </c>
      <c r="H1265">
        <v>1974147.2999999998</v>
      </c>
      <c r="I1265">
        <v>2223000000</v>
      </c>
      <c r="J1265">
        <v>5.3400809716599187E-5</v>
      </c>
      <c r="K1265">
        <v>78801.429999999993</v>
      </c>
      <c r="L1265">
        <v>0.17469999999999999</v>
      </c>
      <c r="M1265">
        <v>73305590000</v>
      </c>
      <c r="N1265">
        <v>859150000</v>
      </c>
      <c r="O1265">
        <v>1024319999.9999999</v>
      </c>
      <c r="P1265">
        <v>1041260000</v>
      </c>
      <c r="Q1265">
        <v>0</v>
      </c>
      <c r="R1265">
        <v>2.4485694952985219E-9</v>
      </c>
      <c r="S1265">
        <v>0</v>
      </c>
    </row>
    <row r="1266" spans="2:19">
      <c r="B1266">
        <v>7.8716318498334246E-3</v>
      </c>
      <c r="C1266">
        <v>16.579999999999998</v>
      </c>
      <c r="D1266">
        <v>16.55</v>
      </c>
      <c r="E1266">
        <v>1.8110473890732019E-3</v>
      </c>
      <c r="F1266">
        <v>187201</v>
      </c>
      <c r="G1266">
        <v>2223000000</v>
      </c>
      <c r="H1266">
        <v>3098176.5500000003</v>
      </c>
      <c r="I1266">
        <v>2223000000</v>
      </c>
      <c r="J1266">
        <v>8.4210976158344581E-5</v>
      </c>
      <c r="K1266">
        <v>78793.41</v>
      </c>
      <c r="L1266">
        <v>0.17469999999999999</v>
      </c>
      <c r="M1266">
        <v>73305590000</v>
      </c>
      <c r="N1266">
        <v>859150000</v>
      </c>
      <c r="O1266">
        <v>1024319999.9999999</v>
      </c>
      <c r="P1266">
        <v>1041260000</v>
      </c>
      <c r="Q1266">
        <v>0</v>
      </c>
      <c r="R1266">
        <v>1.9621307106023982E-9</v>
      </c>
      <c r="S1266">
        <v>0</v>
      </c>
    </row>
    <row r="1267" spans="2:19">
      <c r="B1267">
        <v>1.1553663727576633E-2</v>
      </c>
      <c r="C1267">
        <v>16.48</v>
      </c>
      <c r="D1267">
        <v>16.46</v>
      </c>
      <c r="E1267">
        <v>1.2143290831815165E-3</v>
      </c>
      <c r="F1267">
        <v>122555</v>
      </c>
      <c r="G1267">
        <v>2223000000</v>
      </c>
      <c r="H1267">
        <v>2016029.75</v>
      </c>
      <c r="I1267">
        <v>2223000000</v>
      </c>
      <c r="J1267">
        <v>5.5130454340980659E-5</v>
      </c>
      <c r="K1267">
        <v>78260.86</v>
      </c>
      <c r="L1267">
        <v>0.17469999999999999</v>
      </c>
      <c r="M1267">
        <v>73305590000</v>
      </c>
      <c r="N1267">
        <v>859150000</v>
      </c>
      <c r="O1267">
        <v>1024319999.9999999</v>
      </c>
      <c r="P1267">
        <v>1041260000</v>
      </c>
      <c r="Q1267">
        <v>0</v>
      </c>
      <c r="R1267">
        <v>1.8158307244423472E-9</v>
      </c>
      <c r="S1267">
        <v>0</v>
      </c>
    </row>
    <row r="1268" spans="2:19">
      <c r="B1268">
        <v>1.5174506828528072E-2</v>
      </c>
      <c r="C1268">
        <v>16.41</v>
      </c>
      <c r="D1268">
        <v>16.36</v>
      </c>
      <c r="E1268">
        <v>3.0515715593531106E-3</v>
      </c>
      <c r="F1268">
        <v>364290</v>
      </c>
      <c r="G1268">
        <v>2223000000</v>
      </c>
      <c r="H1268">
        <v>5970713.1000000006</v>
      </c>
      <c r="I1268">
        <v>2223000000</v>
      </c>
      <c r="J1268">
        <v>1.638731443994602E-4</v>
      </c>
      <c r="K1268">
        <v>77745.52</v>
      </c>
      <c r="L1268">
        <v>0.189</v>
      </c>
      <c r="M1268">
        <v>73305590000</v>
      </c>
      <c r="N1268">
        <v>859150000</v>
      </c>
      <c r="O1268">
        <v>1024319999.9999999</v>
      </c>
      <c r="P1268">
        <v>1041260000</v>
      </c>
      <c r="Q1268">
        <v>0</v>
      </c>
      <c r="R1268">
        <v>1.317974798466378E-9</v>
      </c>
      <c r="S1268">
        <v>0</v>
      </c>
    </row>
    <row r="1269" spans="2:19">
      <c r="B1269">
        <v>8.5054678007290743E-3</v>
      </c>
      <c r="C1269">
        <v>16.52</v>
      </c>
      <c r="D1269">
        <v>16.5</v>
      </c>
      <c r="E1269">
        <v>1.2113870381586661E-3</v>
      </c>
      <c r="F1269">
        <v>193908</v>
      </c>
      <c r="G1269">
        <v>2223000000</v>
      </c>
      <c r="H1269">
        <v>3203360.16</v>
      </c>
      <c r="I1269">
        <v>2223000000</v>
      </c>
      <c r="J1269">
        <v>8.7228070175438593E-5</v>
      </c>
      <c r="K1269">
        <v>77830.34</v>
      </c>
      <c r="L1269">
        <v>0.189</v>
      </c>
      <c r="M1269">
        <v>73305590000</v>
      </c>
      <c r="N1269">
        <v>859150000</v>
      </c>
      <c r="O1269">
        <v>1024319999.9999999</v>
      </c>
      <c r="P1269">
        <v>1041260000</v>
      </c>
      <c r="Q1269">
        <v>0</v>
      </c>
      <c r="R1269">
        <v>5.6793002470159824E-10</v>
      </c>
      <c r="S1269">
        <v>0</v>
      </c>
    </row>
    <row r="1270" spans="2:19">
      <c r="B1270">
        <v>8.4951456310679956E-3</v>
      </c>
      <c r="C1270">
        <v>16.5</v>
      </c>
      <c r="D1270">
        <v>16.47</v>
      </c>
      <c r="E1270">
        <v>1.8198362147407424E-3</v>
      </c>
      <c r="F1270">
        <v>102242</v>
      </c>
      <c r="G1270">
        <v>2223000000</v>
      </c>
      <c r="H1270">
        <v>1685970.5799999998</v>
      </c>
      <c r="I1270">
        <v>2223000000</v>
      </c>
      <c r="J1270">
        <v>4.5992802519118307E-5</v>
      </c>
      <c r="K1270">
        <v>78045.31</v>
      </c>
      <c r="L1270">
        <v>0.189</v>
      </c>
      <c r="M1270">
        <v>73305590000</v>
      </c>
      <c r="N1270">
        <v>859150000</v>
      </c>
      <c r="O1270">
        <v>1024319999.9999999</v>
      </c>
      <c r="P1270">
        <v>1041260000</v>
      </c>
      <c r="Q1270">
        <v>0</v>
      </c>
      <c r="R1270">
        <v>1.4422617874205068E-9</v>
      </c>
      <c r="S1270">
        <v>0</v>
      </c>
    </row>
    <row r="1271" spans="2:19">
      <c r="B1271">
        <v>1.3969025204980071E-2</v>
      </c>
      <c r="C1271">
        <v>16.440000000000001</v>
      </c>
      <c r="D1271">
        <v>16.38</v>
      </c>
      <c r="E1271">
        <v>3.6563071297990414E-3</v>
      </c>
      <c r="F1271">
        <v>330078</v>
      </c>
      <c r="G1271">
        <v>2223000000</v>
      </c>
      <c r="H1271">
        <v>5429783.0999999996</v>
      </c>
      <c r="I1271">
        <v>2223000000</v>
      </c>
      <c r="J1271">
        <v>1.4848313090418352E-4</v>
      </c>
      <c r="K1271">
        <v>78105.98</v>
      </c>
      <c r="L1271">
        <v>0.189</v>
      </c>
      <c r="M1271">
        <v>73305590000</v>
      </c>
      <c r="N1271">
        <v>859150000</v>
      </c>
      <c r="O1271">
        <v>1024319999.9999999</v>
      </c>
      <c r="P1271">
        <v>1041260000</v>
      </c>
      <c r="Q1271">
        <v>0</v>
      </c>
      <c r="R1271">
        <v>3.3525986507907325E-10</v>
      </c>
      <c r="S1271">
        <v>0</v>
      </c>
    </row>
    <row r="1272" spans="2:19">
      <c r="B1272">
        <v>1.9417475728155355E-2</v>
      </c>
      <c r="C1272">
        <v>16.48</v>
      </c>
      <c r="D1272">
        <v>16.45</v>
      </c>
      <c r="E1272">
        <v>1.8220467658670596E-3</v>
      </c>
      <c r="F1272">
        <v>482641</v>
      </c>
      <c r="G1272">
        <v>2223000000</v>
      </c>
      <c r="H1272">
        <v>7953923.6800000006</v>
      </c>
      <c r="I1272">
        <v>2223000000</v>
      </c>
      <c r="J1272">
        <v>2.1711246063877644E-4</v>
      </c>
      <c r="K1272">
        <v>77877.42</v>
      </c>
      <c r="L1272">
        <v>0.189</v>
      </c>
      <c r="M1272">
        <v>73305590000</v>
      </c>
      <c r="N1272">
        <v>859150000</v>
      </c>
      <c r="O1272">
        <v>1024319999.9999999</v>
      </c>
      <c r="P1272">
        <v>1041260000</v>
      </c>
      <c r="Q1272">
        <v>0</v>
      </c>
      <c r="R1272">
        <v>3.0441673863951596E-10</v>
      </c>
      <c r="S1272">
        <v>0</v>
      </c>
    </row>
    <row r="1273" spans="2:19">
      <c r="B1273">
        <v>2.1244309559939171E-2</v>
      </c>
      <c r="C1273">
        <v>16.57</v>
      </c>
      <c r="D1273">
        <v>16.43</v>
      </c>
      <c r="E1273">
        <v>8.4848484848485187E-3</v>
      </c>
      <c r="F1273">
        <v>951131</v>
      </c>
      <c r="G1273">
        <v>2223000000</v>
      </c>
      <c r="H1273">
        <v>15712684.119999999</v>
      </c>
      <c r="I1273">
        <v>2223000000</v>
      </c>
      <c r="J1273">
        <v>4.2785919928025191E-4</v>
      </c>
      <c r="K1273">
        <v>77980.289999999994</v>
      </c>
      <c r="L1273">
        <v>0.189</v>
      </c>
      <c r="M1273">
        <v>73305590000</v>
      </c>
      <c r="N1273">
        <v>859150000</v>
      </c>
      <c r="O1273">
        <v>1024319999.9999999</v>
      </c>
      <c r="P1273">
        <v>1041260000</v>
      </c>
      <c r="Q1273">
        <v>0</v>
      </c>
      <c r="R1273">
        <v>7.7993688838850472E-10</v>
      </c>
      <c r="S1273">
        <v>0</v>
      </c>
    </row>
    <row r="1274" spans="2:19">
      <c r="B1274">
        <v>1.8461538461538286E-2</v>
      </c>
      <c r="C1274">
        <v>16.37</v>
      </c>
      <c r="D1274">
        <v>16.3</v>
      </c>
      <c r="E1274">
        <v>4.2852770125497569E-3</v>
      </c>
      <c r="F1274">
        <v>656780</v>
      </c>
      <c r="G1274">
        <v>2223000000</v>
      </c>
      <c r="H1274">
        <v>10718649.6</v>
      </c>
      <c r="I1274">
        <v>2223000000</v>
      </c>
      <c r="J1274">
        <v>2.9544759334233019E-4</v>
      </c>
      <c r="K1274">
        <v>78569.59</v>
      </c>
      <c r="L1274">
        <v>0.189</v>
      </c>
      <c r="M1274">
        <v>73305590000</v>
      </c>
      <c r="N1274">
        <v>859150000</v>
      </c>
      <c r="O1274">
        <v>1024319999.9999999</v>
      </c>
      <c r="P1274">
        <v>1041260000</v>
      </c>
      <c r="Q1274">
        <v>0</v>
      </c>
      <c r="R1274">
        <v>0</v>
      </c>
      <c r="S1274">
        <v>0</v>
      </c>
    </row>
    <row r="1275" spans="2:19">
      <c r="B1275">
        <v>1.0388023220287083E-2</v>
      </c>
      <c r="C1275">
        <v>16.38</v>
      </c>
      <c r="D1275">
        <v>16.34</v>
      </c>
      <c r="E1275">
        <v>2.4449877750610726E-3</v>
      </c>
      <c r="F1275">
        <v>152392</v>
      </c>
      <c r="G1275">
        <v>2223000000</v>
      </c>
      <c r="H1275">
        <v>2487037.44</v>
      </c>
      <c r="I1275">
        <v>2223000000</v>
      </c>
      <c r="J1275">
        <v>6.8552406657669822E-5</v>
      </c>
      <c r="K1275">
        <v>77874.22</v>
      </c>
      <c r="L1275">
        <v>0.189</v>
      </c>
      <c r="M1275">
        <v>73305590000</v>
      </c>
      <c r="N1275">
        <v>859150000</v>
      </c>
      <c r="O1275">
        <v>1024319999.9999999</v>
      </c>
      <c r="P1275">
        <v>1041260000</v>
      </c>
      <c r="Q1275">
        <v>0</v>
      </c>
      <c r="R1275">
        <v>3.9037361110565659E-9</v>
      </c>
      <c r="S1275">
        <v>0</v>
      </c>
    </row>
    <row r="1276" spans="2:19">
      <c r="B1276">
        <v>3.0750307503075027E-2</v>
      </c>
      <c r="C1276">
        <v>16.45</v>
      </c>
      <c r="D1276">
        <v>16.25</v>
      </c>
      <c r="E1276">
        <v>1.2232415902140628E-2</v>
      </c>
      <c r="F1276">
        <v>724014</v>
      </c>
      <c r="G1276">
        <v>2223000000</v>
      </c>
      <c r="H1276">
        <v>11931750.720000001</v>
      </c>
      <c r="I1276">
        <v>2223000000</v>
      </c>
      <c r="J1276">
        <v>3.2569230769230771E-4</v>
      </c>
      <c r="K1276">
        <v>77114.490000000005</v>
      </c>
      <c r="L1276">
        <v>0.189</v>
      </c>
      <c r="M1276">
        <v>73305590000</v>
      </c>
      <c r="N1276">
        <v>859150000</v>
      </c>
      <c r="O1276">
        <v>1024319999.9999999</v>
      </c>
      <c r="P1276">
        <v>1041260000</v>
      </c>
      <c r="Q1276">
        <v>0</v>
      </c>
      <c r="R1276">
        <v>2.1917932141914048E-9</v>
      </c>
      <c r="S1276">
        <v>0</v>
      </c>
    </row>
    <row r="1277" spans="2:19">
      <c r="B1277">
        <v>1.5552099533437015E-2</v>
      </c>
      <c r="C1277">
        <v>16.14</v>
      </c>
      <c r="D1277">
        <v>16.05</v>
      </c>
      <c r="E1277">
        <v>5.5917986952469627E-3</v>
      </c>
      <c r="F1277">
        <v>118754</v>
      </c>
      <c r="G1277">
        <v>2223000000</v>
      </c>
      <c r="H1277">
        <v>1907189.2399999998</v>
      </c>
      <c r="I1277">
        <v>2223000000</v>
      </c>
      <c r="J1277">
        <v>5.3420602789023842E-5</v>
      </c>
      <c r="K1277">
        <v>77191.34</v>
      </c>
      <c r="L1277">
        <v>0.19489999999999999</v>
      </c>
      <c r="M1277">
        <v>73305590000</v>
      </c>
      <c r="N1277">
        <v>859150000</v>
      </c>
      <c r="O1277">
        <v>1024319999.9999999</v>
      </c>
      <c r="P1277">
        <v>1041260000</v>
      </c>
      <c r="Q1277">
        <v>0</v>
      </c>
      <c r="R1277">
        <v>0</v>
      </c>
      <c r="S1277">
        <v>0</v>
      </c>
    </row>
    <row r="1278" spans="2:19">
      <c r="B1278">
        <v>2.051600870376127E-2</v>
      </c>
      <c r="C1278">
        <v>16.149999999999999</v>
      </c>
      <c r="D1278">
        <v>16</v>
      </c>
      <c r="E1278">
        <v>9.3312597200621208E-3</v>
      </c>
      <c r="F1278">
        <v>576245</v>
      </c>
      <c r="G1278">
        <v>2223000000</v>
      </c>
      <c r="H1278">
        <v>9254494.6999999993</v>
      </c>
      <c r="I1278">
        <v>2223000000</v>
      </c>
      <c r="J1278">
        <v>2.5921952316689158E-4</v>
      </c>
      <c r="K1278">
        <v>77084.490000000005</v>
      </c>
      <c r="L1278">
        <v>0.19489999999999999</v>
      </c>
      <c r="M1278">
        <v>73305590000</v>
      </c>
      <c r="N1278">
        <v>859150000</v>
      </c>
      <c r="O1278">
        <v>1024319999.9999999</v>
      </c>
      <c r="P1278">
        <v>1041260000</v>
      </c>
      <c r="Q1278">
        <v>0</v>
      </c>
      <c r="R1278">
        <v>1.4602108436578027E-9</v>
      </c>
      <c r="S1278">
        <v>0</v>
      </c>
    </row>
    <row r="1279" spans="2:19">
      <c r="B1279">
        <v>2.0833333333333325E-2</v>
      </c>
      <c r="C1279">
        <v>16.489999999999998</v>
      </c>
      <c r="D1279">
        <v>16.16</v>
      </c>
      <c r="E1279">
        <v>2.021439509954048E-2</v>
      </c>
      <c r="F1279">
        <v>228225</v>
      </c>
      <c r="G1279">
        <v>2223000000</v>
      </c>
      <c r="H1279">
        <v>3715503.0000000005</v>
      </c>
      <c r="I1279">
        <v>2223000000</v>
      </c>
      <c r="J1279">
        <v>1.0266531713900135E-4</v>
      </c>
      <c r="K1279">
        <v>78225.98</v>
      </c>
      <c r="L1279">
        <v>0.19489999999999999</v>
      </c>
      <c r="M1279">
        <v>73305590000</v>
      </c>
      <c r="N1279">
        <v>859150000</v>
      </c>
      <c r="O1279">
        <v>1024319999.9999999</v>
      </c>
      <c r="P1279">
        <v>1041260000</v>
      </c>
      <c r="Q1279">
        <v>0</v>
      </c>
      <c r="R1279">
        <v>1.9985833881058597E-9</v>
      </c>
      <c r="S1279">
        <v>0</v>
      </c>
    </row>
    <row r="1280" spans="2:19">
      <c r="B1280">
        <v>1.4219474497681637E-2</v>
      </c>
      <c r="C1280">
        <v>16.190000000000001</v>
      </c>
      <c r="D1280">
        <v>16.149999999999999</v>
      </c>
      <c r="E1280">
        <v>2.4737167594312119E-3</v>
      </c>
      <c r="F1280">
        <v>217170</v>
      </c>
      <c r="G1280">
        <v>2223000000</v>
      </c>
      <c r="H1280">
        <v>3509467.2</v>
      </c>
      <c r="I1280">
        <v>2223000000</v>
      </c>
      <c r="J1280">
        <v>9.7692307692307694E-5</v>
      </c>
      <c r="K1280">
        <v>77740.31</v>
      </c>
      <c r="L1280">
        <v>0.19489999999999999</v>
      </c>
      <c r="M1280">
        <v>73305590000</v>
      </c>
      <c r="N1280">
        <v>859150000</v>
      </c>
      <c r="O1280">
        <v>1024319999.9999999</v>
      </c>
      <c r="P1280">
        <v>1041260000</v>
      </c>
      <c r="Q1280">
        <v>0</v>
      </c>
      <c r="R1280">
        <v>7.0705592523096349E-10</v>
      </c>
      <c r="S1280">
        <v>0</v>
      </c>
    </row>
    <row r="1281" spans="2:19">
      <c r="B1281">
        <v>1.4254725751471983E-2</v>
      </c>
      <c r="C1281">
        <v>16.2</v>
      </c>
      <c r="D1281">
        <v>16.010000000000002</v>
      </c>
      <c r="E1281">
        <v>1.1797578391803646E-2</v>
      </c>
      <c r="F1281">
        <v>364628</v>
      </c>
      <c r="G1281">
        <v>2223000000</v>
      </c>
      <c r="H1281">
        <v>5877803.3600000003</v>
      </c>
      <c r="I1281">
        <v>2223000000</v>
      </c>
      <c r="J1281">
        <v>1.6402519118308593E-4</v>
      </c>
      <c r="K1281">
        <v>77886.990000000005</v>
      </c>
      <c r="L1281">
        <v>0.19489999999999999</v>
      </c>
      <c r="M1281">
        <v>73305590000</v>
      </c>
      <c r="N1281">
        <v>859150000</v>
      </c>
      <c r="O1281">
        <v>1024319999.9999999</v>
      </c>
      <c r="P1281">
        <v>1041260000</v>
      </c>
      <c r="Q1281">
        <v>0</v>
      </c>
      <c r="R1281">
        <v>0</v>
      </c>
      <c r="S1281">
        <v>0</v>
      </c>
    </row>
    <row r="1282" spans="2:19">
      <c r="B1282">
        <v>1.8575851393188899E-2</v>
      </c>
      <c r="C1282">
        <v>16.079999999999998</v>
      </c>
      <c r="D1282">
        <v>16.059999999999999</v>
      </c>
      <c r="E1282">
        <v>1.2445550715618901E-3</v>
      </c>
      <c r="F1282">
        <v>350849</v>
      </c>
      <c r="G1282">
        <v>2223000000</v>
      </c>
      <c r="H1282">
        <v>5655685.8799999999</v>
      </c>
      <c r="I1282">
        <v>2223000000</v>
      </c>
      <c r="J1282">
        <v>1.5782681061628429E-4</v>
      </c>
      <c r="K1282">
        <v>78628.81</v>
      </c>
      <c r="L1282">
        <v>0.19489999999999999</v>
      </c>
      <c r="M1282">
        <v>73305590000</v>
      </c>
      <c r="N1282">
        <v>859150000</v>
      </c>
      <c r="O1282">
        <v>1024319999.9999999</v>
      </c>
      <c r="P1282">
        <v>1041260000</v>
      </c>
      <c r="Q1282">
        <v>0</v>
      </c>
      <c r="R1282">
        <v>6.6057240741949449E-10</v>
      </c>
      <c r="S1282">
        <v>0</v>
      </c>
    </row>
    <row r="1283" spans="2:19">
      <c r="B1283">
        <v>1.1249999999999982E-2</v>
      </c>
      <c r="C1283">
        <v>16.07</v>
      </c>
      <c r="D1283">
        <v>16.059999999999999</v>
      </c>
      <c r="E1283">
        <v>6.2247121070660221E-4</v>
      </c>
      <c r="F1283">
        <v>443972</v>
      </c>
      <c r="G1283">
        <v>2223000000</v>
      </c>
      <c r="H1283">
        <v>7130190.3199999994</v>
      </c>
      <c r="I1283">
        <v>2223000000</v>
      </c>
      <c r="J1283">
        <v>1.997174988753936E-4</v>
      </c>
      <c r="K1283">
        <v>78827.740000000005</v>
      </c>
      <c r="L1283">
        <v>0.19489999999999999</v>
      </c>
      <c r="M1283">
        <v>73305590000</v>
      </c>
      <c r="N1283">
        <v>859150000</v>
      </c>
      <c r="O1283">
        <v>1024319999.9999999</v>
      </c>
      <c r="P1283">
        <v>1041260000</v>
      </c>
      <c r="Q1283">
        <v>0</v>
      </c>
      <c r="R1283">
        <v>1.1445280854659223E-9</v>
      </c>
      <c r="S1283">
        <v>0</v>
      </c>
    </row>
    <row r="1284" spans="2:19">
      <c r="B1284">
        <v>4.3138480775242231E-2</v>
      </c>
      <c r="C1284">
        <v>15.95</v>
      </c>
      <c r="D1284">
        <v>15.76</v>
      </c>
      <c r="E1284">
        <v>1.1983601387574866E-2</v>
      </c>
      <c r="F1284">
        <v>605100</v>
      </c>
      <c r="G1284">
        <v>2223000000</v>
      </c>
      <c r="H1284">
        <v>9639243</v>
      </c>
      <c r="I1284">
        <v>2223000000</v>
      </c>
      <c r="J1284">
        <v>2.7219973009446691E-4</v>
      </c>
      <c r="K1284">
        <v>78029.509999999995</v>
      </c>
      <c r="L1284">
        <v>0.19489999999999999</v>
      </c>
      <c r="M1284">
        <v>73305590000</v>
      </c>
      <c r="N1284">
        <v>859150000</v>
      </c>
      <c r="O1284">
        <v>1024319999.9999999</v>
      </c>
      <c r="P1284">
        <v>1041260000</v>
      </c>
      <c r="Q1284">
        <v>0</v>
      </c>
      <c r="R1284">
        <v>2.0429309326788119E-9</v>
      </c>
      <c r="S1284">
        <v>0</v>
      </c>
    </row>
    <row r="1285" spans="2:19">
      <c r="B1285">
        <v>2.1505376344085891E-2</v>
      </c>
      <c r="C1285">
        <v>16.28</v>
      </c>
      <c r="D1285">
        <v>16.23</v>
      </c>
      <c r="E1285">
        <v>3.0759766225777118E-3</v>
      </c>
      <c r="F1285">
        <v>256450</v>
      </c>
      <c r="G1285">
        <v>2223000000</v>
      </c>
      <c r="H1285">
        <v>4167312.5</v>
      </c>
      <c r="I1285">
        <v>2223000000</v>
      </c>
      <c r="J1285">
        <v>1.1536212325686009E-4</v>
      </c>
      <c r="K1285">
        <v>78469.33</v>
      </c>
      <c r="L1285">
        <v>0.19489999999999999</v>
      </c>
      <c r="M1285">
        <v>73305590000</v>
      </c>
      <c r="N1285">
        <v>859150000</v>
      </c>
      <c r="O1285">
        <v>1024319999.9999999</v>
      </c>
      <c r="P1285">
        <v>1041260000</v>
      </c>
      <c r="Q1285">
        <v>0</v>
      </c>
      <c r="R1285">
        <v>4.4920573542984712E-9</v>
      </c>
      <c r="S1285">
        <v>0</v>
      </c>
    </row>
    <row r="1286" spans="2:19">
      <c r="B1286">
        <v>1.8782187215995071E-2</v>
      </c>
      <c r="C1286">
        <v>16.63</v>
      </c>
      <c r="D1286">
        <v>16.57</v>
      </c>
      <c r="E1286">
        <v>3.6144578313252237E-3</v>
      </c>
      <c r="F1286">
        <v>269266</v>
      </c>
      <c r="G1286">
        <v>2223000000</v>
      </c>
      <c r="H1286">
        <v>4459044.96</v>
      </c>
      <c r="I1286">
        <v>2223000000</v>
      </c>
      <c r="J1286">
        <v>1.2112730544309491E-4</v>
      </c>
      <c r="K1286">
        <v>79397.009999999995</v>
      </c>
      <c r="L1286">
        <v>0.19489999999999999</v>
      </c>
      <c r="M1286">
        <v>73305590000</v>
      </c>
      <c r="N1286">
        <v>859150000</v>
      </c>
      <c r="O1286">
        <v>1024319999.9999999</v>
      </c>
      <c r="P1286">
        <v>1041260000</v>
      </c>
      <c r="Q1286">
        <v>0</v>
      </c>
      <c r="R1286">
        <v>4.0701137776097472E-10</v>
      </c>
      <c r="S1286">
        <v>0</v>
      </c>
    </row>
    <row r="1287" spans="2:19">
      <c r="B1287">
        <v>1.33819951338201E-2</v>
      </c>
      <c r="C1287">
        <v>16.54</v>
      </c>
      <c r="D1287">
        <v>16.53</v>
      </c>
      <c r="E1287">
        <v>6.0477774417889388E-4</v>
      </c>
      <c r="F1287">
        <v>225169</v>
      </c>
      <c r="G1287">
        <v>2223000000</v>
      </c>
      <c r="H1287">
        <v>3722043.5700000003</v>
      </c>
      <c r="I1287">
        <v>2223000000</v>
      </c>
      <c r="J1287">
        <v>1.0129059829059828E-4</v>
      </c>
      <c r="K1287">
        <v>78987.09</v>
      </c>
      <c r="L1287">
        <v>0.19489999999999999</v>
      </c>
      <c r="M1287">
        <v>73305590000</v>
      </c>
      <c r="N1287">
        <v>859150000</v>
      </c>
      <c r="O1287">
        <v>1024319999.9999999</v>
      </c>
      <c r="P1287">
        <v>1041260000</v>
      </c>
      <c r="Q1287">
        <v>0</v>
      </c>
      <c r="R1287">
        <v>3.2905035090835102E-9</v>
      </c>
      <c r="S1287">
        <v>0</v>
      </c>
    </row>
    <row r="1288" spans="2:19">
      <c r="B1288">
        <v>1.2232415902140628E-2</v>
      </c>
      <c r="C1288">
        <v>16.350000000000001</v>
      </c>
      <c r="D1288">
        <v>16.329999999999998</v>
      </c>
      <c r="E1288">
        <v>1.2239902080785267E-3</v>
      </c>
      <c r="F1288">
        <v>262747</v>
      </c>
      <c r="G1288">
        <v>2223000000</v>
      </c>
      <c r="H1288">
        <v>4290658.51</v>
      </c>
      <c r="I1288">
        <v>2223000000</v>
      </c>
      <c r="J1288">
        <v>1.1819478182636077E-4</v>
      </c>
      <c r="K1288">
        <v>78539.19</v>
      </c>
      <c r="L1288">
        <v>0.19489999999999999</v>
      </c>
      <c r="M1288">
        <v>73305590000</v>
      </c>
      <c r="N1288">
        <v>859150000</v>
      </c>
      <c r="O1288">
        <v>1024319999.9999999</v>
      </c>
      <c r="P1288">
        <v>1041260000</v>
      </c>
      <c r="Q1288">
        <v>0</v>
      </c>
      <c r="R1288">
        <v>0</v>
      </c>
      <c r="S128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AP28"/>
  <sheetViews>
    <sheetView topLeftCell="A5" zoomScale="65" workbookViewId="0">
      <selection activeCell="E17" sqref="E17"/>
    </sheetView>
  </sheetViews>
  <sheetFormatPr defaultColWidth="8.81640625" defaultRowHeight="14.5"/>
  <cols>
    <col min="3" max="3" width="40.81640625" customWidth="1"/>
    <col min="4" max="4" width="14.453125" customWidth="1"/>
    <col min="5" max="5" width="13.453125" customWidth="1"/>
    <col min="18" max="18" width="15.1796875" customWidth="1"/>
  </cols>
  <sheetData>
    <row r="3" spans="3:42" ht="15" thickBot="1">
      <c r="S3" s="65"/>
      <c r="T3" s="65"/>
      <c r="U3" s="65"/>
      <c r="V3" s="65"/>
      <c r="W3" s="65"/>
      <c r="X3" s="65"/>
      <c r="Y3" s="65"/>
      <c r="Z3" s="65"/>
      <c r="AA3" s="65"/>
      <c r="AB3" s="65"/>
      <c r="AC3" s="65"/>
      <c r="AD3" s="65"/>
      <c r="AE3" s="65"/>
      <c r="AF3" s="65"/>
    </row>
    <row r="4" spans="3:42" ht="21.5" thickBot="1">
      <c r="C4" s="61" t="s">
        <v>87</v>
      </c>
      <c r="D4" s="62" t="s">
        <v>89</v>
      </c>
      <c r="E4" s="63" t="s">
        <v>88</v>
      </c>
      <c r="F4" s="182" t="s">
        <v>92</v>
      </c>
      <c r="G4" s="183"/>
      <c r="H4" s="183"/>
      <c r="I4" s="183"/>
      <c r="J4" s="183"/>
      <c r="K4" s="183"/>
      <c r="L4" s="183"/>
      <c r="M4" s="183"/>
      <c r="N4" s="183"/>
      <c r="O4" s="183"/>
      <c r="P4" s="183"/>
      <c r="Q4" s="183"/>
      <c r="R4" s="183"/>
      <c r="S4" s="139"/>
      <c r="T4" s="139"/>
      <c r="U4" s="139"/>
      <c r="V4" s="139"/>
      <c r="W4" s="139"/>
      <c r="X4" s="139"/>
      <c r="Y4" s="139"/>
      <c r="Z4" s="140"/>
      <c r="AA4" s="140"/>
      <c r="AB4" s="140"/>
      <c r="AC4" s="140"/>
      <c r="AD4" s="140"/>
      <c r="AE4" s="140"/>
      <c r="AF4" s="228"/>
      <c r="AG4" s="228"/>
      <c r="AH4" s="140"/>
      <c r="AI4" s="140"/>
      <c r="AJ4" s="140"/>
      <c r="AK4" s="140"/>
      <c r="AL4" s="140"/>
      <c r="AM4" s="140"/>
      <c r="AN4" s="140"/>
      <c r="AO4" s="140"/>
      <c r="AP4" s="140"/>
    </row>
    <row r="5" spans="3:42" ht="21">
      <c r="C5" s="166" t="s">
        <v>266</v>
      </c>
      <c r="D5" s="168">
        <v>26074</v>
      </c>
      <c r="E5" s="169">
        <v>97392</v>
      </c>
      <c r="F5" s="175" t="s">
        <v>270</v>
      </c>
      <c r="G5" s="176"/>
      <c r="H5" s="176"/>
      <c r="I5" s="176"/>
      <c r="J5" s="176"/>
      <c r="K5" s="176"/>
      <c r="L5" s="176"/>
      <c r="M5" s="176"/>
      <c r="N5" s="176"/>
      <c r="O5" s="176"/>
      <c r="P5" s="176"/>
      <c r="Q5" s="176"/>
      <c r="R5" s="177"/>
      <c r="S5" s="176"/>
      <c r="T5" s="176"/>
      <c r="U5" s="176"/>
      <c r="V5" s="176"/>
      <c r="W5" s="176"/>
      <c r="X5" s="176"/>
      <c r="Y5" s="177"/>
      <c r="Z5" s="176"/>
      <c r="AA5" s="176"/>
      <c r="AB5" s="176"/>
      <c r="AC5" s="176"/>
      <c r="AD5" s="176"/>
      <c r="AE5" s="176"/>
      <c r="AF5" s="229"/>
      <c r="AG5" s="229"/>
      <c r="AH5" s="176"/>
      <c r="AI5" s="176"/>
      <c r="AJ5" s="176"/>
      <c r="AK5" s="176"/>
      <c r="AL5" s="176"/>
      <c r="AM5" s="176"/>
      <c r="AN5" s="176"/>
      <c r="AO5" s="176"/>
      <c r="AP5" s="176"/>
    </row>
    <row r="6" spans="3:42" ht="21">
      <c r="C6" s="166" t="s">
        <v>90</v>
      </c>
      <c r="D6" s="168">
        <v>26060</v>
      </c>
      <c r="E6" s="169">
        <v>97392</v>
      </c>
      <c r="F6" s="175" t="s">
        <v>272</v>
      </c>
      <c r="G6" s="176"/>
      <c r="H6" s="176"/>
      <c r="I6" s="176"/>
      <c r="J6" s="176"/>
      <c r="K6" s="176"/>
      <c r="L6" s="176"/>
      <c r="M6" s="176"/>
      <c r="N6" s="176"/>
      <c r="O6" s="176"/>
      <c r="P6" s="176"/>
      <c r="Q6" s="176"/>
      <c r="R6" s="176"/>
      <c r="S6" s="176"/>
      <c r="T6" s="176"/>
      <c r="U6" s="176"/>
      <c r="V6" s="176"/>
      <c r="W6" s="176"/>
      <c r="X6" s="176"/>
      <c r="Y6" s="176"/>
      <c r="Z6" s="176"/>
      <c r="AA6" s="176"/>
      <c r="AB6" s="176"/>
      <c r="AC6" s="176"/>
      <c r="AD6" s="176"/>
      <c r="AE6" s="176"/>
      <c r="AF6" s="229"/>
      <c r="AG6" s="229"/>
      <c r="AH6" s="176"/>
      <c r="AI6" s="176"/>
      <c r="AJ6" s="176"/>
      <c r="AK6" s="176"/>
      <c r="AL6" s="176"/>
      <c r="AM6" s="176"/>
      <c r="AN6" s="176"/>
      <c r="AO6" s="176"/>
      <c r="AP6" s="176"/>
    </row>
    <row r="7" spans="3:42" ht="21">
      <c r="C7" s="166" t="s">
        <v>267</v>
      </c>
      <c r="D7" s="168">
        <v>26083</v>
      </c>
      <c r="E7" s="169">
        <v>97392</v>
      </c>
      <c r="F7" s="175" t="s">
        <v>271</v>
      </c>
      <c r="G7" s="176"/>
      <c r="H7" s="176"/>
      <c r="I7" s="176"/>
      <c r="J7" s="176"/>
      <c r="K7" s="176"/>
      <c r="L7" s="176"/>
      <c r="M7" s="176"/>
      <c r="N7" s="176"/>
      <c r="O7" s="176"/>
      <c r="P7" s="176"/>
      <c r="Q7" s="176"/>
      <c r="R7" s="176"/>
      <c r="S7" s="176"/>
      <c r="T7" s="176"/>
      <c r="U7" s="176"/>
      <c r="V7" s="176"/>
      <c r="W7" s="176"/>
      <c r="X7" s="176"/>
      <c r="Y7" s="176"/>
      <c r="Z7" s="176"/>
      <c r="AA7" s="176"/>
      <c r="AB7" s="176"/>
      <c r="AC7" s="176"/>
      <c r="AD7" s="176"/>
      <c r="AE7" s="176"/>
      <c r="AF7" s="229"/>
      <c r="AG7" s="229"/>
      <c r="AH7" s="176"/>
      <c r="AI7" s="176"/>
      <c r="AJ7" s="176"/>
      <c r="AK7" s="176"/>
      <c r="AL7" s="176"/>
      <c r="AM7" s="176"/>
      <c r="AN7" s="176"/>
      <c r="AO7" s="176"/>
      <c r="AP7" s="176"/>
    </row>
    <row r="8" spans="3:42" ht="21">
      <c r="C8" s="166" t="s">
        <v>268</v>
      </c>
      <c r="D8" s="168">
        <v>26570</v>
      </c>
      <c r="E8" s="169">
        <v>97398</v>
      </c>
      <c r="F8" s="175" t="s">
        <v>273</v>
      </c>
      <c r="G8" s="176"/>
      <c r="H8" s="176"/>
      <c r="I8" s="176"/>
      <c r="J8" s="176"/>
      <c r="K8" s="176"/>
      <c r="L8" s="176"/>
      <c r="M8" s="176"/>
      <c r="N8" s="176"/>
      <c r="O8" s="176"/>
      <c r="P8" s="176"/>
      <c r="Q8" s="176"/>
      <c r="R8" s="178"/>
      <c r="S8" s="176"/>
      <c r="T8" s="176"/>
      <c r="U8" s="176"/>
      <c r="V8" s="176"/>
      <c r="W8" s="176"/>
      <c r="X8" s="176"/>
      <c r="Y8" s="178"/>
      <c r="Z8" s="176"/>
      <c r="AA8" s="178"/>
      <c r="AB8" s="176"/>
      <c r="AC8" s="176"/>
      <c r="AD8" s="176"/>
      <c r="AE8" s="176"/>
      <c r="AF8" s="178"/>
      <c r="AG8" s="176"/>
      <c r="AH8" s="176"/>
      <c r="AI8" s="176"/>
      <c r="AJ8" s="176"/>
      <c r="AK8" s="176"/>
      <c r="AL8" s="176"/>
      <c r="AM8" s="176"/>
      <c r="AN8" s="176"/>
      <c r="AO8" s="176"/>
      <c r="AP8" s="176"/>
    </row>
    <row r="9" spans="3:42" ht="21.5" thickBot="1">
      <c r="C9" s="167" t="s">
        <v>269</v>
      </c>
      <c r="D9" s="170">
        <v>26658</v>
      </c>
      <c r="E9" s="171">
        <v>97398</v>
      </c>
      <c r="F9" s="179" t="s">
        <v>274</v>
      </c>
      <c r="G9" s="180"/>
      <c r="H9" s="180"/>
      <c r="I9" s="180"/>
      <c r="J9" s="180"/>
      <c r="K9" s="180"/>
      <c r="L9" s="180"/>
      <c r="M9" s="180"/>
      <c r="N9" s="180"/>
      <c r="O9" s="180"/>
      <c r="P9" s="180"/>
      <c r="Q9" s="180"/>
      <c r="R9" s="181"/>
      <c r="S9" s="179"/>
      <c r="T9" s="180"/>
      <c r="U9" s="180"/>
      <c r="V9" s="180"/>
      <c r="W9" s="180"/>
      <c r="X9" s="180"/>
      <c r="Y9" s="181"/>
      <c r="Z9" s="179"/>
      <c r="AA9" s="181"/>
      <c r="AB9" s="179"/>
      <c r="AC9" s="180"/>
      <c r="AD9" s="180"/>
      <c r="AE9" s="180"/>
      <c r="AF9" s="181"/>
      <c r="AG9" s="176"/>
      <c r="AH9" s="176"/>
      <c r="AI9" s="176"/>
      <c r="AJ9" s="176"/>
      <c r="AK9" s="176"/>
      <c r="AL9" s="176"/>
      <c r="AM9" s="176"/>
      <c r="AN9" s="176"/>
      <c r="AO9" s="176"/>
      <c r="AP9" s="176"/>
    </row>
    <row r="12" spans="3:42" ht="15" thickBot="1"/>
    <row r="13" spans="3:42" ht="21.5" thickBot="1">
      <c r="C13" s="62" t="s">
        <v>107</v>
      </c>
    </row>
    <row r="14" spans="3:42" ht="15" thickBot="1">
      <c r="C14" s="172" t="s">
        <v>93</v>
      </c>
    </row>
    <row r="15" spans="3:42" ht="15" thickBot="1">
      <c r="C15" s="173" t="s">
        <v>94</v>
      </c>
    </row>
    <row r="16" spans="3:42" ht="15" thickBot="1">
      <c r="C16" s="173" t="s">
        <v>95</v>
      </c>
    </row>
    <row r="17" spans="3:3" ht="15" thickBot="1">
      <c r="C17" s="173" t="s">
        <v>96</v>
      </c>
    </row>
    <row r="18" spans="3:3" ht="15" thickBot="1">
      <c r="C18" s="173" t="s">
        <v>97</v>
      </c>
    </row>
    <row r="19" spans="3:3" ht="15" thickBot="1">
      <c r="C19" s="173" t="s">
        <v>98</v>
      </c>
    </row>
    <row r="20" spans="3:3" ht="15" thickBot="1">
      <c r="C20" s="173" t="s">
        <v>108</v>
      </c>
    </row>
    <row r="21" spans="3:3" ht="15" thickBot="1">
      <c r="C21" s="173" t="s">
        <v>99</v>
      </c>
    </row>
    <row r="22" spans="3:3" ht="15" thickBot="1">
      <c r="C22" s="173" t="s">
        <v>100</v>
      </c>
    </row>
    <row r="23" spans="3:3" ht="15" thickBot="1">
      <c r="C23" s="173" t="s">
        <v>101</v>
      </c>
    </row>
    <row r="24" spans="3:3" ht="15" thickBot="1">
      <c r="C24" s="173" t="s">
        <v>102</v>
      </c>
    </row>
    <row r="25" spans="3:3" ht="15" thickBot="1">
      <c r="C25" s="173" t="s">
        <v>103</v>
      </c>
    </row>
    <row r="26" spans="3:3" ht="15" thickBot="1">
      <c r="C26" s="173" t="s">
        <v>104</v>
      </c>
    </row>
    <row r="27" spans="3:3" ht="15" thickBot="1">
      <c r="C27" s="173" t="s">
        <v>105</v>
      </c>
    </row>
    <row r="28" spans="3:3" ht="15" thickBot="1">
      <c r="C28" s="174" t="s">
        <v>106</v>
      </c>
    </row>
  </sheetData>
  <mergeCells count="1">
    <mergeCell ref="F4:R4"/>
  </mergeCells>
  <phoneticPr fontId="2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663"/>
  <sheetViews>
    <sheetView topLeftCell="R1" zoomScale="75" zoomScaleNormal="83" workbookViewId="0">
      <selection activeCell="AG12" sqref="AG12"/>
    </sheetView>
  </sheetViews>
  <sheetFormatPr defaultColWidth="8.81640625" defaultRowHeight="14.5"/>
  <cols>
    <col min="1" max="1" width="14.1796875" bestFit="1" customWidth="1"/>
    <col min="2" max="2" width="15" customWidth="1"/>
    <col min="3" max="3" width="15.453125" bestFit="1" customWidth="1"/>
    <col min="4" max="10" width="9.1796875" bestFit="1" customWidth="1"/>
    <col min="11" max="11" width="10.1796875" bestFit="1" customWidth="1"/>
    <col min="12" max="12" width="14.453125" bestFit="1" customWidth="1"/>
    <col min="13" max="13" width="11.1796875" bestFit="1" customWidth="1"/>
    <col min="14" max="14" width="16.1796875" customWidth="1"/>
    <col min="15" max="15" width="12" bestFit="1" customWidth="1"/>
    <col min="16" max="16" width="15.1796875" customWidth="1"/>
    <col min="17" max="17" width="9.1796875" bestFit="1" customWidth="1"/>
    <col min="18" max="18" width="28.81640625" customWidth="1"/>
    <col min="19" max="19" width="16" customWidth="1"/>
    <col min="20" max="20" width="14.453125" bestFit="1" customWidth="1"/>
    <col min="21" max="21" width="13.81640625" bestFit="1" customWidth="1"/>
    <col min="22" max="22" width="14.453125" bestFit="1" customWidth="1"/>
    <col min="23" max="23" width="13.81640625" customWidth="1"/>
    <col min="28" max="28" width="18.1796875" bestFit="1" customWidth="1"/>
    <col min="31" max="31" width="12" bestFit="1" customWidth="1"/>
  </cols>
  <sheetData>
    <row r="1" spans="1:32" ht="16" thickBot="1">
      <c r="A1" s="184" t="s">
        <v>23</v>
      </c>
      <c r="B1" s="185"/>
      <c r="C1" s="185"/>
      <c r="D1" s="185"/>
      <c r="E1" s="185"/>
      <c r="F1" s="185"/>
      <c r="G1" s="185"/>
      <c r="H1" s="185"/>
      <c r="I1" s="185"/>
      <c r="J1" s="185"/>
      <c r="K1" s="185"/>
      <c r="L1" s="185"/>
      <c r="M1" s="185"/>
      <c r="N1" s="185"/>
      <c r="O1" s="185"/>
      <c r="P1" s="185"/>
      <c r="Q1" s="185"/>
      <c r="R1" s="185"/>
      <c r="S1" s="185"/>
      <c r="T1" s="185"/>
      <c r="U1" s="185"/>
      <c r="V1" s="185"/>
      <c r="W1" s="185"/>
      <c r="X1" s="186"/>
    </row>
    <row r="2" spans="1:32" ht="46.5">
      <c r="A2" s="6" t="s">
        <v>14</v>
      </c>
      <c r="B2" s="5" t="s">
        <v>15</v>
      </c>
      <c r="C2" s="7" t="s">
        <v>16</v>
      </c>
      <c r="D2" s="7" t="s">
        <v>17</v>
      </c>
      <c r="E2" s="6" t="s">
        <v>0</v>
      </c>
      <c r="F2" s="6" t="s">
        <v>13</v>
      </c>
      <c r="G2" s="7" t="s">
        <v>18</v>
      </c>
      <c r="H2" s="5" t="s">
        <v>12</v>
      </c>
      <c r="I2" s="6" t="s">
        <v>1</v>
      </c>
      <c r="J2" s="7" t="s">
        <v>19</v>
      </c>
      <c r="K2" s="5" t="s">
        <v>2</v>
      </c>
      <c r="L2" s="5" t="s">
        <v>3</v>
      </c>
      <c r="M2" s="7" t="s">
        <v>20</v>
      </c>
      <c r="N2" s="5" t="s">
        <v>22</v>
      </c>
      <c r="O2" s="7" t="s">
        <v>21</v>
      </c>
      <c r="P2" s="5" t="s">
        <v>5</v>
      </c>
      <c r="Q2" s="5" t="s">
        <v>6</v>
      </c>
      <c r="R2" s="5" t="s">
        <v>7</v>
      </c>
      <c r="S2" s="5" t="s">
        <v>8</v>
      </c>
      <c r="T2" s="5" t="s">
        <v>9</v>
      </c>
      <c r="U2" s="5" t="s">
        <v>10</v>
      </c>
      <c r="V2" s="5" t="s">
        <v>11</v>
      </c>
      <c r="W2" s="7" t="s">
        <v>73</v>
      </c>
      <c r="X2" s="7" t="s">
        <v>72</v>
      </c>
      <c r="Z2" s="132" t="s">
        <v>181</v>
      </c>
    </row>
    <row r="3" spans="1:32">
      <c r="A3" s="21">
        <v>45436</v>
      </c>
      <c r="B3" s="22">
        <v>5.84</v>
      </c>
      <c r="C3" s="23">
        <f t="shared" ref="C3:C41" si="0">IFERROR((B3-B4)/B4,0)</f>
        <v>-2.6666666666666689E-2</v>
      </c>
      <c r="D3" s="22">
        <f t="shared" ref="D3:D42" si="1">_xlfn.STDEV.S($C$3:$C$42)</f>
        <v>4.4477100704339412E-2</v>
      </c>
      <c r="E3" s="22">
        <v>6.25</v>
      </c>
      <c r="F3" s="22">
        <v>5.8</v>
      </c>
      <c r="G3" s="22">
        <f t="shared" ref="G3:G42" si="2">(E3-F3)/AVERAGE(E3:F3)</f>
        <v>7.4688796680497951E-2</v>
      </c>
      <c r="H3" s="22">
        <v>5.98</v>
      </c>
      <c r="I3" s="22">
        <v>5.8</v>
      </c>
      <c r="J3" s="22">
        <f t="shared" ref="J3:J41" si="3">(H3-I3)/AVERAGE(H3:I3)</f>
        <v>3.0560271646859184E-2</v>
      </c>
      <c r="K3" s="25">
        <v>150500</v>
      </c>
      <c r="L3" s="26">
        <v>12600000</v>
      </c>
      <c r="M3" s="24">
        <f t="shared" ref="M3:M42" si="4">B3*K3</f>
        <v>878920</v>
      </c>
      <c r="N3" s="24">
        <v>67783446</v>
      </c>
      <c r="O3" s="24">
        <f t="shared" ref="O3:O42" si="5">K3/N3</f>
        <v>2.2203061201698125E-3</v>
      </c>
      <c r="P3" s="10">
        <v>75983.039999999994</v>
      </c>
      <c r="Q3" s="8">
        <v>0.2157</v>
      </c>
      <c r="R3" s="164">
        <v>131800000</v>
      </c>
      <c r="S3" s="24">
        <f>2790000*100</f>
        <v>279000000</v>
      </c>
      <c r="T3" s="24">
        <f>290000*100</f>
        <v>29000000</v>
      </c>
      <c r="U3" s="24">
        <v>8210000</v>
      </c>
      <c r="V3" s="24">
        <v>8550000</v>
      </c>
      <c r="W3">
        <f>IFERROR(ABS(C3)/M3,"0")</f>
        <v>3.0340266084133583E-8</v>
      </c>
      <c r="X3">
        <f>V3/R3</f>
        <v>6.4871016691957509E-2</v>
      </c>
      <c r="Z3" s="9">
        <f>'KSE 100'!V30</f>
        <v>1.1563284677373081E-2</v>
      </c>
    </row>
    <row r="4" spans="1:32" ht="16.25" customHeight="1">
      <c r="A4" s="21">
        <v>45435</v>
      </c>
      <c r="B4" s="22">
        <v>6</v>
      </c>
      <c r="C4" s="23">
        <f t="shared" si="0"/>
        <v>5.0788091068301233E-2</v>
      </c>
      <c r="D4" s="22">
        <f t="shared" si="1"/>
        <v>4.4477100704339412E-2</v>
      </c>
      <c r="E4" s="22">
        <v>6.25</v>
      </c>
      <c r="F4" s="22">
        <v>5.7</v>
      </c>
      <c r="G4" s="22">
        <f t="shared" si="2"/>
        <v>9.2050209205020897E-2</v>
      </c>
      <c r="H4" s="22">
        <v>6.1</v>
      </c>
      <c r="I4" s="22">
        <v>6.01</v>
      </c>
      <c r="J4" s="22">
        <f t="shared" si="3"/>
        <v>1.4863748967795187E-2</v>
      </c>
      <c r="K4" s="25">
        <v>301000</v>
      </c>
      <c r="L4" s="26">
        <v>12600000</v>
      </c>
      <c r="M4" s="24">
        <f t="shared" si="4"/>
        <v>1806000</v>
      </c>
      <c r="N4" s="24">
        <v>67783446</v>
      </c>
      <c r="O4" s="24">
        <f t="shared" si="5"/>
        <v>4.440612240339625E-3</v>
      </c>
      <c r="P4" s="10">
        <v>75114.47</v>
      </c>
      <c r="Q4" s="8">
        <v>0.2157</v>
      </c>
      <c r="R4" s="164">
        <v>131800000</v>
      </c>
      <c r="S4" s="24">
        <f t="shared" ref="S4:S42" si="6">2790000*100</f>
        <v>279000000</v>
      </c>
      <c r="T4" s="24">
        <f t="shared" ref="T4:T42" si="7">290000*100</f>
        <v>29000000</v>
      </c>
      <c r="U4" s="24">
        <v>8210000</v>
      </c>
      <c r="V4" s="24">
        <v>8550000</v>
      </c>
      <c r="W4">
        <f t="shared" ref="W4:W42" si="8">IFERROR(ABS(C4)/M4,"0")</f>
        <v>2.8121866593743761E-8</v>
      </c>
      <c r="X4">
        <f t="shared" ref="X4:X42" si="9">V4/R4</f>
        <v>6.4871016691957509E-2</v>
      </c>
      <c r="Z4" s="9">
        <f>'KSE 100'!V31</f>
        <v>2.1052162536035822E-3</v>
      </c>
      <c r="AA4" s="190"/>
      <c r="AB4" s="190"/>
      <c r="AC4" s="190"/>
      <c r="AD4" s="190"/>
      <c r="AE4" s="190"/>
      <c r="AF4" s="190"/>
    </row>
    <row r="5" spans="1:32" ht="15" thickBot="1">
      <c r="A5" s="21">
        <v>45434</v>
      </c>
      <c r="B5" s="22">
        <v>5.71</v>
      </c>
      <c r="C5" s="23">
        <f t="shared" si="0"/>
        <v>-4.3551088777219395E-2</v>
      </c>
      <c r="D5" s="22">
        <f t="shared" si="1"/>
        <v>4.4477100704339412E-2</v>
      </c>
      <c r="E5" s="22">
        <v>6.04</v>
      </c>
      <c r="F5" s="22">
        <v>5.64</v>
      </c>
      <c r="G5" s="22">
        <f t="shared" si="2"/>
        <v>6.8493150684931572E-2</v>
      </c>
      <c r="H5" s="22">
        <v>5.78</v>
      </c>
      <c r="I5" s="22">
        <v>5.64</v>
      </c>
      <c r="J5" s="22">
        <f t="shared" si="3"/>
        <v>2.4518388791593796E-2</v>
      </c>
      <c r="K5" s="25">
        <v>343500</v>
      </c>
      <c r="L5" s="26">
        <v>12600000</v>
      </c>
      <c r="M5" s="24">
        <f t="shared" si="4"/>
        <v>1961385</v>
      </c>
      <c r="N5" s="24">
        <v>67783446</v>
      </c>
      <c r="O5" s="24">
        <f t="shared" si="5"/>
        <v>5.0676089852380772E-3</v>
      </c>
      <c r="P5" s="10">
        <v>74956.67</v>
      </c>
      <c r="Q5" s="8">
        <v>0.2157</v>
      </c>
      <c r="R5" s="164">
        <v>131800000</v>
      </c>
      <c r="S5" s="24">
        <f t="shared" si="6"/>
        <v>279000000</v>
      </c>
      <c r="T5" s="24">
        <f t="shared" si="7"/>
        <v>29000000</v>
      </c>
      <c r="U5" s="24">
        <v>8210000</v>
      </c>
      <c r="V5" s="24">
        <v>8550000</v>
      </c>
      <c r="W5">
        <f t="shared" si="8"/>
        <v>2.2204253003474277E-8</v>
      </c>
      <c r="X5">
        <f t="shared" si="9"/>
        <v>6.4871016691957509E-2</v>
      </c>
      <c r="Z5" s="9">
        <f>'KSE 100'!V32</f>
        <v>-3.3254984890323035E-3</v>
      </c>
      <c r="AA5" s="126"/>
      <c r="AB5" s="126"/>
      <c r="AC5" s="126"/>
      <c r="AD5" s="126"/>
      <c r="AE5" s="127"/>
      <c r="AF5" s="126"/>
    </row>
    <row r="6" spans="1:32" ht="16" thickBot="1">
      <c r="A6" s="21">
        <v>45433</v>
      </c>
      <c r="B6" s="22">
        <v>5.97</v>
      </c>
      <c r="C6" s="23">
        <f t="shared" si="0"/>
        <v>1.0152284263959324E-2</v>
      </c>
      <c r="D6" s="22">
        <f t="shared" si="1"/>
        <v>4.4477100704339412E-2</v>
      </c>
      <c r="E6" s="22">
        <v>6</v>
      </c>
      <c r="F6" s="22">
        <v>5.72</v>
      </c>
      <c r="G6" s="22">
        <f t="shared" si="2"/>
        <v>4.7781569965870352E-2</v>
      </c>
      <c r="H6" s="22">
        <v>6</v>
      </c>
      <c r="I6" s="22">
        <v>5.9</v>
      </c>
      <c r="J6" s="22">
        <f t="shared" si="3"/>
        <v>1.6806722689075571E-2</v>
      </c>
      <c r="K6" s="25">
        <v>68500</v>
      </c>
      <c r="L6" s="26">
        <v>12600000</v>
      </c>
      <c r="M6" s="24">
        <f t="shared" si="4"/>
        <v>408945</v>
      </c>
      <c r="N6" s="24">
        <v>67783446</v>
      </c>
      <c r="O6" s="24">
        <f t="shared" si="5"/>
        <v>1.0105712241304462E-3</v>
      </c>
      <c r="P6" s="10">
        <v>75206.77</v>
      </c>
      <c r="Q6" s="8">
        <v>0.2157</v>
      </c>
      <c r="R6" s="164">
        <v>131800000</v>
      </c>
      <c r="S6" s="24">
        <f t="shared" si="6"/>
        <v>279000000</v>
      </c>
      <c r="T6" s="24">
        <f t="shared" si="7"/>
        <v>29000000</v>
      </c>
      <c r="U6" s="24">
        <v>8210000</v>
      </c>
      <c r="V6" s="24">
        <v>8550000</v>
      </c>
      <c r="W6">
        <f t="shared" si="8"/>
        <v>2.4825549313377896E-8</v>
      </c>
      <c r="X6">
        <f t="shared" si="9"/>
        <v>6.4871016691957509E-2</v>
      </c>
      <c r="Z6" s="9">
        <f>'KSE 100'!V33</f>
        <v>1.6351020190719728E-3</v>
      </c>
      <c r="AA6" s="187" t="s">
        <v>219</v>
      </c>
      <c r="AB6" s="188"/>
      <c r="AC6" s="188"/>
      <c r="AD6" s="188"/>
      <c r="AE6" s="188"/>
      <c r="AF6" s="189"/>
    </row>
    <row r="7" spans="1:32" ht="26">
      <c r="A7" s="21">
        <v>45432</v>
      </c>
      <c r="B7" s="22">
        <v>5.91</v>
      </c>
      <c r="C7" s="23">
        <f t="shared" si="0"/>
        <v>3.6842105263157884E-2</v>
      </c>
      <c r="D7" s="22">
        <f t="shared" si="1"/>
        <v>4.4477100704339412E-2</v>
      </c>
      <c r="E7" s="22">
        <v>5.94</v>
      </c>
      <c r="F7" s="22">
        <v>5.7</v>
      </c>
      <c r="G7" s="22">
        <f t="shared" si="2"/>
        <v>4.123711340206189E-2</v>
      </c>
      <c r="H7" s="22">
        <v>5.95</v>
      </c>
      <c r="I7" s="22">
        <v>5.91</v>
      </c>
      <c r="J7" s="22">
        <f t="shared" si="3"/>
        <v>6.7453625632377806E-3</v>
      </c>
      <c r="K7" s="25">
        <v>81500</v>
      </c>
      <c r="L7" s="26">
        <v>12600000</v>
      </c>
      <c r="M7" s="24">
        <f t="shared" si="4"/>
        <v>481665</v>
      </c>
      <c r="N7" s="24">
        <v>67783446</v>
      </c>
      <c r="O7" s="24">
        <f t="shared" si="5"/>
        <v>1.2023584637464433E-3</v>
      </c>
      <c r="P7" s="10">
        <v>75084</v>
      </c>
      <c r="Q7" s="8">
        <v>0.2157</v>
      </c>
      <c r="R7" s="164">
        <v>131800000</v>
      </c>
      <c r="S7" s="24">
        <f t="shared" si="6"/>
        <v>279000000</v>
      </c>
      <c r="T7" s="24">
        <f t="shared" si="7"/>
        <v>29000000</v>
      </c>
      <c r="U7" s="24">
        <v>8210000</v>
      </c>
      <c r="V7" s="24">
        <v>8550000</v>
      </c>
      <c r="W7">
        <f t="shared" si="8"/>
        <v>7.6489064522350354E-8</v>
      </c>
      <c r="X7">
        <f t="shared" si="9"/>
        <v>6.4871016691957509E-2</v>
      </c>
      <c r="Z7" s="9">
        <f>'KSE 100'!V34</f>
        <v>-3.4290143591220608E-3</v>
      </c>
      <c r="AA7" s="74" t="s">
        <v>132</v>
      </c>
      <c r="AB7" s="75" t="s">
        <v>133</v>
      </c>
      <c r="AC7" s="75" t="s">
        <v>134</v>
      </c>
      <c r="AD7" s="75" t="s">
        <v>135</v>
      </c>
      <c r="AE7" s="76" t="s">
        <v>136</v>
      </c>
      <c r="AF7" s="77" t="s">
        <v>137</v>
      </c>
    </row>
    <row r="8" spans="1:32">
      <c r="A8" s="21">
        <v>45429</v>
      </c>
      <c r="B8" s="22">
        <v>5.7</v>
      </c>
      <c r="C8" s="23">
        <f t="shared" si="0"/>
        <v>-3.7162162162162123E-2</v>
      </c>
      <c r="D8" s="22">
        <f t="shared" si="1"/>
        <v>4.4477100704339412E-2</v>
      </c>
      <c r="E8" s="22">
        <v>6.11</v>
      </c>
      <c r="F8" s="22">
        <v>5.61</v>
      </c>
      <c r="G8" s="22">
        <f t="shared" si="2"/>
        <v>8.5324232081911255E-2</v>
      </c>
      <c r="H8" s="22">
        <v>5.8</v>
      </c>
      <c r="I8" s="22">
        <v>5.72</v>
      </c>
      <c r="J8" s="22">
        <f t="shared" si="3"/>
        <v>1.3888888888888902E-2</v>
      </c>
      <c r="K8" s="25">
        <v>107500</v>
      </c>
      <c r="L8" s="26">
        <v>12600000</v>
      </c>
      <c r="M8" s="24">
        <f t="shared" si="4"/>
        <v>612750</v>
      </c>
      <c r="N8" s="24">
        <v>67783446</v>
      </c>
      <c r="O8" s="24">
        <f t="shared" si="5"/>
        <v>1.5859329429784375E-3</v>
      </c>
      <c r="P8" s="10">
        <v>75342.350000000006</v>
      </c>
      <c r="Q8" s="8">
        <v>0.2157</v>
      </c>
      <c r="R8" s="164">
        <v>131800000</v>
      </c>
      <c r="S8" s="24">
        <f t="shared" si="6"/>
        <v>279000000</v>
      </c>
      <c r="T8" s="24">
        <f t="shared" si="7"/>
        <v>29000000</v>
      </c>
      <c r="U8" s="24">
        <v>8210000</v>
      </c>
      <c r="V8" s="24">
        <v>8550000</v>
      </c>
      <c r="W8">
        <f t="shared" si="8"/>
        <v>6.0648163463340876E-8</v>
      </c>
      <c r="X8">
        <f t="shared" si="9"/>
        <v>6.4871016691957509E-2</v>
      </c>
      <c r="Z8" s="9">
        <f>'KSE 100'!V35</f>
        <v>5.4937428850924917E-3</v>
      </c>
      <c r="AA8" s="78">
        <v>1</v>
      </c>
      <c r="AB8" s="79" t="s">
        <v>23</v>
      </c>
      <c r="AC8" s="79">
        <f>SLOPE($C3:$C42,'KSE 100'!$V$30:$V$69)</f>
        <v>0.69971870708992878</v>
      </c>
      <c r="AD8" s="79">
        <f>INTERCEPT($C3:$C42,'KSE 100'!$V$30:$V$69)</f>
        <v>-2.5540840932228239E-3</v>
      </c>
      <c r="AE8">
        <f>'Regressions(RSQ)'!B12</f>
        <v>1.2134480707511308E-2</v>
      </c>
      <c r="AF8" s="80">
        <f>IFERROR(LN((1-AE8)/AE8),0)</f>
        <v>4.3994955290974902</v>
      </c>
    </row>
    <row r="9" spans="1:32">
      <c r="A9" s="21">
        <v>45428</v>
      </c>
      <c r="B9" s="22">
        <v>5.92</v>
      </c>
      <c r="C9" s="23">
        <f t="shared" si="0"/>
        <v>2.2452504317789272E-2</v>
      </c>
      <c r="D9" s="22">
        <f t="shared" si="1"/>
        <v>4.4477100704339412E-2</v>
      </c>
      <c r="E9" s="22">
        <v>6</v>
      </c>
      <c r="F9" s="22">
        <v>5.63</v>
      </c>
      <c r="G9" s="22">
        <f t="shared" si="2"/>
        <v>6.3628546861564939E-2</v>
      </c>
      <c r="H9" s="22">
        <v>6.05</v>
      </c>
      <c r="I9" s="22">
        <v>5.9</v>
      </c>
      <c r="J9" s="22">
        <f t="shared" si="3"/>
        <v>2.5104602510460164E-2</v>
      </c>
      <c r="K9" s="25">
        <v>81000</v>
      </c>
      <c r="L9" s="26">
        <v>12600000</v>
      </c>
      <c r="M9" s="24">
        <f t="shared" si="4"/>
        <v>479520</v>
      </c>
      <c r="N9" s="24">
        <v>67783446</v>
      </c>
      <c r="O9" s="24">
        <f t="shared" si="5"/>
        <v>1.1949820314535204E-3</v>
      </c>
      <c r="P9" s="10">
        <v>74930.7</v>
      </c>
      <c r="Q9" s="8">
        <v>0.2157</v>
      </c>
      <c r="R9" s="164">
        <v>131800000</v>
      </c>
      <c r="S9" s="24">
        <f t="shared" si="6"/>
        <v>279000000</v>
      </c>
      <c r="T9" s="24">
        <f t="shared" si="7"/>
        <v>29000000</v>
      </c>
      <c r="U9" s="24">
        <v>8210000</v>
      </c>
      <c r="V9" s="24">
        <v>8550000</v>
      </c>
      <c r="W9">
        <f t="shared" si="8"/>
        <v>4.6822873535596579E-8</v>
      </c>
      <c r="X9">
        <f t="shared" si="9"/>
        <v>6.4871016691957509E-2</v>
      </c>
      <c r="Z9" s="9">
        <f>'KSE 100'!V36</f>
        <v>3.5722713951225216E-3</v>
      </c>
      <c r="AA9" s="78">
        <v>2</v>
      </c>
      <c r="AB9" s="79" t="s">
        <v>24</v>
      </c>
      <c r="AC9" s="79">
        <f>SLOPE(C48:C87,'KSE 100'!$V$30:$V$69)</f>
        <v>0.38849068300467016</v>
      </c>
      <c r="AD9" s="79">
        <f>INTERCEPT(C48:C87,'KSE 100'!$V$30:$V$69)</f>
        <v>3.7048431509374038E-3</v>
      </c>
      <c r="AE9">
        <f>'Regressions(RSQ)'!L12</f>
        <v>1.6889054512592889E-2</v>
      </c>
      <c r="AF9" s="80">
        <f t="shared" ref="AF9:AF21" si="10">IFERROR(LN((1-AE9)/AE9),0)</f>
        <v>4.064056227828269</v>
      </c>
    </row>
    <row r="10" spans="1:32">
      <c r="A10" s="21">
        <v>45427</v>
      </c>
      <c r="B10" s="22">
        <v>5.79</v>
      </c>
      <c r="C10" s="23">
        <f t="shared" si="0"/>
        <v>-2.8523489932885893E-2</v>
      </c>
      <c r="D10" s="22">
        <f t="shared" si="1"/>
        <v>4.4477100704339412E-2</v>
      </c>
      <c r="E10" s="22">
        <v>6.16</v>
      </c>
      <c r="F10" s="22">
        <v>5.73</v>
      </c>
      <c r="G10" s="22">
        <f t="shared" si="2"/>
        <v>7.2329688814129475E-2</v>
      </c>
      <c r="H10" s="22">
        <v>5.89</v>
      </c>
      <c r="I10" s="22">
        <v>5.76</v>
      </c>
      <c r="J10" s="22">
        <f t="shared" si="3"/>
        <v>2.2317596566523591E-2</v>
      </c>
      <c r="K10" s="25">
        <v>94000</v>
      </c>
      <c r="L10" s="26">
        <v>12600000</v>
      </c>
      <c r="M10" s="24">
        <f t="shared" si="4"/>
        <v>544260</v>
      </c>
      <c r="N10" s="24">
        <v>67783446</v>
      </c>
      <c r="O10" s="24">
        <f t="shared" si="5"/>
        <v>1.3867692710695175E-3</v>
      </c>
      <c r="P10" s="10">
        <v>74663.98</v>
      </c>
      <c r="Q10" s="8">
        <v>0.2157</v>
      </c>
      <c r="R10" s="164">
        <v>131800000</v>
      </c>
      <c r="S10" s="24">
        <f t="shared" si="6"/>
        <v>279000000</v>
      </c>
      <c r="T10" s="24">
        <f t="shared" si="7"/>
        <v>29000000</v>
      </c>
      <c r="U10" s="24">
        <v>8210000</v>
      </c>
      <c r="V10" s="24">
        <v>8550000</v>
      </c>
      <c r="W10">
        <f t="shared" si="8"/>
        <v>5.2407838042270044E-8</v>
      </c>
      <c r="X10">
        <f t="shared" si="9"/>
        <v>6.4871016691957509E-2</v>
      </c>
      <c r="Z10" s="9">
        <f>'KSE 100'!V37</f>
        <v>1.7816701974032614E-3</v>
      </c>
      <c r="AA10" s="78">
        <v>3</v>
      </c>
      <c r="AB10" s="79" t="s">
        <v>25</v>
      </c>
      <c r="AC10" s="79">
        <f>SLOPE(C93:C132,'KSE 100'!$V$30:$V$69)</f>
        <v>-0.71753793603690463</v>
      </c>
      <c r="AD10" s="79">
        <f>INTERCEPT(C93:C132,'KSE 100'!$V$30:$V$69)</f>
        <v>1.0585810680086577E-2</v>
      </c>
      <c r="AE10">
        <f>'Regressions(RSQ)'!V12</f>
        <v>2.4165233079099305E-2</v>
      </c>
      <c r="AF10" s="80">
        <f t="shared" si="10"/>
        <v>3.6983783253251628</v>
      </c>
    </row>
    <row r="11" spans="1:32">
      <c r="A11" s="21">
        <v>45426</v>
      </c>
      <c r="B11" s="22">
        <v>5.96</v>
      </c>
      <c r="C11" s="23">
        <f t="shared" si="0"/>
        <v>3.1141868512110676E-2</v>
      </c>
      <c r="D11" s="22">
        <f t="shared" si="1"/>
        <v>4.4477100704339412E-2</v>
      </c>
      <c r="E11" s="22">
        <v>6.05</v>
      </c>
      <c r="F11" s="22">
        <v>5.71</v>
      </c>
      <c r="G11" s="22">
        <f t="shared" si="2"/>
        <v>5.7823129251700654E-2</v>
      </c>
      <c r="H11" s="22">
        <v>5.94</v>
      </c>
      <c r="I11" s="22">
        <v>5.81</v>
      </c>
      <c r="J11" s="22">
        <f t="shared" si="3"/>
        <v>2.2127659574468217E-2</v>
      </c>
      <c r="K11" s="25">
        <v>69500</v>
      </c>
      <c r="L11" s="26">
        <v>12600000</v>
      </c>
      <c r="M11" s="24">
        <f t="shared" si="4"/>
        <v>414220</v>
      </c>
      <c r="N11" s="24">
        <v>67783446</v>
      </c>
      <c r="O11" s="24">
        <f t="shared" si="5"/>
        <v>1.0253240887162921E-3</v>
      </c>
      <c r="P11" s="10">
        <v>74531.19</v>
      </c>
      <c r="Q11" s="8">
        <v>0.21590000000000001</v>
      </c>
      <c r="R11" s="164">
        <v>131800000</v>
      </c>
      <c r="S11" s="24">
        <f t="shared" si="6"/>
        <v>279000000</v>
      </c>
      <c r="T11" s="24">
        <f t="shared" si="7"/>
        <v>29000000</v>
      </c>
      <c r="U11" s="24">
        <v>8210000</v>
      </c>
      <c r="V11" s="24">
        <v>8550000</v>
      </c>
      <c r="W11">
        <f t="shared" si="8"/>
        <v>7.5181952856237445E-8</v>
      </c>
      <c r="X11">
        <f t="shared" si="9"/>
        <v>6.4871016691957509E-2</v>
      </c>
      <c r="Z11" s="9">
        <f>'KSE 100'!V38</f>
        <v>9.9199028280964364E-3</v>
      </c>
      <c r="AA11" s="78">
        <v>4</v>
      </c>
      <c r="AB11" s="79" t="s">
        <v>33</v>
      </c>
      <c r="AC11" s="79">
        <f>SLOPE(C138:C177,'KSE 100'!$V$30:$V$69)</f>
        <v>1.2517100639051182</v>
      </c>
      <c r="AD11" s="79">
        <f>INTERCEPT(C138:C177,'KSE 100'!$V$30:$V$69)</f>
        <v>-7.7683094570177823E-4</v>
      </c>
      <c r="AE11">
        <f>'Regressions(RSQ)'!AF12</f>
        <v>0.13777098222972098</v>
      </c>
      <c r="AF11" s="80">
        <f t="shared" si="10"/>
        <v>1.83392815972434</v>
      </c>
    </row>
    <row r="12" spans="1:32">
      <c r="A12" s="21">
        <v>45425</v>
      </c>
      <c r="B12" s="22">
        <v>5.78</v>
      </c>
      <c r="C12" s="23">
        <f t="shared" si="0"/>
        <v>-5.1635111876074634E-3</v>
      </c>
      <c r="D12" s="22">
        <f t="shared" si="1"/>
        <v>4.4477100704339412E-2</v>
      </c>
      <c r="E12" s="22">
        <v>5.84</v>
      </c>
      <c r="F12" s="22">
        <v>5.72</v>
      </c>
      <c r="G12" s="22">
        <f t="shared" si="2"/>
        <v>2.0761245674740504E-2</v>
      </c>
      <c r="H12" s="22">
        <v>5.84</v>
      </c>
      <c r="I12" s="22">
        <v>5.74</v>
      </c>
      <c r="J12" s="22">
        <f t="shared" si="3"/>
        <v>1.7271157167530162E-2</v>
      </c>
      <c r="K12" s="25">
        <v>48000</v>
      </c>
      <c r="L12" s="26">
        <v>12600000</v>
      </c>
      <c r="M12" s="24">
        <f t="shared" si="4"/>
        <v>277440</v>
      </c>
      <c r="N12" s="24">
        <v>67783446</v>
      </c>
      <c r="O12" s="24">
        <f t="shared" si="5"/>
        <v>7.0813750012060472E-4</v>
      </c>
      <c r="P12" s="10">
        <v>73799.11</v>
      </c>
      <c r="Q12" s="8">
        <v>0.21590000000000001</v>
      </c>
      <c r="R12" s="164">
        <v>131800000</v>
      </c>
      <c r="S12" s="24">
        <f t="shared" si="6"/>
        <v>279000000</v>
      </c>
      <c r="T12" s="24">
        <f t="shared" si="7"/>
        <v>29000000</v>
      </c>
      <c r="U12" s="24">
        <v>8210000</v>
      </c>
      <c r="V12" s="24">
        <v>8550000</v>
      </c>
      <c r="W12">
        <f t="shared" si="8"/>
        <v>1.8611271581630129E-8</v>
      </c>
      <c r="X12">
        <f t="shared" si="9"/>
        <v>6.4871016691957509E-2</v>
      </c>
      <c r="Z12" s="9">
        <f>'KSE 100'!V39</f>
        <v>9.764043483317485E-3</v>
      </c>
      <c r="AA12" s="78">
        <v>5</v>
      </c>
      <c r="AB12" s="79" t="s">
        <v>38</v>
      </c>
      <c r="AC12" s="79">
        <f>SLOPE(J138:J177,'KSE 100'!$V$30:$V$69)</f>
        <v>-3.5315755632109309</v>
      </c>
      <c r="AD12" s="79">
        <f>INTERCEPT(C138:C177,'KSE 100'!$V$30:$V$69)</f>
        <v>-7.7683094570177823E-4</v>
      </c>
      <c r="AE12">
        <f>'Regressions(RSQ)'!AP12</f>
        <v>6.5634691471850221E-2</v>
      </c>
      <c r="AF12" s="80">
        <f t="shared" si="10"/>
        <v>2.6557630948021895</v>
      </c>
    </row>
    <row r="13" spans="1:32">
      <c r="A13" s="21">
        <v>45422</v>
      </c>
      <c r="B13" s="22">
        <v>5.81</v>
      </c>
      <c r="C13" s="23">
        <f t="shared" si="0"/>
        <v>-1.71821305841936E-3</v>
      </c>
      <c r="D13" s="22">
        <f t="shared" si="1"/>
        <v>4.4477100704339412E-2</v>
      </c>
      <c r="E13" s="22">
        <v>5.97</v>
      </c>
      <c r="F13" s="22">
        <v>5.62</v>
      </c>
      <c r="G13" s="22">
        <f t="shared" si="2"/>
        <v>6.0396893874029273E-2</v>
      </c>
      <c r="H13" s="22">
        <v>5.95</v>
      </c>
      <c r="I13" s="22">
        <v>5.74</v>
      </c>
      <c r="J13" s="22">
        <f t="shared" si="3"/>
        <v>3.5928143712574842E-2</v>
      </c>
      <c r="K13" s="25">
        <v>78000</v>
      </c>
      <c r="L13" s="26">
        <v>12600000</v>
      </c>
      <c r="M13" s="24">
        <f t="shared" si="4"/>
        <v>453179.99999999994</v>
      </c>
      <c r="N13" s="24">
        <v>67783446</v>
      </c>
      <c r="O13" s="24">
        <f t="shared" si="5"/>
        <v>1.1507234376959825E-3</v>
      </c>
      <c r="P13" s="10">
        <v>73085.5</v>
      </c>
      <c r="Q13" s="8">
        <v>0.21590000000000001</v>
      </c>
      <c r="R13" s="164">
        <v>131800000</v>
      </c>
      <c r="S13" s="24">
        <f t="shared" si="6"/>
        <v>279000000</v>
      </c>
      <c r="T13" s="24">
        <f t="shared" si="7"/>
        <v>29000000</v>
      </c>
      <c r="U13" s="24">
        <v>8210000</v>
      </c>
      <c r="V13" s="24">
        <v>8550000</v>
      </c>
      <c r="W13">
        <f t="shared" si="8"/>
        <v>3.7914582691631587E-9</v>
      </c>
      <c r="X13">
        <f t="shared" si="9"/>
        <v>6.4871016691957509E-2</v>
      </c>
      <c r="Z13" s="9">
        <f>'KSE 100'!V40</f>
        <v>5.88303704820044E-3</v>
      </c>
      <c r="AA13" s="78">
        <v>6</v>
      </c>
      <c r="AB13" s="79" t="s">
        <v>41</v>
      </c>
      <c r="AC13" s="79">
        <f>SLOPE(C228:C267,'KSE 100'!$V$30:$V$69)</f>
        <v>-3.1873959904449194</v>
      </c>
      <c r="AD13" s="79">
        <f>INTERCEPT(C228:C267,'KSE 100'!$V$30:$V$69)</f>
        <v>7.3498797752768498E-4</v>
      </c>
      <c r="AE13">
        <f>'Regressions(RSQ)'!B32</f>
        <v>1.8734660645062868E-2</v>
      </c>
      <c r="AF13" s="80">
        <f t="shared" si="10"/>
        <v>3.9584675827771787</v>
      </c>
    </row>
    <row r="14" spans="1:32">
      <c r="A14" s="21">
        <v>45421</v>
      </c>
      <c r="B14" s="22">
        <v>5.82</v>
      </c>
      <c r="C14" s="23">
        <f t="shared" si="0"/>
        <v>5.1813471502591101E-3</v>
      </c>
      <c r="D14" s="22">
        <f t="shared" si="1"/>
        <v>4.4477100704339412E-2</v>
      </c>
      <c r="E14" s="22">
        <v>5.96</v>
      </c>
      <c r="F14" s="22">
        <v>5.72</v>
      </c>
      <c r="G14" s="22">
        <f t="shared" si="2"/>
        <v>4.1095890410958943E-2</v>
      </c>
      <c r="H14" s="22">
        <v>5.85</v>
      </c>
      <c r="I14" s="22">
        <v>5.78</v>
      </c>
      <c r="J14" s="22">
        <f t="shared" si="3"/>
        <v>1.2037833190025693E-2</v>
      </c>
      <c r="K14" s="25">
        <v>31000</v>
      </c>
      <c r="L14" s="26">
        <v>12600000</v>
      </c>
      <c r="M14" s="24">
        <f t="shared" si="4"/>
        <v>180420</v>
      </c>
      <c r="N14" s="24">
        <v>67783446</v>
      </c>
      <c r="O14" s="24">
        <f t="shared" si="5"/>
        <v>4.5733880216122384E-4</v>
      </c>
      <c r="P14" s="10">
        <v>72658.05</v>
      </c>
      <c r="Q14" s="8">
        <v>0.21590000000000001</v>
      </c>
      <c r="R14" s="164">
        <v>131800000</v>
      </c>
      <c r="S14" s="24">
        <f t="shared" si="6"/>
        <v>279000000</v>
      </c>
      <c r="T14" s="24">
        <f t="shared" si="7"/>
        <v>29000000</v>
      </c>
      <c r="U14" s="24">
        <v>8210000</v>
      </c>
      <c r="V14" s="24">
        <v>8550000</v>
      </c>
      <c r="W14">
        <f t="shared" si="8"/>
        <v>2.8718252689608192E-8</v>
      </c>
      <c r="X14">
        <f t="shared" si="9"/>
        <v>6.4871016691957509E-2</v>
      </c>
      <c r="Z14" s="9">
        <f>'KSE 100'!V41</f>
        <v>7.7449849053370825E-4</v>
      </c>
      <c r="AA14" s="78">
        <v>7</v>
      </c>
      <c r="AB14" s="79" t="s">
        <v>43</v>
      </c>
      <c r="AC14" s="79">
        <f>SLOPE(C272:C311,'KSE 100'!$V$30:$V$69)</f>
        <v>1.2334800626637845</v>
      </c>
      <c r="AD14" s="79">
        <f>INTERCEPT(C272:C311,'KSE 100'!$V$30:$V$69)</f>
        <v>1.7149756317086946E-3</v>
      </c>
      <c r="AE14">
        <f>'Regressions(RSQ)'!L32</f>
        <v>9.8885998357749014E-2</v>
      </c>
      <c r="AF14" s="80">
        <f t="shared" si="10"/>
        <v>2.2096641226366067</v>
      </c>
    </row>
    <row r="15" spans="1:32">
      <c r="A15" s="21">
        <v>45420</v>
      </c>
      <c r="B15" s="22">
        <v>5.79</v>
      </c>
      <c r="C15" s="23">
        <f t="shared" si="0"/>
        <v>-8.5616438356164084E-3</v>
      </c>
      <c r="D15" s="22">
        <f t="shared" si="1"/>
        <v>4.4477100704339412E-2</v>
      </c>
      <c r="E15" s="22">
        <v>5.98</v>
      </c>
      <c r="F15" s="22">
        <v>5.7</v>
      </c>
      <c r="G15" s="22">
        <f t="shared" si="2"/>
        <v>4.7945205479452101E-2</v>
      </c>
      <c r="H15" s="22">
        <v>5.93</v>
      </c>
      <c r="I15" s="22">
        <v>5.8</v>
      </c>
      <c r="J15" s="22">
        <f t="shared" si="3"/>
        <v>2.2165387894288131E-2</v>
      </c>
      <c r="K15" s="25">
        <v>138000</v>
      </c>
      <c r="L15" s="26">
        <v>12600000</v>
      </c>
      <c r="M15" s="24">
        <f t="shared" si="4"/>
        <v>799020</v>
      </c>
      <c r="N15" s="24">
        <v>67783446</v>
      </c>
      <c r="O15" s="24">
        <f t="shared" si="5"/>
        <v>2.0358953128467383E-3</v>
      </c>
      <c r="P15" s="10">
        <v>72601.820000000007</v>
      </c>
      <c r="Q15" s="8">
        <v>0.21590000000000001</v>
      </c>
      <c r="R15" s="164">
        <v>131800000</v>
      </c>
      <c r="S15" s="24">
        <f t="shared" si="6"/>
        <v>279000000</v>
      </c>
      <c r="T15" s="24">
        <f t="shared" si="7"/>
        <v>29000000</v>
      </c>
      <c r="U15" s="24">
        <v>8210000</v>
      </c>
      <c r="V15" s="24">
        <v>8550000</v>
      </c>
      <c r="W15">
        <f t="shared" si="8"/>
        <v>1.0715180891112123E-8</v>
      </c>
      <c r="X15">
        <f t="shared" si="9"/>
        <v>6.4871016691957509E-2</v>
      </c>
      <c r="Z15" s="9">
        <f>'KSE 100'!V42</f>
        <v>-2.1904531536038438E-3</v>
      </c>
      <c r="AA15" s="78">
        <v>8</v>
      </c>
      <c r="AB15" s="79" t="s">
        <v>44</v>
      </c>
      <c r="AC15" s="79">
        <f>SLOPE(C316:C355,'KSE 100'!$V$30:$V$69)</f>
        <v>-4.1797477951023995E-2</v>
      </c>
      <c r="AD15" s="79">
        <f>INTERCEPT(C316:C355,'KSE 100'!$V$30:$V$69)</f>
        <v>9.463949176361201E-3</v>
      </c>
      <c r="AE15" s="130">
        <f>'Regressions(RSQ)'!V32</f>
        <v>1.7160673342788317E-5</v>
      </c>
      <c r="AF15" s="80">
        <f>IFERROR(LN((1-AE15)/AE15),0)</f>
        <v>10.972873064763474</v>
      </c>
    </row>
    <row r="16" spans="1:32">
      <c r="A16" s="21">
        <v>45419</v>
      </c>
      <c r="B16" s="22">
        <v>5.84</v>
      </c>
      <c r="C16" s="23">
        <f t="shared" si="0"/>
        <v>6.896551724137937E-3</v>
      </c>
      <c r="D16" s="22">
        <f t="shared" si="1"/>
        <v>4.4477100704339412E-2</v>
      </c>
      <c r="E16" s="22">
        <v>5.97</v>
      </c>
      <c r="F16" s="22">
        <v>5.6</v>
      </c>
      <c r="G16" s="22">
        <f t="shared" si="2"/>
        <v>6.3958513396715655E-2</v>
      </c>
      <c r="H16" s="22">
        <v>5.85</v>
      </c>
      <c r="I16" s="22">
        <v>5.68</v>
      </c>
      <c r="J16" s="22">
        <f t="shared" si="3"/>
        <v>2.9488291413703373E-2</v>
      </c>
      <c r="K16" s="25">
        <v>113000</v>
      </c>
      <c r="L16" s="26">
        <v>12600000</v>
      </c>
      <c r="M16" s="24">
        <f t="shared" si="4"/>
        <v>659920</v>
      </c>
      <c r="N16" s="24">
        <v>67783446</v>
      </c>
      <c r="O16" s="24">
        <f t="shared" si="5"/>
        <v>1.6670736982005903E-3</v>
      </c>
      <c r="P16" s="10">
        <v>72761.2</v>
      </c>
      <c r="Q16" s="8">
        <v>0.21590000000000001</v>
      </c>
      <c r="R16" s="164">
        <v>131800000</v>
      </c>
      <c r="S16" s="24">
        <f t="shared" si="6"/>
        <v>279000000</v>
      </c>
      <c r="T16" s="24">
        <f t="shared" si="7"/>
        <v>29000000</v>
      </c>
      <c r="U16" s="24">
        <v>8210000</v>
      </c>
      <c r="V16" s="24">
        <v>8550000</v>
      </c>
      <c r="W16">
        <f t="shared" si="8"/>
        <v>1.045058753203106E-8</v>
      </c>
      <c r="X16">
        <f t="shared" si="9"/>
        <v>6.4871016691957509E-2</v>
      </c>
      <c r="Z16" s="9">
        <f>'KSE 100'!V43</f>
        <v>-4.1778763854332839E-5</v>
      </c>
      <c r="AA16" s="78">
        <v>9</v>
      </c>
      <c r="AB16" s="79" t="s">
        <v>45</v>
      </c>
      <c r="AC16" s="79">
        <f>SLOPE(C360:C399,'KSE 100'!$V$30:$V$69)</f>
        <v>-0.98693984620362973</v>
      </c>
      <c r="AD16" s="79">
        <f>INTERCEPT(C360:C399,'KSE 100'!$V$30:$V$69)</f>
        <v>-9.3338407689035723E-3</v>
      </c>
      <c r="AE16">
        <f>'Regressions(RSQ)'!AF32</f>
        <v>6.0514480039611587E-3</v>
      </c>
      <c r="AF16" s="80">
        <f t="shared" si="10"/>
        <v>5.1013878638584265</v>
      </c>
    </row>
    <row r="17" spans="1:32">
      <c r="A17" s="21">
        <v>45418</v>
      </c>
      <c r="B17" s="22">
        <v>5.8</v>
      </c>
      <c r="C17" s="23">
        <f t="shared" si="0"/>
        <v>-3.3333333333333361E-2</v>
      </c>
      <c r="D17" s="22">
        <f t="shared" si="1"/>
        <v>4.4477100704339412E-2</v>
      </c>
      <c r="E17" s="22">
        <v>6.11</v>
      </c>
      <c r="F17" s="22">
        <v>5.35</v>
      </c>
      <c r="G17" s="22">
        <f t="shared" si="2"/>
        <v>0.13263525305410134</v>
      </c>
      <c r="H17" s="22">
        <v>5.98</v>
      </c>
      <c r="I17" s="22">
        <v>5.8</v>
      </c>
      <c r="J17" s="22">
        <f t="shared" si="3"/>
        <v>3.0560271646859184E-2</v>
      </c>
      <c r="K17" s="25">
        <v>146000</v>
      </c>
      <c r="L17" s="26">
        <v>12600000</v>
      </c>
      <c r="M17" s="24">
        <f t="shared" si="4"/>
        <v>846800</v>
      </c>
      <c r="N17" s="24">
        <v>67783446</v>
      </c>
      <c r="O17" s="24">
        <f t="shared" si="5"/>
        <v>2.1539182295335058E-3</v>
      </c>
      <c r="P17" s="10">
        <v>72764.240000000005</v>
      </c>
      <c r="Q17" s="8">
        <v>0.21590000000000001</v>
      </c>
      <c r="R17" s="164">
        <v>131800000</v>
      </c>
      <c r="S17" s="24">
        <f t="shared" si="6"/>
        <v>279000000</v>
      </c>
      <c r="T17" s="24">
        <f t="shared" si="7"/>
        <v>29000000</v>
      </c>
      <c r="U17" s="24">
        <v>8210000</v>
      </c>
      <c r="V17" s="24">
        <v>8550000</v>
      </c>
      <c r="W17">
        <f t="shared" si="8"/>
        <v>3.9363879703983659E-8</v>
      </c>
      <c r="X17">
        <f t="shared" si="9"/>
        <v>6.4871016691957509E-2</v>
      </c>
      <c r="Z17" s="9">
        <f>'KSE 100'!V44</f>
        <v>1.1990611121317893E-2</v>
      </c>
      <c r="AA17" s="78">
        <v>10</v>
      </c>
      <c r="AB17" s="79" t="s">
        <v>46</v>
      </c>
      <c r="AC17" s="79">
        <f>SLOPE(C404:C443,'KSE 100'!$V$30:$V$69)</f>
        <v>0.24430614047901139</v>
      </c>
      <c r="AD17" s="79">
        <f>INTERCEPT(C404:C443,'KSE 100'!$V$30:$V$69)</f>
        <v>-9.1976439832969746E-4</v>
      </c>
      <c r="AE17">
        <f>'Regressions(RSQ)'!AP32</f>
        <v>2.0494361307358974E-2</v>
      </c>
      <c r="AF17" s="80">
        <f t="shared" si="10"/>
        <v>3.8668982039418083</v>
      </c>
    </row>
    <row r="18" spans="1:32">
      <c r="A18" s="21">
        <v>45415</v>
      </c>
      <c r="B18" s="22">
        <v>6</v>
      </c>
      <c r="C18" s="23">
        <f t="shared" si="0"/>
        <v>8.1081081081081113E-2</v>
      </c>
      <c r="D18" s="22">
        <f t="shared" si="1"/>
        <v>4.4477100704339412E-2</v>
      </c>
      <c r="E18" s="22">
        <v>6</v>
      </c>
      <c r="F18" s="22">
        <v>5.5</v>
      </c>
      <c r="G18" s="22">
        <f t="shared" si="2"/>
        <v>8.6956521739130432E-2</v>
      </c>
      <c r="H18" s="22">
        <v>5.96</v>
      </c>
      <c r="I18" s="22">
        <v>5.8</v>
      </c>
      <c r="J18" s="22">
        <f t="shared" si="3"/>
        <v>2.721088435374152E-2</v>
      </c>
      <c r="K18" s="25">
        <v>79000</v>
      </c>
      <c r="L18" s="26">
        <v>12600000</v>
      </c>
      <c r="M18" s="24">
        <f t="shared" si="4"/>
        <v>474000</v>
      </c>
      <c r="N18" s="24">
        <v>67783446</v>
      </c>
      <c r="O18" s="24">
        <f t="shared" si="5"/>
        <v>1.1654763022818286E-3</v>
      </c>
      <c r="P18" s="10">
        <v>71902.09</v>
      </c>
      <c r="Q18" s="8">
        <v>0.21590000000000001</v>
      </c>
      <c r="R18" s="164">
        <v>131800000</v>
      </c>
      <c r="S18" s="24">
        <f t="shared" si="6"/>
        <v>279000000</v>
      </c>
      <c r="T18" s="24">
        <f t="shared" si="7"/>
        <v>29000000</v>
      </c>
      <c r="U18" s="24">
        <v>8210000</v>
      </c>
      <c r="V18" s="24">
        <v>8550000</v>
      </c>
      <c r="W18">
        <f t="shared" si="8"/>
        <v>1.7105713308244961E-7</v>
      </c>
      <c r="X18">
        <f t="shared" si="9"/>
        <v>6.4871016691957509E-2</v>
      </c>
      <c r="Z18" s="9">
        <f>'KSE 100'!V45</f>
        <v>1.7612391243183329E-2</v>
      </c>
      <c r="AA18" s="78">
        <v>11</v>
      </c>
      <c r="AB18" s="79" t="s">
        <v>47</v>
      </c>
      <c r="AC18" s="79">
        <f>SLOPE(C448:C487,'KSE 100'!$V$30:$V$69)</f>
        <v>7.9277423461569336</v>
      </c>
      <c r="AD18" s="79">
        <f>INTERCEPT(C448:C487,'KSE 100'!$V$30:$V$69)</f>
        <v>-7.5782740266793686E-2</v>
      </c>
      <c r="AE18">
        <f>'Regressions(RSQ)'!B52</f>
        <v>6.193590533233289E-2</v>
      </c>
      <c r="AF18" s="80">
        <f t="shared" si="10"/>
        <v>2.717718212515472</v>
      </c>
    </row>
    <row r="19" spans="1:32">
      <c r="A19" s="21">
        <v>45414</v>
      </c>
      <c r="B19" s="22">
        <v>5.55</v>
      </c>
      <c r="C19" s="23">
        <f t="shared" si="0"/>
        <v>-4.9657534246575347E-2</v>
      </c>
      <c r="D19" s="22">
        <f t="shared" si="1"/>
        <v>4.4477100704339412E-2</v>
      </c>
      <c r="E19" s="22">
        <v>5.84</v>
      </c>
      <c r="F19" s="22">
        <v>5.44</v>
      </c>
      <c r="G19" s="22">
        <f t="shared" si="2"/>
        <v>7.0921985815602731E-2</v>
      </c>
      <c r="H19" s="22">
        <v>5.59</v>
      </c>
      <c r="I19" s="22">
        <v>5.55</v>
      </c>
      <c r="J19" s="22">
        <f t="shared" si="3"/>
        <v>7.1813285457809758E-3</v>
      </c>
      <c r="K19" s="25">
        <v>96000</v>
      </c>
      <c r="L19" s="26">
        <v>12600000</v>
      </c>
      <c r="M19" s="24">
        <f t="shared" si="4"/>
        <v>532800</v>
      </c>
      <c r="N19" s="24">
        <v>67783446</v>
      </c>
      <c r="O19" s="24">
        <f t="shared" si="5"/>
        <v>1.4162750002412094E-3</v>
      </c>
      <c r="P19" s="10">
        <v>70657.64</v>
      </c>
      <c r="Q19" s="8">
        <v>0.21590000000000001</v>
      </c>
      <c r="R19" s="164">
        <v>131800000</v>
      </c>
      <c r="S19" s="24">
        <f t="shared" si="6"/>
        <v>279000000</v>
      </c>
      <c r="T19" s="24">
        <f t="shared" si="7"/>
        <v>29000000</v>
      </c>
      <c r="U19" s="24">
        <v>8210000</v>
      </c>
      <c r="V19" s="24">
        <v>8550000</v>
      </c>
      <c r="W19">
        <f t="shared" si="8"/>
        <v>9.3201077790118888E-8</v>
      </c>
      <c r="X19">
        <f t="shared" si="9"/>
        <v>6.4871016691957509E-2</v>
      </c>
      <c r="Z19" s="9">
        <f>'KSE 100'!V46</f>
        <v>-6.2573001952813227E-3</v>
      </c>
      <c r="AA19" s="78">
        <v>12</v>
      </c>
      <c r="AB19" s="79" t="s">
        <v>48</v>
      </c>
      <c r="AC19" s="79">
        <f>SLOPE(C492:C531,'KSE 100'!$V$30:$V$69)</f>
        <v>-3.2345442137061751</v>
      </c>
      <c r="AD19" s="79">
        <f>INTERCEPT(C492:C531,'KSE 100'!$V$30:$V$69)</f>
        <v>2.2267825186266809E-2</v>
      </c>
      <c r="AE19">
        <f>'Regressions(RSQ)'!L52</f>
        <v>0.10718724253041709</v>
      </c>
      <c r="AF19" s="80">
        <f t="shared" si="10"/>
        <v>2.1197996454966153</v>
      </c>
    </row>
    <row r="20" spans="1:32">
      <c r="A20" s="21">
        <v>45412</v>
      </c>
      <c r="B20" s="22">
        <v>5.84</v>
      </c>
      <c r="C20" s="23">
        <f t="shared" si="0"/>
        <v>-5.1107325383305362E-3</v>
      </c>
      <c r="D20" s="22">
        <f t="shared" si="1"/>
        <v>4.4477100704339412E-2</v>
      </c>
      <c r="E20" s="22">
        <v>5.95</v>
      </c>
      <c r="F20" s="22">
        <v>5.61</v>
      </c>
      <c r="G20" s="22">
        <f t="shared" si="2"/>
        <v>5.8823529411764677E-2</v>
      </c>
      <c r="H20" s="22">
        <v>5.87</v>
      </c>
      <c r="I20" s="22">
        <v>5.75</v>
      </c>
      <c r="J20" s="22">
        <f t="shared" si="3"/>
        <v>2.0654044750430308E-2</v>
      </c>
      <c r="K20" s="25">
        <v>88000</v>
      </c>
      <c r="L20" s="26">
        <v>12600000</v>
      </c>
      <c r="M20" s="24">
        <f t="shared" si="4"/>
        <v>513920</v>
      </c>
      <c r="N20" s="24">
        <v>67783446</v>
      </c>
      <c r="O20" s="24">
        <f t="shared" si="5"/>
        <v>1.298252083554442E-3</v>
      </c>
      <c r="P20" s="10">
        <v>71102.55</v>
      </c>
      <c r="Q20" s="8">
        <v>0.21590000000000001</v>
      </c>
      <c r="R20" s="164">
        <v>131800000</v>
      </c>
      <c r="S20" s="24">
        <f t="shared" si="6"/>
        <v>279000000</v>
      </c>
      <c r="T20" s="24">
        <f t="shared" si="7"/>
        <v>29000000</v>
      </c>
      <c r="U20" s="24">
        <v>8210000</v>
      </c>
      <c r="V20" s="24">
        <v>8550000</v>
      </c>
      <c r="W20">
        <f t="shared" si="8"/>
        <v>9.9446072118822704E-9</v>
      </c>
      <c r="X20">
        <f t="shared" si="9"/>
        <v>6.4871016691957509E-2</v>
      </c>
      <c r="Z20" s="9">
        <f>'KSE 100'!V47</f>
        <v>-8.2638922112174308E-3</v>
      </c>
      <c r="AA20" s="78">
        <v>13</v>
      </c>
      <c r="AB20" s="79" t="s">
        <v>53</v>
      </c>
      <c r="AC20" s="79">
        <f>SLOPE(C536:C575,'KSE 100'!$V$30:$V$69)</f>
        <v>0.77154124369764232</v>
      </c>
      <c r="AD20" s="79">
        <f>INTERCEPT(C536:C575,'KSE 100'!$V$30:$V$69)</f>
        <v>-2.2136281956022939E-3</v>
      </c>
      <c r="AE20">
        <f>'Regressions(RSQ)'!V52</f>
        <v>5.4355309041486694E-2</v>
      </c>
      <c r="AF20" s="80">
        <f t="shared" si="10"/>
        <v>2.8563246162943292</v>
      </c>
    </row>
    <row r="21" spans="1:32">
      <c r="A21" s="21">
        <v>45411</v>
      </c>
      <c r="B21" s="22">
        <v>5.87</v>
      </c>
      <c r="C21" s="23">
        <f t="shared" si="0"/>
        <v>-5.0847457627119065E-3</v>
      </c>
      <c r="D21" s="22">
        <f t="shared" si="1"/>
        <v>4.4477100704339412E-2</v>
      </c>
      <c r="E21" s="22">
        <v>6.15</v>
      </c>
      <c r="F21" s="22">
        <v>5.75</v>
      </c>
      <c r="G21" s="22">
        <f t="shared" si="2"/>
        <v>6.7226890756302574E-2</v>
      </c>
      <c r="H21" s="22">
        <v>5.9</v>
      </c>
      <c r="I21" s="22">
        <v>5.77</v>
      </c>
      <c r="J21" s="22">
        <f t="shared" si="3"/>
        <v>2.2279348757497992E-2</v>
      </c>
      <c r="K21" s="25">
        <v>75500</v>
      </c>
      <c r="L21" s="26">
        <v>12600000</v>
      </c>
      <c r="M21" s="24">
        <f t="shared" si="4"/>
        <v>443185</v>
      </c>
      <c r="N21" s="24">
        <v>67783446</v>
      </c>
      <c r="O21" s="24">
        <f t="shared" si="5"/>
        <v>1.1138412762313678E-3</v>
      </c>
      <c r="P21" s="10">
        <v>71695.03</v>
      </c>
      <c r="Q21" s="8">
        <v>0.21640000000000001</v>
      </c>
      <c r="R21" s="164">
        <v>131800000</v>
      </c>
      <c r="S21" s="24">
        <f t="shared" si="6"/>
        <v>279000000</v>
      </c>
      <c r="T21" s="24">
        <f t="shared" si="7"/>
        <v>29000000</v>
      </c>
      <c r="U21" s="24">
        <v>8210000</v>
      </c>
      <c r="V21" s="24">
        <v>8550000</v>
      </c>
      <c r="W21">
        <f t="shared" si="8"/>
        <v>1.1473190118600374E-8</v>
      </c>
      <c r="X21">
        <f t="shared" si="9"/>
        <v>6.4871016691957509E-2</v>
      </c>
      <c r="Z21" s="9">
        <f>'KSE 100'!V48</f>
        <v>-1.4403084843506742E-2</v>
      </c>
      <c r="AA21" s="78">
        <v>14</v>
      </c>
      <c r="AB21" s="79" t="s">
        <v>55</v>
      </c>
      <c r="AC21" s="79">
        <f>SLOPE(C580:C619,'KSE 100'!$V$30:$V$69)</f>
        <v>0.49642580139845849</v>
      </c>
      <c r="AD21" s="79">
        <f>INTERCEPT(C580:C619,'KSE 100'!$V$30:$V$69)</f>
        <v>1.5844594991380058E-3</v>
      </c>
      <c r="AE21">
        <f>'Regressions(RSQ)'!AF52</f>
        <v>7.9741708126214117E-2</v>
      </c>
      <c r="AF21" s="80">
        <f t="shared" si="10"/>
        <v>2.4458616197559877</v>
      </c>
    </row>
    <row r="22" spans="1:32" ht="15" thickBot="1">
      <c r="A22" s="21">
        <v>45408</v>
      </c>
      <c r="B22" s="22">
        <v>5.9</v>
      </c>
      <c r="C22" s="23">
        <f t="shared" si="0"/>
        <v>-3.4369885433715212E-2</v>
      </c>
      <c r="D22" s="22">
        <f t="shared" si="1"/>
        <v>4.4477100704339412E-2</v>
      </c>
      <c r="E22" s="22">
        <v>6.15</v>
      </c>
      <c r="F22" s="22">
        <v>5.87</v>
      </c>
      <c r="G22" s="22">
        <f t="shared" si="2"/>
        <v>4.6589018302828661E-2</v>
      </c>
      <c r="H22" s="22">
        <v>6.03</v>
      </c>
      <c r="I22" s="22">
        <v>5.87</v>
      </c>
      <c r="J22" s="22">
        <f t="shared" si="3"/>
        <v>2.6890756302521031E-2</v>
      </c>
      <c r="K22" s="25">
        <v>54000</v>
      </c>
      <c r="L22" s="26">
        <v>12600000</v>
      </c>
      <c r="M22" s="24">
        <f t="shared" si="4"/>
        <v>318600</v>
      </c>
      <c r="N22" s="24">
        <v>67783446</v>
      </c>
      <c r="O22" s="24">
        <f t="shared" si="5"/>
        <v>7.9665468763568021E-4</v>
      </c>
      <c r="P22" s="10">
        <v>72742.75</v>
      </c>
      <c r="Q22" s="8">
        <v>0.21640000000000001</v>
      </c>
      <c r="R22" s="164">
        <v>131800000</v>
      </c>
      <c r="S22" s="24">
        <f t="shared" si="6"/>
        <v>279000000</v>
      </c>
      <c r="T22" s="24">
        <f t="shared" si="7"/>
        <v>29000000</v>
      </c>
      <c r="U22" s="24">
        <v>8210000</v>
      </c>
      <c r="V22" s="24">
        <v>8550000</v>
      </c>
      <c r="W22">
        <f t="shared" si="8"/>
        <v>1.0787785760739238E-7</v>
      </c>
      <c r="X22">
        <f t="shared" si="9"/>
        <v>6.4871016691957509E-2</v>
      </c>
      <c r="Z22" s="9">
        <f>'KSE 100'!V49</f>
        <v>1.0717451654407168E-2</v>
      </c>
      <c r="AA22" s="81">
        <v>15</v>
      </c>
      <c r="AB22" s="165" t="s">
        <v>57</v>
      </c>
      <c r="AC22" s="79">
        <f>SLOPE(C624:C663,'KSE 100'!$V$30:$V$69)</f>
        <v>0.65506395770587977</v>
      </c>
      <c r="AD22" s="79">
        <f>INTERCEPT(C624:C663,'KSE 100'!$V$30:$V$69)</f>
        <v>-5.888447052343395E-4</v>
      </c>
      <c r="AE22">
        <f>'Regressions(RSQ)'!AP52</f>
        <v>5.1398381354536109E-2</v>
      </c>
      <c r="AF22" s="80">
        <f>IFERROR(LN((1-AE22)/AE22),0)</f>
        <v>2.9153822389856026</v>
      </c>
    </row>
    <row r="23" spans="1:32">
      <c r="A23" s="21">
        <v>45407</v>
      </c>
      <c r="B23" s="22">
        <v>6.11</v>
      </c>
      <c r="C23" s="23">
        <f t="shared" si="0"/>
        <v>8.250825082508368E-3</v>
      </c>
      <c r="D23" s="22">
        <f t="shared" si="1"/>
        <v>4.4477100704339412E-2</v>
      </c>
      <c r="E23" s="22">
        <v>6.15</v>
      </c>
      <c r="F23" s="22">
        <v>5.95</v>
      </c>
      <c r="G23" s="22">
        <f t="shared" si="2"/>
        <v>3.305785123966945E-2</v>
      </c>
      <c r="H23" s="22">
        <v>6.16</v>
      </c>
      <c r="I23" s="22">
        <v>6.04</v>
      </c>
      <c r="J23" s="22">
        <f t="shared" si="3"/>
        <v>1.9672131147541003E-2</v>
      </c>
      <c r="K23" s="25">
        <v>66000</v>
      </c>
      <c r="L23" s="26">
        <v>12600000</v>
      </c>
      <c r="M23" s="24">
        <f t="shared" si="4"/>
        <v>403260</v>
      </c>
      <c r="N23" s="24">
        <v>67783446</v>
      </c>
      <c r="O23" s="24">
        <f t="shared" si="5"/>
        <v>9.7368906266583142E-4</v>
      </c>
      <c r="P23" s="10">
        <v>71971.399999999994</v>
      </c>
      <c r="Q23" s="8">
        <v>0.21640000000000001</v>
      </c>
      <c r="R23" s="164">
        <v>131800000</v>
      </c>
      <c r="S23" s="24">
        <f t="shared" si="6"/>
        <v>279000000</v>
      </c>
      <c r="T23" s="24">
        <f t="shared" si="7"/>
        <v>29000000</v>
      </c>
      <c r="U23" s="24">
        <v>8210000</v>
      </c>
      <c r="V23" s="24">
        <v>8550000</v>
      </c>
      <c r="W23">
        <f t="shared" si="8"/>
        <v>2.0460311170233518E-8</v>
      </c>
      <c r="X23">
        <f t="shared" si="9"/>
        <v>6.4871016691957509E-2</v>
      </c>
      <c r="Z23" s="9">
        <f>'KSE 100'!V50</f>
        <v>-1.1171115705639367E-3</v>
      </c>
    </row>
    <row r="24" spans="1:32">
      <c r="A24" s="21">
        <v>45406</v>
      </c>
      <c r="B24" s="22">
        <v>6.06</v>
      </c>
      <c r="C24" s="23">
        <f t="shared" si="0"/>
        <v>-8.1833060556465963E-3</v>
      </c>
      <c r="D24" s="22">
        <f t="shared" si="1"/>
        <v>4.4477100704339412E-2</v>
      </c>
      <c r="E24" s="22">
        <v>6.28</v>
      </c>
      <c r="F24" s="22">
        <v>6</v>
      </c>
      <c r="G24" s="22">
        <f t="shared" si="2"/>
        <v>4.5602605863192217E-2</v>
      </c>
      <c r="H24" s="22">
        <v>6.09</v>
      </c>
      <c r="I24" s="22">
        <v>6.05</v>
      </c>
      <c r="J24" s="22">
        <f t="shared" si="3"/>
        <v>6.5897858319604666E-3</v>
      </c>
      <c r="K24" s="25">
        <v>148500</v>
      </c>
      <c r="L24" s="26">
        <v>12600000</v>
      </c>
      <c r="M24" s="24">
        <f t="shared" si="4"/>
        <v>899910</v>
      </c>
      <c r="N24" s="24">
        <v>67783446</v>
      </c>
      <c r="O24" s="24">
        <f t="shared" si="5"/>
        <v>2.1908003909981207E-3</v>
      </c>
      <c r="P24" s="10">
        <v>72051.89</v>
      </c>
      <c r="Q24" s="8">
        <v>0.21640000000000001</v>
      </c>
      <c r="R24" s="164">
        <v>131800000</v>
      </c>
      <c r="S24" s="24">
        <f t="shared" si="6"/>
        <v>279000000</v>
      </c>
      <c r="T24" s="24">
        <f t="shared" si="7"/>
        <v>29000000</v>
      </c>
      <c r="U24" s="24">
        <v>8210000</v>
      </c>
      <c r="V24" s="24">
        <v>8550000</v>
      </c>
      <c r="W24">
        <f t="shared" si="8"/>
        <v>9.0934716312148951E-9</v>
      </c>
      <c r="X24">
        <f t="shared" si="9"/>
        <v>6.4871016691957509E-2</v>
      </c>
      <c r="Z24" s="9">
        <f>'KSE 100'!V51</f>
        <v>9.7041161074622115E-3</v>
      </c>
    </row>
    <row r="25" spans="1:32">
      <c r="A25" s="21">
        <v>45405</v>
      </c>
      <c r="B25" s="22">
        <v>6.11</v>
      </c>
      <c r="C25" s="23">
        <f t="shared" si="0"/>
        <v>-0.11959654178674352</v>
      </c>
      <c r="D25" s="22">
        <f t="shared" si="1"/>
        <v>4.4477100704339412E-2</v>
      </c>
      <c r="E25" s="22">
        <v>7.49</v>
      </c>
      <c r="F25" s="22">
        <v>5.94</v>
      </c>
      <c r="G25" s="22">
        <f t="shared" si="2"/>
        <v>0.23082650781831718</v>
      </c>
      <c r="H25" s="22">
        <v>6.27</v>
      </c>
      <c r="I25" s="22">
        <v>6.1</v>
      </c>
      <c r="J25" s="22">
        <f t="shared" si="3"/>
        <v>2.7485852869846394E-2</v>
      </c>
      <c r="K25" s="25">
        <v>886500</v>
      </c>
      <c r="L25" s="26">
        <v>12600000</v>
      </c>
      <c r="M25" s="24">
        <f t="shared" si="4"/>
        <v>5416515</v>
      </c>
      <c r="N25" s="24">
        <v>67783446</v>
      </c>
      <c r="O25" s="24">
        <f t="shared" si="5"/>
        <v>1.3078414455352417E-2</v>
      </c>
      <c r="P25" s="10">
        <v>71359.41</v>
      </c>
      <c r="Q25" s="8">
        <v>0.21640000000000001</v>
      </c>
      <c r="R25" s="164">
        <v>131800000</v>
      </c>
      <c r="S25" s="24">
        <f t="shared" si="6"/>
        <v>279000000</v>
      </c>
      <c r="T25" s="24">
        <f t="shared" si="7"/>
        <v>29000000</v>
      </c>
      <c r="U25" s="24">
        <v>8210000</v>
      </c>
      <c r="V25" s="24">
        <v>8550000</v>
      </c>
      <c r="W25">
        <f t="shared" si="8"/>
        <v>2.2079979800063974E-8</v>
      </c>
      <c r="X25">
        <f t="shared" si="9"/>
        <v>6.4871016691957509E-2</v>
      </c>
      <c r="Z25" s="9">
        <f>'KSE 100'!V52</f>
        <v>-1.0366290531076052E-3</v>
      </c>
    </row>
    <row r="26" spans="1:32">
      <c r="A26" s="21">
        <v>45404</v>
      </c>
      <c r="B26" s="22">
        <v>6.94</v>
      </c>
      <c r="C26" s="23">
        <f t="shared" si="0"/>
        <v>0.16835016835016833</v>
      </c>
      <c r="D26" s="22">
        <f t="shared" si="1"/>
        <v>4.4477100704339412E-2</v>
      </c>
      <c r="E26" s="22">
        <v>6.94</v>
      </c>
      <c r="F26" s="22">
        <v>5.75</v>
      </c>
      <c r="G26" s="22">
        <f t="shared" si="2"/>
        <v>0.18754925137903866</v>
      </c>
      <c r="H26" s="22"/>
      <c r="I26" s="22">
        <v>6.94</v>
      </c>
      <c r="J26" s="22">
        <f t="shared" si="3"/>
        <v>-1</v>
      </c>
      <c r="K26" s="25">
        <v>771000</v>
      </c>
      <c r="L26" s="26">
        <v>12600000</v>
      </c>
      <c r="M26" s="24">
        <f t="shared" si="4"/>
        <v>5350740</v>
      </c>
      <c r="N26" s="24">
        <v>67783446</v>
      </c>
      <c r="O26" s="24">
        <f t="shared" si="5"/>
        <v>1.1374458595687212E-2</v>
      </c>
      <c r="P26" s="10">
        <v>71433.460000000006</v>
      </c>
      <c r="Q26" s="8">
        <v>0.21640000000000001</v>
      </c>
      <c r="R26" s="164">
        <v>131800000</v>
      </c>
      <c r="S26" s="24">
        <f t="shared" si="6"/>
        <v>279000000</v>
      </c>
      <c r="T26" s="24">
        <f t="shared" si="7"/>
        <v>29000000</v>
      </c>
      <c r="U26" s="24">
        <v>8210000</v>
      </c>
      <c r="V26" s="24">
        <v>8550000</v>
      </c>
      <c r="W26">
        <f t="shared" si="8"/>
        <v>3.1462969299604979E-8</v>
      </c>
      <c r="X26">
        <f t="shared" si="9"/>
        <v>6.4871016691957509E-2</v>
      </c>
      <c r="Z26" s="9">
        <f>'KSE 100'!V53</f>
        <v>7.383454214432681E-3</v>
      </c>
    </row>
    <row r="27" spans="1:32">
      <c r="A27" s="21">
        <v>45401</v>
      </c>
      <c r="B27" s="22">
        <v>5.94</v>
      </c>
      <c r="C27" s="23">
        <f t="shared" si="0"/>
        <v>-3.7277147487844331E-2</v>
      </c>
      <c r="D27" s="22">
        <f t="shared" si="1"/>
        <v>4.4477100704339412E-2</v>
      </c>
      <c r="E27" s="22">
        <v>6.2</v>
      </c>
      <c r="F27" s="22">
        <v>5.75</v>
      </c>
      <c r="G27" s="22">
        <f t="shared" si="2"/>
        <v>7.5313807531380783E-2</v>
      </c>
      <c r="H27" s="22">
        <v>5.99</v>
      </c>
      <c r="I27" s="22">
        <v>5.81</v>
      </c>
      <c r="J27" s="22">
        <f t="shared" si="3"/>
        <v>3.0508474576271288E-2</v>
      </c>
      <c r="K27" s="25">
        <v>137500</v>
      </c>
      <c r="L27" s="26">
        <v>12600000</v>
      </c>
      <c r="M27" s="24">
        <f t="shared" si="4"/>
        <v>816750</v>
      </c>
      <c r="N27" s="24">
        <v>67783446</v>
      </c>
      <c r="O27" s="24">
        <f t="shared" si="5"/>
        <v>2.0285188805538156E-3</v>
      </c>
      <c r="P27" s="10">
        <v>70909.899999999994</v>
      </c>
      <c r="Q27" s="8">
        <v>0.21640000000000001</v>
      </c>
      <c r="R27" s="164">
        <v>131800000</v>
      </c>
      <c r="S27" s="24">
        <f t="shared" si="6"/>
        <v>279000000</v>
      </c>
      <c r="T27" s="24">
        <f t="shared" si="7"/>
        <v>29000000</v>
      </c>
      <c r="U27" s="24">
        <v>8210000</v>
      </c>
      <c r="V27" s="24">
        <v>8550000</v>
      </c>
      <c r="W27">
        <f t="shared" si="8"/>
        <v>4.5640829492310167E-8</v>
      </c>
      <c r="X27">
        <f t="shared" si="9"/>
        <v>6.4871016691957509E-2</v>
      </c>
      <c r="Z27" s="9">
        <f>'KSE 100'!V54</f>
        <v>8.817455426168002E-3</v>
      </c>
    </row>
    <row r="28" spans="1:32">
      <c r="A28" s="21">
        <v>45400</v>
      </c>
      <c r="B28" s="22">
        <v>6.17</v>
      </c>
      <c r="C28" s="23">
        <f t="shared" si="0"/>
        <v>6.3793103448275879E-2</v>
      </c>
      <c r="D28" s="22">
        <f t="shared" si="1"/>
        <v>4.4477100704339412E-2</v>
      </c>
      <c r="E28" s="22">
        <v>6.8</v>
      </c>
      <c r="F28" s="22">
        <v>5.8</v>
      </c>
      <c r="G28" s="22">
        <f t="shared" si="2"/>
        <v>0.15873015873015872</v>
      </c>
      <c r="H28" s="22">
        <v>6</v>
      </c>
      <c r="I28" s="22">
        <v>5.95</v>
      </c>
      <c r="J28" s="22">
        <f t="shared" si="3"/>
        <v>8.3682008368200552E-3</v>
      </c>
      <c r="K28" s="25">
        <v>1217000</v>
      </c>
      <c r="L28" s="26">
        <v>12600000</v>
      </c>
      <c r="M28" s="24">
        <f t="shared" si="4"/>
        <v>7508890</v>
      </c>
      <c r="N28" s="24">
        <v>67783446</v>
      </c>
      <c r="O28" s="24">
        <f t="shared" si="5"/>
        <v>1.7954236200974496E-2</v>
      </c>
      <c r="P28" s="10">
        <v>70290.12</v>
      </c>
      <c r="Q28" s="8">
        <v>0.21640000000000001</v>
      </c>
      <c r="R28" s="164">
        <v>131800000</v>
      </c>
      <c r="S28" s="24">
        <f t="shared" si="6"/>
        <v>279000000</v>
      </c>
      <c r="T28" s="24">
        <f t="shared" si="7"/>
        <v>29000000</v>
      </c>
      <c r="U28" s="24">
        <v>8210000</v>
      </c>
      <c r="V28" s="24">
        <v>8550000</v>
      </c>
      <c r="W28">
        <f t="shared" si="8"/>
        <v>8.4956769173973619E-9</v>
      </c>
      <c r="X28">
        <f t="shared" si="9"/>
        <v>6.4871016691957509E-2</v>
      </c>
      <c r="Z28" s="9">
        <f>'KSE 100'!V55</f>
        <v>-6.1421812591812806E-4</v>
      </c>
    </row>
    <row r="29" spans="1:32">
      <c r="A29" s="21">
        <v>45399</v>
      </c>
      <c r="B29" s="22">
        <v>5.8</v>
      </c>
      <c r="C29" s="23">
        <f t="shared" si="0"/>
        <v>-1.0238907849829436E-2</v>
      </c>
      <c r="D29" s="22">
        <f t="shared" si="1"/>
        <v>4.4477100704339412E-2</v>
      </c>
      <c r="E29" s="22">
        <v>5.94</v>
      </c>
      <c r="F29" s="22">
        <v>5.75</v>
      </c>
      <c r="G29" s="22">
        <f t="shared" si="2"/>
        <v>3.2506415739948738E-2</v>
      </c>
      <c r="H29" s="22">
        <v>5.76</v>
      </c>
      <c r="I29" s="22">
        <v>5.7</v>
      </c>
      <c r="J29" s="22">
        <f t="shared" si="3"/>
        <v>1.0471204188481607E-2</v>
      </c>
      <c r="K29" s="25">
        <v>8500</v>
      </c>
      <c r="L29" s="26">
        <v>12600000</v>
      </c>
      <c r="M29" s="24">
        <f t="shared" si="4"/>
        <v>49300</v>
      </c>
      <c r="N29" s="24">
        <v>67783446</v>
      </c>
      <c r="O29" s="24">
        <f t="shared" si="5"/>
        <v>1.2539934897969041E-4</v>
      </c>
      <c r="P29" s="10">
        <v>70333.320000000007</v>
      </c>
      <c r="Q29" s="8">
        <v>0.21640000000000001</v>
      </c>
      <c r="R29" s="164">
        <v>131800000</v>
      </c>
      <c r="S29" s="24">
        <f t="shared" si="6"/>
        <v>279000000</v>
      </c>
      <c r="T29" s="24">
        <f t="shared" si="7"/>
        <v>29000000</v>
      </c>
      <c r="U29" s="24">
        <v>8210000</v>
      </c>
      <c r="V29" s="24">
        <v>8550000</v>
      </c>
      <c r="W29">
        <f t="shared" si="8"/>
        <v>2.0768575760303117E-7</v>
      </c>
      <c r="X29">
        <f t="shared" si="9"/>
        <v>6.4871016691957509E-2</v>
      </c>
      <c r="Z29" s="9">
        <f>'KSE 100'!V56</f>
        <v>-2.1329766360032947E-3</v>
      </c>
    </row>
    <row r="30" spans="1:32">
      <c r="A30" s="21">
        <v>45398</v>
      </c>
      <c r="B30" s="22">
        <v>5.86</v>
      </c>
      <c r="C30" s="23">
        <f t="shared" si="0"/>
        <v>1.913043478260875E-2</v>
      </c>
      <c r="D30" s="22">
        <f t="shared" si="1"/>
        <v>4.4477100704339412E-2</v>
      </c>
      <c r="E30" s="22">
        <v>5.9</v>
      </c>
      <c r="F30" s="22">
        <v>5.5</v>
      </c>
      <c r="G30" s="22">
        <f t="shared" si="2"/>
        <v>7.0175438596491294E-2</v>
      </c>
      <c r="H30" s="22">
        <v>5.9</v>
      </c>
      <c r="I30" s="22">
        <v>5.8</v>
      </c>
      <c r="J30" s="22">
        <f t="shared" si="3"/>
        <v>1.7094017094017186E-2</v>
      </c>
      <c r="K30" s="25">
        <v>101000</v>
      </c>
      <c r="L30" s="26">
        <v>12600000</v>
      </c>
      <c r="M30" s="24">
        <f t="shared" si="4"/>
        <v>591860</v>
      </c>
      <c r="N30" s="24">
        <v>67783446</v>
      </c>
      <c r="O30" s="24">
        <f t="shared" si="5"/>
        <v>1.4900393231704391E-3</v>
      </c>
      <c r="P30" s="10">
        <v>70483.66</v>
      </c>
      <c r="Q30" s="8">
        <v>0.216</v>
      </c>
      <c r="R30" s="164">
        <v>131800000</v>
      </c>
      <c r="S30" s="24">
        <f t="shared" si="6"/>
        <v>279000000</v>
      </c>
      <c r="T30" s="24">
        <f t="shared" si="7"/>
        <v>29000000</v>
      </c>
      <c r="U30" s="24">
        <v>8210000</v>
      </c>
      <c r="V30" s="24">
        <v>8550000</v>
      </c>
      <c r="W30">
        <f t="shared" si="8"/>
        <v>3.2322567469686667E-8</v>
      </c>
      <c r="X30">
        <f t="shared" si="9"/>
        <v>6.4871016691957509E-2</v>
      </c>
      <c r="Z30" s="9">
        <f>'KSE 100'!V57</f>
        <v>-8.6356740659594255E-4</v>
      </c>
    </row>
    <row r="31" spans="1:32">
      <c r="A31" s="21">
        <v>45397</v>
      </c>
      <c r="B31" s="22">
        <v>5.75</v>
      </c>
      <c r="C31" s="23">
        <f t="shared" si="0"/>
        <v>3.4904013961604839E-3</v>
      </c>
      <c r="D31" s="22">
        <f t="shared" si="1"/>
        <v>4.4477100704339412E-2</v>
      </c>
      <c r="E31" s="22">
        <v>5.91</v>
      </c>
      <c r="F31" s="22">
        <v>5.5</v>
      </c>
      <c r="G31" s="22">
        <f t="shared" si="2"/>
        <v>7.1866783523225258E-2</v>
      </c>
      <c r="H31" s="22">
        <v>5.84</v>
      </c>
      <c r="I31" s="22">
        <v>5.7</v>
      </c>
      <c r="J31" s="22">
        <f t="shared" si="3"/>
        <v>2.4263431542460953E-2</v>
      </c>
      <c r="K31" s="25">
        <v>20500</v>
      </c>
      <c r="L31" s="26">
        <v>12600000</v>
      </c>
      <c r="M31" s="24">
        <f t="shared" si="4"/>
        <v>117875</v>
      </c>
      <c r="N31" s="24">
        <v>67783446</v>
      </c>
      <c r="O31" s="24">
        <f t="shared" si="5"/>
        <v>3.0243372400984156E-4</v>
      </c>
      <c r="P31" s="10">
        <v>70544.58</v>
      </c>
      <c r="Q31" s="8">
        <v>0.216</v>
      </c>
      <c r="R31" s="164">
        <v>131800000</v>
      </c>
      <c r="S31" s="24">
        <f t="shared" si="6"/>
        <v>279000000</v>
      </c>
      <c r="T31" s="24">
        <f t="shared" si="7"/>
        <v>29000000</v>
      </c>
      <c r="U31" s="24">
        <v>8210000</v>
      </c>
      <c r="V31" s="24">
        <v>8550000</v>
      </c>
      <c r="W31">
        <f t="shared" si="8"/>
        <v>2.961104047644101E-8</v>
      </c>
      <c r="X31">
        <f t="shared" si="9"/>
        <v>6.4871016691957509E-2</v>
      </c>
      <c r="Z31" s="9">
        <f>'KSE 100'!V58</f>
        <v>3.2690167862433357E-3</v>
      </c>
    </row>
    <row r="32" spans="1:32">
      <c r="A32" s="21">
        <v>45391</v>
      </c>
      <c r="B32" s="22">
        <v>5.73</v>
      </c>
      <c r="C32" s="23">
        <f t="shared" si="0"/>
        <v>1.776198934280649E-2</v>
      </c>
      <c r="D32" s="22">
        <f t="shared" si="1"/>
        <v>4.4477100704339412E-2</v>
      </c>
      <c r="E32" s="22">
        <v>5.93</v>
      </c>
      <c r="F32" s="22">
        <v>5.36</v>
      </c>
      <c r="G32" s="22">
        <f t="shared" si="2"/>
        <v>0.10097431355181567</v>
      </c>
      <c r="H32" s="22">
        <v>5.85</v>
      </c>
      <c r="I32" s="22">
        <v>5.6</v>
      </c>
      <c r="J32" s="22">
        <f t="shared" si="3"/>
        <v>4.3668122270742363E-2</v>
      </c>
      <c r="K32" s="25">
        <v>55000</v>
      </c>
      <c r="L32" s="26">
        <v>12600000</v>
      </c>
      <c r="M32" s="24">
        <f t="shared" si="4"/>
        <v>315150</v>
      </c>
      <c r="N32" s="24">
        <v>67783446</v>
      </c>
      <c r="O32" s="24">
        <f t="shared" si="5"/>
        <v>8.114075522215262E-4</v>
      </c>
      <c r="P32" s="10">
        <v>70314.720000000001</v>
      </c>
      <c r="Q32" s="8">
        <v>0.216</v>
      </c>
      <c r="R32" s="164">
        <v>131800000</v>
      </c>
      <c r="S32" s="24">
        <f t="shared" si="6"/>
        <v>279000000</v>
      </c>
      <c r="T32" s="24">
        <f t="shared" si="7"/>
        <v>29000000</v>
      </c>
      <c r="U32" s="24">
        <v>8210000</v>
      </c>
      <c r="V32" s="24">
        <v>8550000</v>
      </c>
      <c r="W32">
        <f t="shared" si="8"/>
        <v>5.6360429455200665E-8</v>
      </c>
      <c r="X32">
        <f t="shared" si="9"/>
        <v>6.4871016691957509E-2</v>
      </c>
      <c r="Z32" s="9">
        <f>'KSE 100'!V59</f>
        <v>9.9788868111012358E-3</v>
      </c>
    </row>
    <row r="33" spans="1:26">
      <c r="A33" s="21">
        <v>45390</v>
      </c>
      <c r="B33" s="22">
        <v>5.63</v>
      </c>
      <c r="C33" s="23">
        <f t="shared" si="0"/>
        <v>-3.5958904109589039E-2</v>
      </c>
      <c r="D33" s="22">
        <f t="shared" si="1"/>
        <v>4.4477100704339412E-2</v>
      </c>
      <c r="E33" s="22">
        <v>5.8</v>
      </c>
      <c r="F33" s="22">
        <v>5.51</v>
      </c>
      <c r="G33" s="22">
        <f t="shared" si="2"/>
        <v>5.1282051282051294E-2</v>
      </c>
      <c r="H33" s="22">
        <v>5.77</v>
      </c>
      <c r="I33" s="22">
        <v>5.7</v>
      </c>
      <c r="J33" s="22">
        <f t="shared" si="3"/>
        <v>1.2205754141237908E-2</v>
      </c>
      <c r="K33" s="25">
        <v>38500</v>
      </c>
      <c r="L33" s="26">
        <v>12600000</v>
      </c>
      <c r="M33" s="24">
        <f t="shared" si="4"/>
        <v>216755</v>
      </c>
      <c r="N33" s="24">
        <v>67783446</v>
      </c>
      <c r="O33" s="24">
        <f t="shared" si="5"/>
        <v>5.6798528655506832E-4</v>
      </c>
      <c r="P33" s="10">
        <v>69619.990000000005</v>
      </c>
      <c r="Q33" s="8">
        <v>0.216</v>
      </c>
      <c r="R33" s="164">
        <v>131800000</v>
      </c>
      <c r="S33" s="24">
        <f t="shared" si="6"/>
        <v>279000000</v>
      </c>
      <c r="T33" s="24">
        <f t="shared" si="7"/>
        <v>29000000</v>
      </c>
      <c r="U33" s="24">
        <v>8210000</v>
      </c>
      <c r="V33" s="24">
        <v>8550000</v>
      </c>
      <c r="W33">
        <f t="shared" si="8"/>
        <v>1.6589653807104352E-7</v>
      </c>
      <c r="X33">
        <f t="shared" si="9"/>
        <v>6.4871016691957509E-2</v>
      </c>
      <c r="Z33" s="9">
        <f>'KSE 100'!V60</f>
        <v>1.7586475130808552E-2</v>
      </c>
    </row>
    <row r="34" spans="1:26">
      <c r="A34" s="21">
        <v>45386</v>
      </c>
      <c r="B34" s="22">
        <v>5.84</v>
      </c>
      <c r="C34" s="23">
        <f t="shared" si="0"/>
        <v>1.2131715771230553E-2</v>
      </c>
      <c r="D34" s="22">
        <f t="shared" si="1"/>
        <v>4.4477100704339412E-2</v>
      </c>
      <c r="E34" s="22">
        <v>5.91</v>
      </c>
      <c r="F34" s="22">
        <v>5.6</v>
      </c>
      <c r="G34" s="22">
        <f t="shared" si="2"/>
        <v>5.3866203301477067E-2</v>
      </c>
      <c r="H34" s="22">
        <v>5.91</v>
      </c>
      <c r="I34" s="22">
        <v>5.7</v>
      </c>
      <c r="J34" s="22">
        <f t="shared" si="3"/>
        <v>3.6175710594315243E-2</v>
      </c>
      <c r="K34" s="25">
        <v>31000</v>
      </c>
      <c r="L34" s="26">
        <v>12600000</v>
      </c>
      <c r="M34" s="24">
        <f t="shared" si="4"/>
        <v>181040</v>
      </c>
      <c r="N34" s="24">
        <v>67783446</v>
      </c>
      <c r="O34" s="24">
        <f t="shared" si="5"/>
        <v>4.5733880216122384E-4</v>
      </c>
      <c r="P34" s="10">
        <v>68416.78</v>
      </c>
      <c r="Q34" s="8">
        <v>0.216</v>
      </c>
      <c r="R34" s="164">
        <v>131800000</v>
      </c>
      <c r="S34" s="24">
        <f t="shared" si="6"/>
        <v>279000000</v>
      </c>
      <c r="T34" s="24">
        <f t="shared" si="7"/>
        <v>29000000</v>
      </c>
      <c r="U34" s="24">
        <v>8210000</v>
      </c>
      <c r="V34" s="24">
        <v>8550000</v>
      </c>
      <c r="W34">
        <f t="shared" si="8"/>
        <v>6.701124486981083E-8</v>
      </c>
      <c r="X34">
        <f t="shared" si="9"/>
        <v>6.4871016691957509E-2</v>
      </c>
      <c r="Z34" s="9">
        <f>'KSE 100'!V61</f>
        <v>9.7517505450436612E-3</v>
      </c>
    </row>
    <row r="35" spans="1:26">
      <c r="A35" s="21">
        <v>45385</v>
      </c>
      <c r="B35" s="22">
        <v>5.77</v>
      </c>
      <c r="C35" s="23">
        <f t="shared" si="0"/>
        <v>-1.7035775127768403E-2</v>
      </c>
      <c r="D35" s="22">
        <f t="shared" si="1"/>
        <v>4.4477100704339412E-2</v>
      </c>
      <c r="E35" s="22">
        <v>5.89</v>
      </c>
      <c r="F35" s="22">
        <v>5.6</v>
      </c>
      <c r="G35" s="22">
        <f t="shared" si="2"/>
        <v>5.047867711053091E-2</v>
      </c>
      <c r="H35" s="22">
        <v>5.84</v>
      </c>
      <c r="I35" s="22">
        <v>5.77</v>
      </c>
      <c r="J35" s="22">
        <f t="shared" si="3"/>
        <v>1.2058570198105131E-2</v>
      </c>
      <c r="K35" s="25">
        <v>42000</v>
      </c>
      <c r="L35" s="26">
        <v>12600000</v>
      </c>
      <c r="M35" s="24">
        <f t="shared" si="4"/>
        <v>242339.99999999997</v>
      </c>
      <c r="N35" s="24">
        <v>67783446</v>
      </c>
      <c r="O35" s="24">
        <f t="shared" si="5"/>
        <v>6.1962031260552912E-4</v>
      </c>
      <c r="P35" s="10">
        <v>67756.039999999994</v>
      </c>
      <c r="Q35" s="8">
        <v>0.216</v>
      </c>
      <c r="R35" s="164">
        <v>131800000</v>
      </c>
      <c r="S35" s="24">
        <f t="shared" si="6"/>
        <v>279000000</v>
      </c>
      <c r="T35" s="24">
        <f t="shared" si="7"/>
        <v>29000000</v>
      </c>
      <c r="U35" s="24">
        <v>8210000</v>
      </c>
      <c r="V35" s="24">
        <v>8550000</v>
      </c>
      <c r="W35">
        <f t="shared" si="8"/>
        <v>7.0297000609756557E-8</v>
      </c>
      <c r="X35">
        <f t="shared" si="9"/>
        <v>6.4871016691957509E-2</v>
      </c>
      <c r="Z35" s="9">
        <f>'KSE 100'!V62</f>
        <v>1.3003866563925088E-2</v>
      </c>
    </row>
    <row r="36" spans="1:26">
      <c r="A36" s="21">
        <v>45384</v>
      </c>
      <c r="B36" s="22">
        <v>5.87</v>
      </c>
      <c r="C36" s="23">
        <f t="shared" si="0"/>
        <v>3.8938053097345084E-2</v>
      </c>
      <c r="D36" s="22">
        <f t="shared" si="1"/>
        <v>4.4477100704339412E-2</v>
      </c>
      <c r="E36" s="22">
        <v>5.87</v>
      </c>
      <c r="F36" s="22">
        <v>5.35</v>
      </c>
      <c r="G36" s="22">
        <f t="shared" si="2"/>
        <v>9.2691622103386898E-2</v>
      </c>
      <c r="H36" s="22">
        <v>5.84</v>
      </c>
      <c r="I36" s="22">
        <v>5.6</v>
      </c>
      <c r="J36" s="22">
        <f t="shared" si="3"/>
        <v>4.1958041958041994E-2</v>
      </c>
      <c r="K36" s="25">
        <v>15500</v>
      </c>
      <c r="L36" s="26">
        <v>12600000</v>
      </c>
      <c r="M36" s="24">
        <f t="shared" si="4"/>
        <v>90985</v>
      </c>
      <c r="N36" s="24">
        <v>67783446</v>
      </c>
      <c r="O36" s="24">
        <f t="shared" si="5"/>
        <v>2.2866940108061192E-4</v>
      </c>
      <c r="P36" s="10">
        <v>66886.259999999995</v>
      </c>
      <c r="Q36" s="8">
        <v>0.216</v>
      </c>
      <c r="R36" s="164">
        <v>131800000</v>
      </c>
      <c r="S36" s="24">
        <f t="shared" si="6"/>
        <v>279000000</v>
      </c>
      <c r="T36" s="24">
        <f t="shared" si="7"/>
        <v>29000000</v>
      </c>
      <c r="U36" s="24">
        <v>8210000</v>
      </c>
      <c r="V36" s="24">
        <v>8550000</v>
      </c>
      <c r="W36">
        <f t="shared" si="8"/>
        <v>4.279612364383699E-7</v>
      </c>
      <c r="X36">
        <f t="shared" si="9"/>
        <v>6.4871016691957509E-2</v>
      </c>
      <c r="Z36" s="9">
        <f>'KSE 100'!V63</f>
        <v>1.3464813630451496E-3</v>
      </c>
    </row>
    <row r="37" spans="1:26">
      <c r="A37" s="21">
        <v>45383</v>
      </c>
      <c r="B37" s="22">
        <v>5.65</v>
      </c>
      <c r="C37" s="23">
        <f t="shared" si="0"/>
        <v>-5.2816901408449584E-3</v>
      </c>
      <c r="D37" s="22">
        <f t="shared" si="1"/>
        <v>4.4477100704339412E-2</v>
      </c>
      <c r="E37" s="22">
        <v>5.89</v>
      </c>
      <c r="F37" s="22">
        <v>5.5</v>
      </c>
      <c r="G37" s="22">
        <f t="shared" si="2"/>
        <v>6.8481123792800649E-2</v>
      </c>
      <c r="H37" s="22">
        <v>5.7</v>
      </c>
      <c r="I37" s="22">
        <v>5.58</v>
      </c>
      <c r="J37" s="22">
        <f t="shared" si="3"/>
        <v>2.1276595744680868E-2</v>
      </c>
      <c r="K37" s="25">
        <v>12500</v>
      </c>
      <c r="L37" s="26">
        <v>12600000</v>
      </c>
      <c r="M37" s="24">
        <f t="shared" si="4"/>
        <v>70625</v>
      </c>
      <c r="N37" s="24">
        <v>67783446</v>
      </c>
      <c r="O37" s="24">
        <f t="shared" si="5"/>
        <v>1.8441080732307412E-4</v>
      </c>
      <c r="P37" s="10">
        <v>66796.320000000007</v>
      </c>
      <c r="Q37" s="8">
        <v>0.216</v>
      </c>
      <c r="R37" s="164">
        <v>131800000</v>
      </c>
      <c r="S37" s="24">
        <f t="shared" si="6"/>
        <v>279000000</v>
      </c>
      <c r="T37" s="24">
        <f t="shared" si="7"/>
        <v>29000000</v>
      </c>
      <c r="U37" s="24">
        <v>8210000</v>
      </c>
      <c r="V37" s="24">
        <v>8550000</v>
      </c>
      <c r="W37">
        <f t="shared" si="8"/>
        <v>7.4784993144707379E-8</v>
      </c>
      <c r="X37">
        <f t="shared" si="9"/>
        <v>6.4871016691957509E-2</v>
      </c>
      <c r="Z37" s="9">
        <f>'KSE 100'!V64</f>
        <v>-3.1160310012176683E-3</v>
      </c>
    </row>
    <row r="38" spans="1:26">
      <c r="A38" s="21">
        <v>45380</v>
      </c>
      <c r="B38" s="22">
        <v>5.68</v>
      </c>
      <c r="C38" s="23">
        <f t="shared" si="0"/>
        <v>-3.5653650254668927E-2</v>
      </c>
      <c r="D38" s="22">
        <f t="shared" si="1"/>
        <v>4.4477100704339412E-2</v>
      </c>
      <c r="E38" s="22">
        <v>5.91</v>
      </c>
      <c r="F38" s="22">
        <v>5.55</v>
      </c>
      <c r="G38" s="22">
        <f t="shared" si="2"/>
        <v>6.2827225130890105E-2</v>
      </c>
      <c r="H38" s="22">
        <v>5.83</v>
      </c>
      <c r="I38" s="22">
        <v>5.6</v>
      </c>
      <c r="J38" s="22">
        <f t="shared" si="3"/>
        <v>4.0244969378827725E-2</v>
      </c>
      <c r="K38" s="25">
        <v>75000</v>
      </c>
      <c r="L38" s="26">
        <v>12600000</v>
      </c>
      <c r="M38" s="24">
        <f t="shared" si="4"/>
        <v>426000</v>
      </c>
      <c r="N38" s="24">
        <v>67783446</v>
      </c>
      <c r="O38" s="24">
        <f t="shared" si="5"/>
        <v>1.1064648439384449E-3</v>
      </c>
      <c r="P38" s="10">
        <v>67005.11</v>
      </c>
      <c r="Q38" s="8">
        <v>0.216</v>
      </c>
      <c r="R38" s="164">
        <v>131800000</v>
      </c>
      <c r="S38" s="24">
        <f t="shared" si="6"/>
        <v>279000000</v>
      </c>
      <c r="T38" s="24">
        <f t="shared" si="7"/>
        <v>29000000</v>
      </c>
      <c r="U38" s="24">
        <v>8210000</v>
      </c>
      <c r="V38" s="24">
        <v>8550000</v>
      </c>
      <c r="W38">
        <f t="shared" si="8"/>
        <v>8.3694014682321428E-8</v>
      </c>
      <c r="X38">
        <f t="shared" si="9"/>
        <v>6.4871016691957509E-2</v>
      </c>
      <c r="Z38" s="9">
        <f>'KSE 100'!V65</f>
        <v>-2.0405968712337353E-3</v>
      </c>
    </row>
    <row r="39" spans="1:26">
      <c r="A39" s="21">
        <v>45379</v>
      </c>
      <c r="B39" s="22">
        <v>5.89</v>
      </c>
      <c r="C39" s="23">
        <f t="shared" si="0"/>
        <v>2.2569444444444427E-2</v>
      </c>
      <c r="D39" s="22">
        <f t="shared" si="1"/>
        <v>4.4477100704339412E-2</v>
      </c>
      <c r="E39" s="22">
        <v>5.92</v>
      </c>
      <c r="F39" s="22">
        <v>5.8</v>
      </c>
      <c r="G39" s="22">
        <f t="shared" si="2"/>
        <v>2.0477815699658723E-2</v>
      </c>
      <c r="H39" s="22">
        <v>5.9</v>
      </c>
      <c r="I39" s="22">
        <v>5.76</v>
      </c>
      <c r="J39" s="22">
        <f t="shared" si="3"/>
        <v>2.401372212692977E-2</v>
      </c>
      <c r="K39" s="25">
        <v>49500</v>
      </c>
      <c r="L39" s="26">
        <v>12600000</v>
      </c>
      <c r="M39" s="24">
        <f t="shared" si="4"/>
        <v>291555</v>
      </c>
      <c r="N39" s="24">
        <v>67783446</v>
      </c>
      <c r="O39" s="24">
        <f t="shared" si="5"/>
        <v>7.3026679699937354E-4</v>
      </c>
      <c r="P39" s="10">
        <v>67142.12</v>
      </c>
      <c r="Q39" s="8">
        <v>0.216</v>
      </c>
      <c r="R39" s="164">
        <v>131800000</v>
      </c>
      <c r="S39" s="24">
        <f t="shared" si="6"/>
        <v>279000000</v>
      </c>
      <c r="T39" s="24">
        <f t="shared" si="7"/>
        <v>29000000</v>
      </c>
      <c r="U39" s="24">
        <v>8210000</v>
      </c>
      <c r="V39" s="24">
        <v>8550000</v>
      </c>
      <c r="W39">
        <f t="shared" si="8"/>
        <v>7.7410589578105077E-8</v>
      </c>
      <c r="X39">
        <f t="shared" si="9"/>
        <v>6.4871016691957509E-2</v>
      </c>
      <c r="Z39" s="9">
        <f>'KSE 100'!V66</f>
        <v>8.9308750899165859E-3</v>
      </c>
    </row>
    <row r="40" spans="1:26">
      <c r="A40" s="21">
        <v>45378</v>
      </c>
      <c r="B40" s="22">
        <v>5.76</v>
      </c>
      <c r="C40" s="23">
        <f t="shared" si="0"/>
        <v>-2.5380710659898536E-2</v>
      </c>
      <c r="D40" s="22">
        <f t="shared" si="1"/>
        <v>4.4477100704339412E-2</v>
      </c>
      <c r="E40" s="22">
        <v>5.99</v>
      </c>
      <c r="F40" s="22">
        <v>5.61</v>
      </c>
      <c r="G40" s="22">
        <f t="shared" si="2"/>
        <v>6.5517241379310323E-2</v>
      </c>
      <c r="H40" s="22">
        <v>5.82</v>
      </c>
      <c r="I40" s="22">
        <v>5.72</v>
      </c>
      <c r="J40" s="22">
        <f t="shared" si="3"/>
        <v>1.7331022530329383E-2</v>
      </c>
      <c r="K40" s="25">
        <v>65500</v>
      </c>
      <c r="L40" s="26">
        <v>12600000</v>
      </c>
      <c r="M40" s="24">
        <f t="shared" si="4"/>
        <v>377280</v>
      </c>
      <c r="N40" s="24">
        <v>67783446</v>
      </c>
      <c r="O40" s="24">
        <f t="shared" si="5"/>
        <v>9.6631263037290848E-4</v>
      </c>
      <c r="P40" s="10">
        <v>66547.789999999994</v>
      </c>
      <c r="Q40" s="8">
        <v>0.216</v>
      </c>
      <c r="R40" s="164">
        <v>131800000</v>
      </c>
      <c r="S40" s="24">
        <f t="shared" si="6"/>
        <v>279000000</v>
      </c>
      <c r="T40" s="24">
        <f t="shared" si="7"/>
        <v>29000000</v>
      </c>
      <c r="U40" s="24">
        <v>8210000</v>
      </c>
      <c r="V40" s="24">
        <v>8550000</v>
      </c>
      <c r="W40">
        <f t="shared" si="8"/>
        <v>6.7272876006940558E-8</v>
      </c>
      <c r="X40">
        <f t="shared" si="9"/>
        <v>6.4871016691957509E-2</v>
      </c>
      <c r="Z40" s="9">
        <f>'KSE 100'!V67</f>
        <v>9.7336702966697563E-3</v>
      </c>
    </row>
    <row r="41" spans="1:26">
      <c r="A41" s="21">
        <v>45377</v>
      </c>
      <c r="B41" s="22">
        <v>5.91</v>
      </c>
      <c r="C41" s="23">
        <f t="shared" si="0"/>
        <v>-2.3140495867768542E-2</v>
      </c>
      <c r="D41" s="22">
        <f t="shared" si="1"/>
        <v>4.4477100704339412E-2</v>
      </c>
      <c r="E41" s="22">
        <v>6.2</v>
      </c>
      <c r="F41" s="22">
        <v>5.76</v>
      </c>
      <c r="G41" s="22">
        <f t="shared" si="2"/>
        <v>7.3578595317725815E-2</v>
      </c>
      <c r="H41" s="22">
        <v>5.98</v>
      </c>
      <c r="I41" s="22">
        <v>5.9</v>
      </c>
      <c r="J41" s="22">
        <f t="shared" si="3"/>
        <v>1.346801346801348E-2</v>
      </c>
      <c r="K41" s="25">
        <v>223500</v>
      </c>
      <c r="L41" s="26">
        <v>12600000</v>
      </c>
      <c r="M41" s="24">
        <f t="shared" si="4"/>
        <v>1320885</v>
      </c>
      <c r="N41" s="24">
        <v>67783446</v>
      </c>
      <c r="O41" s="24">
        <f t="shared" si="5"/>
        <v>3.2972652349365656E-3</v>
      </c>
      <c r="P41" s="10">
        <v>65906.28</v>
      </c>
      <c r="Q41" s="8">
        <v>0.216</v>
      </c>
      <c r="R41" s="164">
        <v>131800000</v>
      </c>
      <c r="S41" s="24">
        <f t="shared" si="6"/>
        <v>279000000</v>
      </c>
      <c r="T41" s="24">
        <f t="shared" si="7"/>
        <v>29000000</v>
      </c>
      <c r="U41" s="24">
        <v>8210000</v>
      </c>
      <c r="V41" s="24">
        <v>8550000</v>
      </c>
      <c r="W41">
        <f t="shared" si="8"/>
        <v>1.7518933039415651E-8</v>
      </c>
      <c r="X41">
        <f t="shared" si="9"/>
        <v>6.4871016691957509E-2</v>
      </c>
      <c r="Z41" s="9">
        <f>'KSE 100'!V68</f>
        <v>5.8088702668344381E-3</v>
      </c>
    </row>
    <row r="42" spans="1:26">
      <c r="A42" s="21">
        <v>45376</v>
      </c>
      <c r="B42" s="22">
        <v>6.05</v>
      </c>
      <c r="C42" s="23">
        <f>IFERROR((B42-#REF!)/#REF!,0)</f>
        <v>0</v>
      </c>
      <c r="D42" s="22">
        <f t="shared" si="1"/>
        <v>4.4477100704339412E-2</v>
      </c>
      <c r="E42" s="22">
        <v>6.3</v>
      </c>
      <c r="F42" s="22">
        <v>5.39</v>
      </c>
      <c r="G42" s="22">
        <f t="shared" si="2"/>
        <v>0.15568862275449105</v>
      </c>
      <c r="H42" s="22">
        <v>6.1</v>
      </c>
      <c r="I42" s="22">
        <v>6</v>
      </c>
      <c r="J42" s="22">
        <f>(H42-I42)/AVERAGE(H42:I42)</f>
        <v>1.6528925619834652E-2</v>
      </c>
      <c r="K42" s="25">
        <v>887000</v>
      </c>
      <c r="L42" s="26">
        <v>12600000</v>
      </c>
      <c r="M42" s="24">
        <f t="shared" si="4"/>
        <v>5366350</v>
      </c>
      <c r="N42" s="24">
        <v>67783446</v>
      </c>
      <c r="O42" s="24">
        <f t="shared" si="5"/>
        <v>1.3085790887645341E-2</v>
      </c>
      <c r="P42" s="10">
        <v>65525.65</v>
      </c>
      <c r="Q42" s="8">
        <v>0.216</v>
      </c>
      <c r="R42" s="164">
        <v>131800000</v>
      </c>
      <c r="S42" s="24">
        <f t="shared" si="6"/>
        <v>279000000</v>
      </c>
      <c r="T42" s="24">
        <f t="shared" si="7"/>
        <v>29000000</v>
      </c>
      <c r="U42" s="24">
        <v>8210000</v>
      </c>
      <c r="V42" s="24">
        <v>8550000</v>
      </c>
      <c r="W42">
        <f t="shared" si="8"/>
        <v>0</v>
      </c>
      <c r="X42">
        <f t="shared" si="9"/>
        <v>6.4871016691957509E-2</v>
      </c>
      <c r="Z42" s="9">
        <f>'KSE 100'!V69</f>
        <v>0</v>
      </c>
    </row>
    <row r="45" spans="1:26" ht="15" thickBot="1"/>
    <row r="46" spans="1:26" ht="16" thickBot="1">
      <c r="A46" s="184" t="s">
        <v>24</v>
      </c>
      <c r="B46" s="185"/>
      <c r="C46" s="185"/>
      <c r="D46" s="185"/>
      <c r="E46" s="185"/>
      <c r="F46" s="185"/>
      <c r="G46" s="185"/>
      <c r="H46" s="185"/>
      <c r="I46" s="185"/>
      <c r="J46" s="185"/>
      <c r="K46" s="185"/>
      <c r="L46" s="185"/>
      <c r="M46" s="185"/>
      <c r="N46" s="185"/>
      <c r="O46" s="185"/>
      <c r="P46" s="185"/>
      <c r="Q46" s="185"/>
      <c r="R46" s="185"/>
      <c r="S46" s="185"/>
      <c r="T46" s="185"/>
      <c r="U46" s="185"/>
      <c r="V46" s="185"/>
      <c r="W46" s="185"/>
      <c r="X46" s="186"/>
    </row>
    <row r="47" spans="1:26" ht="43.5">
      <c r="A47" s="6" t="s">
        <v>14</v>
      </c>
      <c r="B47" s="5" t="s">
        <v>15</v>
      </c>
      <c r="C47" s="7" t="s">
        <v>16</v>
      </c>
      <c r="D47" s="7" t="s">
        <v>17</v>
      </c>
      <c r="E47" s="6" t="s">
        <v>0</v>
      </c>
      <c r="F47" s="6" t="s">
        <v>13</v>
      </c>
      <c r="G47" s="7" t="s">
        <v>18</v>
      </c>
      <c r="H47" s="5" t="s">
        <v>12</v>
      </c>
      <c r="I47" s="6" t="s">
        <v>1</v>
      </c>
      <c r="J47" s="7" t="s">
        <v>19</v>
      </c>
      <c r="K47" s="5" t="s">
        <v>2</v>
      </c>
      <c r="L47" s="5" t="s">
        <v>3</v>
      </c>
      <c r="M47" s="7" t="s">
        <v>20</v>
      </c>
      <c r="N47" s="5" t="s">
        <v>22</v>
      </c>
      <c r="O47" s="7" t="s">
        <v>21</v>
      </c>
      <c r="P47" s="5" t="s">
        <v>5</v>
      </c>
      <c r="Q47" s="5" t="s">
        <v>6</v>
      </c>
      <c r="R47" s="5" t="s">
        <v>7</v>
      </c>
      <c r="S47" s="5" t="s">
        <v>8</v>
      </c>
      <c r="T47" s="5" t="s">
        <v>9</v>
      </c>
      <c r="U47" s="5" t="s">
        <v>10</v>
      </c>
      <c r="V47" s="5" t="s">
        <v>11</v>
      </c>
      <c r="W47" s="7" t="s">
        <v>73</v>
      </c>
      <c r="X47" s="7" t="s">
        <v>72</v>
      </c>
    </row>
    <row r="48" spans="1:26">
      <c r="A48" s="21">
        <v>45436</v>
      </c>
      <c r="B48" s="28">
        <v>32.82</v>
      </c>
      <c r="C48" s="29">
        <f t="shared" ref="C48:C86" si="11">IFERROR((B48-B49)/B49,0)</f>
        <v>7.6757752533005829E-3</v>
      </c>
      <c r="D48" s="24">
        <f>_xlfn.STDEV.S($C$48:$C$87)</f>
        <v>2.0931556354623407E-2</v>
      </c>
      <c r="E48" s="28">
        <v>33.020000000000003</v>
      </c>
      <c r="F48" s="28">
        <v>32.18</v>
      </c>
      <c r="G48" s="22">
        <f t="shared" ref="G48:G87" si="12">(E48-F48)/AVERAGE(E48:F48)</f>
        <v>2.5766871165644276E-2</v>
      </c>
      <c r="H48" s="28">
        <v>32.81</v>
      </c>
      <c r="I48" s="28">
        <v>32.78</v>
      </c>
      <c r="J48" s="24">
        <f t="shared" ref="J48:J87" si="13">(H48-I48)/((H48+I48)/2)</f>
        <v>9.147735935356345E-4</v>
      </c>
      <c r="K48" s="25">
        <v>1685863</v>
      </c>
      <c r="L48" s="24">
        <f>880.3*1000000</f>
        <v>880300000</v>
      </c>
      <c r="M48" s="24">
        <f t="shared" ref="M48:M87" si="14">K48*B48</f>
        <v>55330023.660000004</v>
      </c>
      <c r="N48" s="24">
        <f>456.36*1000000</f>
        <v>456360000</v>
      </c>
      <c r="O48" s="24">
        <f t="shared" ref="O48:O87" si="15">K48/N48</f>
        <v>3.6941515470242793E-3</v>
      </c>
      <c r="P48" s="10">
        <v>75983.039999999994</v>
      </c>
      <c r="Q48" s="8">
        <v>0.2157</v>
      </c>
      <c r="R48" s="24">
        <f>87356*1000000</f>
        <v>87356000000</v>
      </c>
      <c r="S48">
        <f>25906*1000000</f>
        <v>25906000000</v>
      </c>
      <c r="T48" s="24">
        <f>314.3*1000000</f>
        <v>314300000</v>
      </c>
      <c r="U48" s="24">
        <f>1615.7*1000000</f>
        <v>1615700000</v>
      </c>
      <c r="V48" s="30">
        <f>14261.82*1000000</f>
        <v>14261820000</v>
      </c>
      <c r="W48">
        <f t="shared" ref="W48:W87" si="16">IFERROR(ABS(C48)/M48,"0")</f>
        <v>1.3872712761642406E-10</v>
      </c>
      <c r="X48">
        <f>V48/R48</f>
        <v>0.16326090938229773</v>
      </c>
    </row>
    <row r="49" spans="1:24">
      <c r="A49" s="21">
        <v>45435</v>
      </c>
      <c r="B49" s="28">
        <v>32.57</v>
      </c>
      <c r="C49" s="29">
        <f t="shared" si="11"/>
        <v>5.2469135802469665E-3</v>
      </c>
      <c r="D49" s="24">
        <f t="shared" ref="D49:D87" si="17">_xlfn.STDEV.S($C$48:$C$87)</f>
        <v>2.0931556354623407E-2</v>
      </c>
      <c r="E49" s="28">
        <v>32.75</v>
      </c>
      <c r="F49" s="28">
        <v>32</v>
      </c>
      <c r="G49" s="22">
        <f t="shared" si="12"/>
        <v>2.3166023166023165E-2</v>
      </c>
      <c r="H49" s="28">
        <v>32.520000000000003</v>
      </c>
      <c r="I49" s="28">
        <v>32.5</v>
      </c>
      <c r="J49" s="24">
        <f t="shared" si="13"/>
        <v>6.1519532451562978E-4</v>
      </c>
      <c r="K49" s="25">
        <v>1009125</v>
      </c>
      <c r="L49" s="24">
        <f t="shared" ref="L49:L87" si="18">880.3*1000000</f>
        <v>880300000</v>
      </c>
      <c r="M49" s="24">
        <f t="shared" si="14"/>
        <v>32867201.25</v>
      </c>
      <c r="N49" s="24">
        <f t="shared" ref="N49:N87" si="19">456.36*1000000</f>
        <v>456360000</v>
      </c>
      <c r="O49" s="24">
        <f t="shared" si="15"/>
        <v>2.2112476991848541E-3</v>
      </c>
      <c r="P49" s="10">
        <v>75114.47</v>
      </c>
      <c r="Q49" s="8">
        <v>0.2157</v>
      </c>
      <c r="R49" s="24">
        <f t="shared" ref="R49:R87" si="20">87356*1000000</f>
        <v>87356000000</v>
      </c>
      <c r="S49">
        <f t="shared" ref="S49:S87" si="21">25906*1000000</f>
        <v>25906000000</v>
      </c>
      <c r="T49" s="24">
        <f t="shared" ref="T49:T87" si="22">314.3*1000000</f>
        <v>314300000</v>
      </c>
      <c r="U49" s="24">
        <f t="shared" ref="U49:U87" si="23">1615.7*1000000</f>
        <v>1615700000</v>
      </c>
      <c r="V49" s="30">
        <f t="shared" ref="V49:V87" si="24">14261.82*1000000</f>
        <v>14261820000</v>
      </c>
      <c r="W49">
        <f t="shared" si="16"/>
        <v>1.596398044462933E-10</v>
      </c>
      <c r="X49">
        <f t="shared" ref="X49:X87" si="25">V49/R49</f>
        <v>0.16326090938229773</v>
      </c>
    </row>
    <row r="50" spans="1:24">
      <c r="A50" s="21">
        <v>45434</v>
      </c>
      <c r="B50" s="28">
        <v>32.4</v>
      </c>
      <c r="C50" s="29">
        <f t="shared" si="11"/>
        <v>1.726844583987432E-2</v>
      </c>
      <c r="D50" s="24">
        <f t="shared" si="17"/>
        <v>2.0931556354623407E-2</v>
      </c>
      <c r="E50" s="28">
        <v>32.799999999999997</v>
      </c>
      <c r="F50" s="28">
        <v>31.86</v>
      </c>
      <c r="G50" s="22">
        <f t="shared" si="12"/>
        <v>2.907516238787497E-2</v>
      </c>
      <c r="H50" s="28">
        <v>32.299999999999997</v>
      </c>
      <c r="I50" s="28">
        <v>32.21</v>
      </c>
      <c r="J50" s="24">
        <f t="shared" si="13"/>
        <v>2.7902650751820282E-3</v>
      </c>
      <c r="K50" s="25">
        <v>3123401</v>
      </c>
      <c r="L50" s="24">
        <f t="shared" si="18"/>
        <v>880300000</v>
      </c>
      <c r="M50" s="24">
        <f t="shared" si="14"/>
        <v>101198192.39999999</v>
      </c>
      <c r="N50" s="24">
        <f t="shared" si="19"/>
        <v>456360000</v>
      </c>
      <c r="O50" s="24">
        <f t="shared" si="15"/>
        <v>6.8441603120343586E-3</v>
      </c>
      <c r="P50" s="10">
        <v>74956.67</v>
      </c>
      <c r="Q50" s="8">
        <v>0.2157</v>
      </c>
      <c r="R50" s="24">
        <f t="shared" si="20"/>
        <v>87356000000</v>
      </c>
      <c r="S50">
        <f t="shared" si="21"/>
        <v>25906000000</v>
      </c>
      <c r="T50" s="24">
        <f t="shared" si="22"/>
        <v>314300000</v>
      </c>
      <c r="U50" s="24">
        <f t="shared" si="23"/>
        <v>1615700000</v>
      </c>
      <c r="V50" s="30">
        <f t="shared" si="24"/>
        <v>14261820000</v>
      </c>
      <c r="W50">
        <f t="shared" si="16"/>
        <v>1.7063986451080447E-10</v>
      </c>
      <c r="X50">
        <f t="shared" si="25"/>
        <v>0.16326090938229773</v>
      </c>
    </row>
    <row r="51" spans="1:24">
      <c r="A51" s="21">
        <v>45433</v>
      </c>
      <c r="B51" s="28">
        <v>31.85</v>
      </c>
      <c r="C51" s="29">
        <f t="shared" si="11"/>
        <v>-8.7145969498911031E-3</v>
      </c>
      <c r="D51" s="24">
        <f t="shared" si="17"/>
        <v>2.0931556354623407E-2</v>
      </c>
      <c r="E51" s="28">
        <v>32.47</v>
      </c>
      <c r="F51" s="28">
        <v>31.8</v>
      </c>
      <c r="G51" s="22">
        <f t="shared" si="12"/>
        <v>2.0849540998910787E-2</v>
      </c>
      <c r="H51" s="28">
        <v>31.95</v>
      </c>
      <c r="I51" s="28">
        <v>31.9</v>
      </c>
      <c r="J51" s="24">
        <f t="shared" si="13"/>
        <v>1.5661707126076966E-3</v>
      </c>
      <c r="K51" s="25">
        <v>1287675</v>
      </c>
      <c r="L51" s="24">
        <f t="shared" si="18"/>
        <v>880300000</v>
      </c>
      <c r="M51" s="24">
        <f t="shared" si="14"/>
        <v>41012448.75</v>
      </c>
      <c r="N51" s="24">
        <f t="shared" si="19"/>
        <v>456360000</v>
      </c>
      <c r="O51" s="24">
        <f t="shared" si="15"/>
        <v>2.8216210886142521E-3</v>
      </c>
      <c r="P51" s="10">
        <v>75206.77</v>
      </c>
      <c r="Q51" s="8">
        <v>0.2157</v>
      </c>
      <c r="R51" s="24">
        <f t="shared" si="20"/>
        <v>87356000000</v>
      </c>
      <c r="S51">
        <f t="shared" si="21"/>
        <v>25906000000</v>
      </c>
      <c r="T51" s="24">
        <f t="shared" si="22"/>
        <v>314300000</v>
      </c>
      <c r="U51" s="24">
        <f t="shared" si="23"/>
        <v>1615700000</v>
      </c>
      <c r="V51" s="30">
        <f t="shared" si="24"/>
        <v>14261820000</v>
      </c>
      <c r="W51">
        <f t="shared" si="16"/>
        <v>2.1248662821897712E-10</v>
      </c>
      <c r="X51">
        <f t="shared" si="25"/>
        <v>0.16326090938229773</v>
      </c>
    </row>
    <row r="52" spans="1:24">
      <c r="A52" s="21">
        <v>45432</v>
      </c>
      <c r="B52" s="28">
        <v>32.130000000000003</v>
      </c>
      <c r="C52" s="29">
        <f t="shared" si="11"/>
        <v>9.3457943925237183E-4</v>
      </c>
      <c r="D52" s="24">
        <f t="shared" si="17"/>
        <v>2.0931556354623407E-2</v>
      </c>
      <c r="E52" s="28">
        <v>32.479999999999997</v>
      </c>
      <c r="F52" s="28">
        <v>31.7</v>
      </c>
      <c r="G52" s="22">
        <f t="shared" si="12"/>
        <v>2.4306637581801113E-2</v>
      </c>
      <c r="H52" s="28">
        <v>32.14</v>
      </c>
      <c r="I52" s="28">
        <v>32</v>
      </c>
      <c r="J52" s="24">
        <f t="shared" si="13"/>
        <v>4.3654505768631292E-3</v>
      </c>
      <c r="K52" s="25">
        <v>1075113</v>
      </c>
      <c r="L52" s="24">
        <f t="shared" si="18"/>
        <v>880300000</v>
      </c>
      <c r="M52" s="24">
        <f t="shared" si="14"/>
        <v>34543380.690000005</v>
      </c>
      <c r="N52" s="24">
        <f t="shared" si="19"/>
        <v>456360000</v>
      </c>
      <c r="O52" s="24">
        <f t="shared" si="15"/>
        <v>2.3558440704706811E-3</v>
      </c>
      <c r="P52" s="10">
        <v>75084</v>
      </c>
      <c r="Q52" s="8">
        <v>0.2157</v>
      </c>
      <c r="R52" s="24">
        <f t="shared" si="20"/>
        <v>87356000000</v>
      </c>
      <c r="S52">
        <f t="shared" si="21"/>
        <v>25906000000</v>
      </c>
      <c r="T52" s="24">
        <f t="shared" si="22"/>
        <v>314300000</v>
      </c>
      <c r="U52" s="24">
        <f t="shared" si="23"/>
        <v>1615700000</v>
      </c>
      <c r="V52" s="30">
        <f t="shared" si="24"/>
        <v>14261820000</v>
      </c>
      <c r="W52">
        <f t="shared" si="16"/>
        <v>2.7055239544719028E-11</v>
      </c>
      <c r="X52">
        <f t="shared" si="25"/>
        <v>0.16326090938229773</v>
      </c>
    </row>
    <row r="53" spans="1:24">
      <c r="A53" s="21">
        <v>45429</v>
      </c>
      <c r="B53" s="28">
        <v>32.1</v>
      </c>
      <c r="C53" s="29">
        <f t="shared" si="11"/>
        <v>3.1250000000000444E-3</v>
      </c>
      <c r="D53" s="24">
        <f t="shared" si="17"/>
        <v>2.0931556354623407E-2</v>
      </c>
      <c r="E53" s="28">
        <v>32.29</v>
      </c>
      <c r="F53" s="28">
        <v>32.01</v>
      </c>
      <c r="G53" s="22">
        <f t="shared" si="12"/>
        <v>8.7091757387247632E-3</v>
      </c>
      <c r="H53" s="28">
        <v>32.15</v>
      </c>
      <c r="I53" s="28">
        <v>32.07</v>
      </c>
      <c r="J53" s="24">
        <f t="shared" si="13"/>
        <v>2.4914356898162035E-3</v>
      </c>
      <c r="K53" s="25">
        <v>427400</v>
      </c>
      <c r="L53" s="24">
        <f t="shared" si="18"/>
        <v>880300000</v>
      </c>
      <c r="M53" s="24">
        <f t="shared" si="14"/>
        <v>13719540</v>
      </c>
      <c r="N53" s="24">
        <f t="shared" si="19"/>
        <v>456360000</v>
      </c>
      <c r="O53" s="24">
        <f t="shared" si="15"/>
        <v>9.3654132702252607E-4</v>
      </c>
      <c r="P53" s="10">
        <v>75342.350000000006</v>
      </c>
      <c r="Q53" s="8">
        <v>0.2157</v>
      </c>
      <c r="R53" s="24">
        <f t="shared" si="20"/>
        <v>87356000000</v>
      </c>
      <c r="S53">
        <f t="shared" si="21"/>
        <v>25906000000</v>
      </c>
      <c r="T53" s="24">
        <f t="shared" si="22"/>
        <v>314300000</v>
      </c>
      <c r="U53" s="24">
        <f t="shared" si="23"/>
        <v>1615700000</v>
      </c>
      <c r="V53" s="30">
        <f t="shared" si="24"/>
        <v>14261820000</v>
      </c>
      <c r="W53">
        <f t="shared" si="16"/>
        <v>2.2777731614908696E-10</v>
      </c>
      <c r="X53">
        <f t="shared" si="25"/>
        <v>0.16326090938229773</v>
      </c>
    </row>
    <row r="54" spans="1:24">
      <c r="A54" s="21">
        <v>45428</v>
      </c>
      <c r="B54" s="28">
        <v>32</v>
      </c>
      <c r="C54" s="29">
        <f t="shared" si="11"/>
        <v>-2.1827252884315646E-3</v>
      </c>
      <c r="D54" s="24">
        <f t="shared" si="17"/>
        <v>2.0931556354623407E-2</v>
      </c>
      <c r="E54" s="28">
        <v>32.5</v>
      </c>
      <c r="F54" s="28">
        <v>31.7</v>
      </c>
      <c r="G54" s="22">
        <f t="shared" si="12"/>
        <v>2.4922118380062325E-2</v>
      </c>
      <c r="H54" s="28">
        <v>32.06</v>
      </c>
      <c r="I54" s="28">
        <v>32.01</v>
      </c>
      <c r="J54" s="24">
        <f t="shared" si="13"/>
        <v>1.5607928827845877E-3</v>
      </c>
      <c r="K54" s="25">
        <v>1061690</v>
      </c>
      <c r="L54" s="24">
        <f t="shared" si="18"/>
        <v>880300000</v>
      </c>
      <c r="M54" s="24">
        <f t="shared" si="14"/>
        <v>33974080</v>
      </c>
      <c r="N54" s="24">
        <f t="shared" si="19"/>
        <v>456360000</v>
      </c>
      <c r="O54" s="24">
        <f t="shared" si="15"/>
        <v>2.326430887895521E-3</v>
      </c>
      <c r="P54" s="10">
        <v>74930.7</v>
      </c>
      <c r="Q54" s="8">
        <v>0.2157</v>
      </c>
      <c r="R54" s="24">
        <f t="shared" si="20"/>
        <v>87356000000</v>
      </c>
      <c r="S54">
        <f t="shared" si="21"/>
        <v>25906000000</v>
      </c>
      <c r="T54" s="24">
        <f t="shared" si="22"/>
        <v>314300000</v>
      </c>
      <c r="U54" s="24">
        <f t="shared" si="23"/>
        <v>1615700000</v>
      </c>
      <c r="V54" s="30">
        <f t="shared" si="24"/>
        <v>14261820000</v>
      </c>
      <c r="W54">
        <f t="shared" si="16"/>
        <v>6.4246781323631566E-11</v>
      </c>
      <c r="X54">
        <f t="shared" si="25"/>
        <v>0.16326090938229773</v>
      </c>
    </row>
    <row r="55" spans="1:24">
      <c r="A55" s="21">
        <v>45427</v>
      </c>
      <c r="B55" s="28">
        <v>32.07</v>
      </c>
      <c r="C55" s="29">
        <f t="shared" si="11"/>
        <v>-1.6257668711656476E-2</v>
      </c>
      <c r="D55" s="24">
        <f t="shared" si="17"/>
        <v>2.0931556354623407E-2</v>
      </c>
      <c r="E55" s="28">
        <v>32.65</v>
      </c>
      <c r="F55" s="28">
        <v>32</v>
      </c>
      <c r="G55" s="22">
        <f t="shared" si="12"/>
        <v>2.0108275328692915E-2</v>
      </c>
      <c r="H55" s="28">
        <v>32.1</v>
      </c>
      <c r="I55" s="28">
        <v>32.07</v>
      </c>
      <c r="J55" s="24">
        <f t="shared" si="13"/>
        <v>9.3501636278638415E-4</v>
      </c>
      <c r="K55" s="25">
        <v>570346</v>
      </c>
      <c r="L55" s="24">
        <f t="shared" si="18"/>
        <v>880300000</v>
      </c>
      <c r="M55" s="24">
        <f t="shared" si="14"/>
        <v>18290996.219999999</v>
      </c>
      <c r="N55" s="24">
        <f t="shared" si="19"/>
        <v>456360000</v>
      </c>
      <c r="O55" s="24">
        <f t="shared" si="15"/>
        <v>1.2497721097379261E-3</v>
      </c>
      <c r="P55" s="10">
        <v>74663.98</v>
      </c>
      <c r="Q55" s="8">
        <v>0.2157</v>
      </c>
      <c r="R55" s="24">
        <f t="shared" si="20"/>
        <v>87356000000</v>
      </c>
      <c r="S55">
        <f t="shared" si="21"/>
        <v>25906000000</v>
      </c>
      <c r="T55" s="24">
        <f t="shared" si="22"/>
        <v>314300000</v>
      </c>
      <c r="U55" s="24">
        <f t="shared" si="23"/>
        <v>1615700000</v>
      </c>
      <c r="V55" s="30">
        <f t="shared" si="24"/>
        <v>14261820000</v>
      </c>
      <c r="W55">
        <f t="shared" si="16"/>
        <v>8.8883451268115112E-10</v>
      </c>
      <c r="X55">
        <f t="shared" si="25"/>
        <v>0.16326090938229773</v>
      </c>
    </row>
    <row r="56" spans="1:24">
      <c r="A56" s="21">
        <v>45426</v>
      </c>
      <c r="B56" s="28">
        <v>32.6</v>
      </c>
      <c r="C56" s="29">
        <f t="shared" si="11"/>
        <v>-2.4479804161566185E-3</v>
      </c>
      <c r="D56" s="24">
        <f t="shared" si="17"/>
        <v>2.0931556354623407E-2</v>
      </c>
      <c r="E56" s="28">
        <v>33.08</v>
      </c>
      <c r="F56" s="28">
        <v>31.6</v>
      </c>
      <c r="G56" s="22">
        <f t="shared" si="12"/>
        <v>4.5763760049474231E-2</v>
      </c>
      <c r="H56" s="28">
        <v>32.619999999999997</v>
      </c>
      <c r="I56" s="28">
        <v>32.6</v>
      </c>
      <c r="J56" s="24">
        <f t="shared" si="13"/>
        <v>6.1330880098117203E-4</v>
      </c>
      <c r="K56" s="25">
        <v>2489638</v>
      </c>
      <c r="L56" s="24">
        <f t="shared" si="18"/>
        <v>880300000</v>
      </c>
      <c r="M56" s="24">
        <f t="shared" si="14"/>
        <v>81162198.799999997</v>
      </c>
      <c r="N56" s="24">
        <f t="shared" si="19"/>
        <v>456360000</v>
      </c>
      <c r="O56" s="24">
        <f t="shared" si="15"/>
        <v>5.4554255412393726E-3</v>
      </c>
      <c r="P56" s="10">
        <v>74531.19</v>
      </c>
      <c r="Q56" s="8">
        <v>0.21590000000000001</v>
      </c>
      <c r="R56" s="24">
        <f t="shared" si="20"/>
        <v>87356000000</v>
      </c>
      <c r="S56">
        <f t="shared" si="21"/>
        <v>25906000000</v>
      </c>
      <c r="T56" s="24">
        <f t="shared" si="22"/>
        <v>314300000</v>
      </c>
      <c r="U56" s="24">
        <f t="shared" si="23"/>
        <v>1615700000</v>
      </c>
      <c r="V56" s="30">
        <f t="shared" si="24"/>
        <v>14261820000</v>
      </c>
      <c r="W56">
        <f t="shared" si="16"/>
        <v>3.0161583253663877E-11</v>
      </c>
      <c r="X56">
        <f t="shared" si="25"/>
        <v>0.16326090938229773</v>
      </c>
    </row>
    <row r="57" spans="1:24">
      <c r="A57" s="21">
        <v>45425</v>
      </c>
      <c r="B57" s="28">
        <v>32.68</v>
      </c>
      <c r="C57" s="29">
        <f t="shared" si="11"/>
        <v>-6.6869300911853759E-3</v>
      </c>
      <c r="D57" s="24">
        <f t="shared" si="17"/>
        <v>2.0931556354623407E-2</v>
      </c>
      <c r="E57" s="28">
        <v>33.5</v>
      </c>
      <c r="F57" s="28">
        <v>32.51</v>
      </c>
      <c r="G57" s="22">
        <f t="shared" si="12"/>
        <v>2.9995455234055512E-2</v>
      </c>
      <c r="H57" s="28">
        <v>32.89</v>
      </c>
      <c r="I57" s="28">
        <v>32.76</v>
      </c>
      <c r="J57" s="24">
        <f t="shared" si="13"/>
        <v>3.9603960396040376E-3</v>
      </c>
      <c r="K57" s="25">
        <v>3100234</v>
      </c>
      <c r="L57" s="24">
        <f t="shared" si="18"/>
        <v>880300000</v>
      </c>
      <c r="M57" s="24">
        <f t="shared" si="14"/>
        <v>101315647.12</v>
      </c>
      <c r="N57" s="24">
        <f t="shared" si="19"/>
        <v>456360000</v>
      </c>
      <c r="O57" s="24">
        <f t="shared" si="15"/>
        <v>6.7933955649048996E-3</v>
      </c>
      <c r="P57" s="10">
        <v>73799.11</v>
      </c>
      <c r="Q57" s="8">
        <v>0.21590000000000001</v>
      </c>
      <c r="R57" s="24">
        <f t="shared" si="20"/>
        <v>87356000000</v>
      </c>
      <c r="S57">
        <f t="shared" si="21"/>
        <v>25906000000</v>
      </c>
      <c r="T57" s="24">
        <f t="shared" si="22"/>
        <v>314300000</v>
      </c>
      <c r="U57" s="24">
        <f t="shared" si="23"/>
        <v>1615700000</v>
      </c>
      <c r="V57" s="30">
        <f t="shared" si="24"/>
        <v>14261820000</v>
      </c>
      <c r="W57">
        <f t="shared" si="16"/>
        <v>6.6000961167086655E-11</v>
      </c>
      <c r="X57">
        <f t="shared" si="25"/>
        <v>0.16326090938229773</v>
      </c>
    </row>
    <row r="58" spans="1:24">
      <c r="A58" s="21">
        <v>45422</v>
      </c>
      <c r="B58" s="28">
        <v>32.9</v>
      </c>
      <c r="C58" s="29">
        <f t="shared" si="11"/>
        <v>-1.2605042016806773E-2</v>
      </c>
      <c r="D58" s="24">
        <f t="shared" si="17"/>
        <v>2.0931556354623407E-2</v>
      </c>
      <c r="E58" s="28">
        <v>33.5</v>
      </c>
      <c r="F58" s="28">
        <v>32.79</v>
      </c>
      <c r="G58" s="22">
        <f t="shared" si="12"/>
        <v>2.1421028812792304E-2</v>
      </c>
      <c r="H58" s="28">
        <v>32.89</v>
      </c>
      <c r="I58" s="28">
        <v>32.83</v>
      </c>
      <c r="J58" s="24">
        <f t="shared" si="13"/>
        <v>1.8259281801583163E-3</v>
      </c>
      <c r="K58" s="25">
        <v>3602625</v>
      </c>
      <c r="L58" s="24">
        <f t="shared" si="18"/>
        <v>880300000</v>
      </c>
      <c r="M58" s="24">
        <f t="shared" si="14"/>
        <v>118526362.5</v>
      </c>
      <c r="N58" s="24">
        <f t="shared" si="19"/>
        <v>456360000</v>
      </c>
      <c r="O58" s="24">
        <f t="shared" si="15"/>
        <v>7.8942611096502763E-3</v>
      </c>
      <c r="P58" s="10">
        <v>73085.5</v>
      </c>
      <c r="Q58" s="8">
        <v>0.21590000000000001</v>
      </c>
      <c r="R58" s="24">
        <f t="shared" si="20"/>
        <v>87356000000</v>
      </c>
      <c r="S58">
        <f t="shared" si="21"/>
        <v>25906000000</v>
      </c>
      <c r="T58" s="24">
        <f t="shared" si="22"/>
        <v>314300000</v>
      </c>
      <c r="U58" s="24">
        <f t="shared" si="23"/>
        <v>1615700000</v>
      </c>
      <c r="V58" s="30">
        <f t="shared" si="24"/>
        <v>14261820000</v>
      </c>
      <c r="W58">
        <f t="shared" si="16"/>
        <v>1.0634800352374581E-10</v>
      </c>
      <c r="X58">
        <f t="shared" si="25"/>
        <v>0.16326090938229773</v>
      </c>
    </row>
    <row r="59" spans="1:24">
      <c r="A59" s="21">
        <v>45421</v>
      </c>
      <c r="B59" s="28">
        <v>33.32</v>
      </c>
      <c r="C59" s="29">
        <f t="shared" si="11"/>
        <v>4.8250904704464324E-3</v>
      </c>
      <c r="D59" s="24">
        <f t="shared" si="17"/>
        <v>2.0931556354623407E-2</v>
      </c>
      <c r="E59" s="28">
        <v>33.549999999999997</v>
      </c>
      <c r="F59" s="28">
        <v>32.51</v>
      </c>
      <c r="G59" s="22">
        <f t="shared" si="12"/>
        <v>3.1486527399333913E-2</v>
      </c>
      <c r="H59" s="28">
        <v>33.450000000000003</v>
      </c>
      <c r="I59" s="28">
        <v>33.299999999999997</v>
      </c>
      <c r="J59" s="24">
        <f t="shared" si="13"/>
        <v>4.4943820224720805E-3</v>
      </c>
      <c r="K59" s="25">
        <v>5108525</v>
      </c>
      <c r="L59" s="24">
        <f t="shared" si="18"/>
        <v>880300000</v>
      </c>
      <c r="M59" s="24">
        <f t="shared" si="14"/>
        <v>170216053</v>
      </c>
      <c r="N59" s="24">
        <f t="shared" si="19"/>
        <v>456360000</v>
      </c>
      <c r="O59" s="24">
        <f t="shared" si="15"/>
        <v>1.1194068279428522E-2</v>
      </c>
      <c r="P59" s="10">
        <v>72658.05</v>
      </c>
      <c r="Q59" s="8">
        <v>0.21590000000000001</v>
      </c>
      <c r="R59" s="24">
        <f t="shared" si="20"/>
        <v>87356000000</v>
      </c>
      <c r="S59">
        <f t="shared" si="21"/>
        <v>25906000000</v>
      </c>
      <c r="T59" s="24">
        <f t="shared" si="22"/>
        <v>314300000</v>
      </c>
      <c r="U59" s="24">
        <f t="shared" si="23"/>
        <v>1615700000</v>
      </c>
      <c r="V59" s="30">
        <f t="shared" si="24"/>
        <v>14261820000</v>
      </c>
      <c r="W59">
        <f t="shared" si="16"/>
        <v>2.8346859097046694E-11</v>
      </c>
      <c r="X59">
        <f t="shared" si="25"/>
        <v>0.16326090938229773</v>
      </c>
    </row>
    <row r="60" spans="1:24">
      <c r="A60" s="21">
        <v>45420</v>
      </c>
      <c r="B60" s="28">
        <v>33.159999999999997</v>
      </c>
      <c r="C60" s="29">
        <f t="shared" si="11"/>
        <v>9.1296409007911496E-3</v>
      </c>
      <c r="D60" s="24">
        <f t="shared" si="17"/>
        <v>2.0931556354623407E-2</v>
      </c>
      <c r="E60" s="28">
        <v>33.840000000000003</v>
      </c>
      <c r="F60" s="28">
        <v>31.56</v>
      </c>
      <c r="G60" s="22">
        <f t="shared" si="12"/>
        <v>6.9724770642201978E-2</v>
      </c>
      <c r="H60" s="28">
        <v>33.01</v>
      </c>
      <c r="I60" s="28">
        <v>32.92</v>
      </c>
      <c r="J60" s="24">
        <f t="shared" si="13"/>
        <v>2.7301683603821111E-3</v>
      </c>
      <c r="K60" s="25">
        <v>19153892</v>
      </c>
      <c r="L60" s="24">
        <f t="shared" si="18"/>
        <v>880300000</v>
      </c>
      <c r="M60" s="24">
        <f t="shared" si="14"/>
        <v>635143058.71999991</v>
      </c>
      <c r="N60" s="24">
        <f t="shared" si="19"/>
        <v>456360000</v>
      </c>
      <c r="O60" s="24">
        <f t="shared" si="15"/>
        <v>4.1971014111666226E-2</v>
      </c>
      <c r="P60" s="10">
        <v>72601.820000000007</v>
      </c>
      <c r="Q60" s="8">
        <v>0.21590000000000001</v>
      </c>
      <c r="R60" s="24">
        <f t="shared" si="20"/>
        <v>87356000000</v>
      </c>
      <c r="S60">
        <f t="shared" si="21"/>
        <v>25906000000</v>
      </c>
      <c r="T60" s="24">
        <f t="shared" si="22"/>
        <v>314300000</v>
      </c>
      <c r="U60" s="24">
        <f t="shared" si="23"/>
        <v>1615700000</v>
      </c>
      <c r="V60" s="30">
        <f t="shared" si="24"/>
        <v>14261820000</v>
      </c>
      <c r="W60">
        <f t="shared" si="16"/>
        <v>1.4374148903067698E-11</v>
      </c>
      <c r="X60">
        <f t="shared" si="25"/>
        <v>0.16326090938229773</v>
      </c>
    </row>
    <row r="61" spans="1:24">
      <c r="A61" s="21">
        <v>45419</v>
      </c>
      <c r="B61" s="28">
        <v>32.86</v>
      </c>
      <c r="C61" s="29">
        <f t="shared" si="11"/>
        <v>7.4910042525351619E-2</v>
      </c>
      <c r="D61" s="24">
        <f t="shared" si="17"/>
        <v>2.0931556354623407E-2</v>
      </c>
      <c r="E61" s="28">
        <v>32.86</v>
      </c>
      <c r="F61" s="28">
        <v>31.26</v>
      </c>
      <c r="G61" s="22">
        <f t="shared" si="12"/>
        <v>4.9906425452276908E-2</v>
      </c>
      <c r="H61" s="28">
        <v>33.01</v>
      </c>
      <c r="I61" s="28">
        <v>32.86</v>
      </c>
      <c r="J61" s="24">
        <f t="shared" si="13"/>
        <v>4.5544253833307595E-3</v>
      </c>
      <c r="K61" s="25">
        <v>6103484</v>
      </c>
      <c r="L61" s="24">
        <f t="shared" si="18"/>
        <v>880300000</v>
      </c>
      <c r="M61" s="24">
        <f t="shared" si="14"/>
        <v>200560484.24000001</v>
      </c>
      <c r="N61" s="24">
        <f t="shared" si="19"/>
        <v>456360000</v>
      </c>
      <c r="O61" s="24">
        <f t="shared" si="15"/>
        <v>1.33742746954159E-2</v>
      </c>
      <c r="P61" s="10">
        <v>72761.2</v>
      </c>
      <c r="Q61" s="8">
        <v>0.21590000000000001</v>
      </c>
      <c r="R61" s="24">
        <f t="shared" si="20"/>
        <v>87356000000</v>
      </c>
      <c r="S61">
        <f t="shared" si="21"/>
        <v>25906000000</v>
      </c>
      <c r="T61" s="24">
        <f t="shared" si="22"/>
        <v>314300000</v>
      </c>
      <c r="U61" s="24">
        <f t="shared" si="23"/>
        <v>1615700000</v>
      </c>
      <c r="V61" s="30">
        <f t="shared" si="24"/>
        <v>14261820000</v>
      </c>
      <c r="W61">
        <f t="shared" si="16"/>
        <v>3.7350349850427551E-10</v>
      </c>
      <c r="X61">
        <f t="shared" si="25"/>
        <v>0.16326090938229773</v>
      </c>
    </row>
    <row r="62" spans="1:24">
      <c r="A62" s="21">
        <v>45418</v>
      </c>
      <c r="B62" s="28">
        <v>30.57</v>
      </c>
      <c r="C62" s="29">
        <f t="shared" si="11"/>
        <v>7.4894514767932449E-2</v>
      </c>
      <c r="D62" s="24">
        <f t="shared" si="17"/>
        <v>2.0931556354623407E-2</v>
      </c>
      <c r="E62" s="28">
        <v>30.57</v>
      </c>
      <c r="F62" s="28">
        <v>28.4</v>
      </c>
      <c r="G62" s="22">
        <f t="shared" si="12"/>
        <v>7.3596744107173193E-2</v>
      </c>
      <c r="H62" s="28">
        <v>33.01</v>
      </c>
      <c r="I62" s="28">
        <v>30.57</v>
      </c>
      <c r="J62" s="24">
        <f t="shared" si="13"/>
        <v>7.6753696130858695E-2</v>
      </c>
      <c r="K62" s="25">
        <v>7753162</v>
      </c>
      <c r="L62" s="24">
        <f t="shared" si="18"/>
        <v>880300000</v>
      </c>
      <c r="M62" s="24">
        <f t="shared" si="14"/>
        <v>237014162.34</v>
      </c>
      <c r="N62" s="24">
        <f t="shared" si="19"/>
        <v>456360000</v>
      </c>
      <c r="O62" s="24">
        <f t="shared" si="15"/>
        <v>1.6989135770006134E-2</v>
      </c>
      <c r="P62" s="10">
        <v>72764.240000000005</v>
      </c>
      <c r="Q62" s="8">
        <v>0.21590000000000001</v>
      </c>
      <c r="R62" s="24">
        <f t="shared" si="20"/>
        <v>87356000000</v>
      </c>
      <c r="S62">
        <f t="shared" si="21"/>
        <v>25906000000</v>
      </c>
      <c r="T62" s="24">
        <f t="shared" si="22"/>
        <v>314300000</v>
      </c>
      <c r="U62" s="24">
        <f t="shared" si="23"/>
        <v>1615700000</v>
      </c>
      <c r="V62" s="30">
        <f t="shared" si="24"/>
        <v>14261820000</v>
      </c>
      <c r="W62">
        <f t="shared" si="16"/>
        <v>3.1599172820945296E-10</v>
      </c>
      <c r="X62">
        <f t="shared" si="25"/>
        <v>0.16326090938229773</v>
      </c>
    </row>
    <row r="63" spans="1:24">
      <c r="A63" s="21">
        <v>45415</v>
      </c>
      <c r="B63" s="28">
        <v>28.44</v>
      </c>
      <c r="C63" s="29">
        <f t="shared" si="11"/>
        <v>3.5311248634874497E-2</v>
      </c>
      <c r="D63" s="24">
        <f t="shared" si="17"/>
        <v>2.0931556354623407E-2</v>
      </c>
      <c r="E63" s="28">
        <v>28.56</v>
      </c>
      <c r="F63" s="28">
        <v>27.44</v>
      </c>
      <c r="G63" s="22">
        <f t="shared" si="12"/>
        <v>3.9999999999999911E-2</v>
      </c>
      <c r="H63" s="28">
        <v>28.44</v>
      </c>
      <c r="I63" s="28">
        <v>28.43</v>
      </c>
      <c r="J63" s="24">
        <f t="shared" si="13"/>
        <v>3.5167926850717643E-4</v>
      </c>
      <c r="K63" s="25">
        <v>2681321</v>
      </c>
      <c r="L63" s="24">
        <f t="shared" si="18"/>
        <v>880300000</v>
      </c>
      <c r="M63" s="24">
        <f t="shared" si="14"/>
        <v>76256769.24000001</v>
      </c>
      <c r="N63" s="24">
        <f t="shared" si="19"/>
        <v>456360000</v>
      </c>
      <c r="O63" s="24">
        <f t="shared" si="15"/>
        <v>5.8754513980191075E-3</v>
      </c>
      <c r="P63" s="10">
        <v>71902.09</v>
      </c>
      <c r="Q63" s="8">
        <v>0.21590000000000001</v>
      </c>
      <c r="R63" s="24">
        <f t="shared" si="20"/>
        <v>87356000000</v>
      </c>
      <c r="S63">
        <f t="shared" si="21"/>
        <v>25906000000</v>
      </c>
      <c r="T63" s="24">
        <f t="shared" si="22"/>
        <v>314300000</v>
      </c>
      <c r="U63" s="24">
        <f t="shared" si="23"/>
        <v>1615700000</v>
      </c>
      <c r="V63" s="30">
        <f t="shared" si="24"/>
        <v>14261820000</v>
      </c>
      <c r="W63">
        <f t="shared" si="16"/>
        <v>4.6305723395834876E-10</v>
      </c>
      <c r="X63">
        <f t="shared" si="25"/>
        <v>0.16326090938229773</v>
      </c>
    </row>
    <row r="64" spans="1:24">
      <c r="A64" s="21">
        <v>45414</v>
      </c>
      <c r="B64" s="28">
        <v>27.47</v>
      </c>
      <c r="C64" s="29">
        <f t="shared" si="11"/>
        <v>1.0932944606413114E-3</v>
      </c>
      <c r="D64" s="24">
        <f t="shared" si="17"/>
        <v>2.0931556354623407E-2</v>
      </c>
      <c r="E64" s="28">
        <v>27.55</v>
      </c>
      <c r="F64" s="28">
        <v>27.05</v>
      </c>
      <c r="G64" s="22">
        <f t="shared" si="12"/>
        <v>1.8315018315018316E-2</v>
      </c>
      <c r="H64" s="28">
        <v>27.53</v>
      </c>
      <c r="I64" s="28">
        <v>27.5</v>
      </c>
      <c r="J64" s="24">
        <f t="shared" si="13"/>
        <v>1.0903143739778717E-3</v>
      </c>
      <c r="K64" s="25">
        <v>1234555</v>
      </c>
      <c r="L64" s="24">
        <f t="shared" si="18"/>
        <v>880300000</v>
      </c>
      <c r="M64" s="24">
        <f t="shared" si="14"/>
        <v>33913225.850000001</v>
      </c>
      <c r="N64" s="24">
        <f t="shared" si="19"/>
        <v>456360000</v>
      </c>
      <c r="O64" s="24">
        <f t="shared" si="15"/>
        <v>2.7052217547550179E-3</v>
      </c>
      <c r="P64" s="10">
        <v>70657.64</v>
      </c>
      <c r="Q64" s="8">
        <v>0.21590000000000001</v>
      </c>
      <c r="R64" s="24">
        <f t="shared" si="20"/>
        <v>87356000000</v>
      </c>
      <c r="S64">
        <f t="shared" si="21"/>
        <v>25906000000</v>
      </c>
      <c r="T64" s="24">
        <f t="shared" si="22"/>
        <v>314300000</v>
      </c>
      <c r="U64" s="24">
        <f t="shared" si="23"/>
        <v>1615700000</v>
      </c>
      <c r="V64" s="30">
        <f t="shared" si="24"/>
        <v>14261820000</v>
      </c>
      <c r="W64">
        <f t="shared" si="16"/>
        <v>3.2237996629309488E-11</v>
      </c>
      <c r="X64">
        <f t="shared" si="25"/>
        <v>0.16326090938229773</v>
      </c>
    </row>
    <row r="65" spans="1:24">
      <c r="A65" s="21">
        <v>45412</v>
      </c>
      <c r="B65" s="28">
        <v>27.44</v>
      </c>
      <c r="C65" s="29">
        <f t="shared" si="11"/>
        <v>2.235469448584208E-2</v>
      </c>
      <c r="D65" s="24">
        <f t="shared" si="17"/>
        <v>2.0931556354623407E-2</v>
      </c>
      <c r="E65" s="28">
        <v>27.83</v>
      </c>
      <c r="F65" s="28">
        <v>26.86</v>
      </c>
      <c r="G65" s="22">
        <f t="shared" si="12"/>
        <v>3.5472664106783652E-2</v>
      </c>
      <c r="H65" s="28">
        <v>27.49</v>
      </c>
      <c r="I65" s="28">
        <v>27.4</v>
      </c>
      <c r="J65" s="24">
        <f t="shared" si="13"/>
        <v>3.2792858444160998E-3</v>
      </c>
      <c r="K65" s="25">
        <v>2093913</v>
      </c>
      <c r="L65" s="24">
        <f t="shared" si="18"/>
        <v>880300000</v>
      </c>
      <c r="M65" s="24">
        <f t="shared" si="14"/>
        <v>57456972.720000006</v>
      </c>
      <c r="N65" s="24">
        <f t="shared" si="19"/>
        <v>456360000</v>
      </c>
      <c r="O65" s="24">
        <f t="shared" si="15"/>
        <v>4.5882921377859587E-3</v>
      </c>
      <c r="P65" s="10">
        <v>71102.55</v>
      </c>
      <c r="Q65" s="8">
        <v>0.21590000000000001</v>
      </c>
      <c r="R65" s="24">
        <f t="shared" si="20"/>
        <v>87356000000</v>
      </c>
      <c r="S65">
        <f t="shared" si="21"/>
        <v>25906000000</v>
      </c>
      <c r="T65" s="24">
        <f t="shared" si="22"/>
        <v>314300000</v>
      </c>
      <c r="U65" s="24">
        <f t="shared" si="23"/>
        <v>1615700000</v>
      </c>
      <c r="V65" s="30">
        <f t="shared" si="24"/>
        <v>14261820000</v>
      </c>
      <c r="W65">
        <f t="shared" si="16"/>
        <v>3.8906843551924044E-10</v>
      </c>
      <c r="X65">
        <f t="shared" si="25"/>
        <v>0.16326090938229773</v>
      </c>
    </row>
    <row r="66" spans="1:24">
      <c r="A66" s="21">
        <v>45411</v>
      </c>
      <c r="B66" s="28">
        <v>26.84</v>
      </c>
      <c r="C66" s="29">
        <f t="shared" si="11"/>
        <v>-7.0292267850536909E-3</v>
      </c>
      <c r="D66" s="24">
        <f t="shared" si="17"/>
        <v>2.0931556354623407E-2</v>
      </c>
      <c r="E66" s="28">
        <v>27.22</v>
      </c>
      <c r="F66" s="28">
        <v>26.8</v>
      </c>
      <c r="G66" s="22">
        <f t="shared" si="12"/>
        <v>1.5549796371714112E-2</v>
      </c>
      <c r="H66" s="28">
        <v>26.9</v>
      </c>
      <c r="I66" s="28">
        <v>26.86</v>
      </c>
      <c r="J66" s="24">
        <f t="shared" si="13"/>
        <v>1.4880952380952064E-3</v>
      </c>
      <c r="K66" s="25">
        <v>1958340</v>
      </c>
      <c r="L66" s="24">
        <f t="shared" si="18"/>
        <v>880300000</v>
      </c>
      <c r="M66" s="24">
        <f t="shared" si="14"/>
        <v>52561845.600000001</v>
      </c>
      <c r="N66" s="24">
        <f t="shared" si="19"/>
        <v>456360000</v>
      </c>
      <c r="O66" s="24">
        <f t="shared" si="15"/>
        <v>4.2912174599000789E-3</v>
      </c>
      <c r="P66" s="10">
        <v>71695.03</v>
      </c>
      <c r="Q66" s="8">
        <v>0.21640000000000001</v>
      </c>
      <c r="R66" s="24">
        <f t="shared" si="20"/>
        <v>87356000000</v>
      </c>
      <c r="S66">
        <f t="shared" si="21"/>
        <v>25906000000</v>
      </c>
      <c r="T66" s="24">
        <f t="shared" si="22"/>
        <v>314300000</v>
      </c>
      <c r="U66" s="24">
        <f t="shared" si="23"/>
        <v>1615700000</v>
      </c>
      <c r="V66" s="30">
        <f t="shared" si="24"/>
        <v>14261820000</v>
      </c>
      <c r="W66">
        <f t="shared" si="16"/>
        <v>1.3373249559284294E-10</v>
      </c>
      <c r="X66">
        <f t="shared" si="25"/>
        <v>0.16326090938229773</v>
      </c>
    </row>
    <row r="67" spans="1:24">
      <c r="A67" s="21">
        <v>45408</v>
      </c>
      <c r="B67" s="28">
        <v>27.03</v>
      </c>
      <c r="C67" s="29">
        <f t="shared" si="11"/>
        <v>7.4046649389113563E-4</v>
      </c>
      <c r="D67" s="24">
        <f t="shared" si="17"/>
        <v>2.0931556354623407E-2</v>
      </c>
      <c r="E67" s="28">
        <v>27.19</v>
      </c>
      <c r="F67" s="28">
        <v>26.88</v>
      </c>
      <c r="G67" s="22">
        <f t="shared" si="12"/>
        <v>1.1466617347882459E-2</v>
      </c>
      <c r="H67" s="28">
        <v>27.09</v>
      </c>
      <c r="I67" s="28">
        <v>27.01</v>
      </c>
      <c r="J67" s="24">
        <f t="shared" si="13"/>
        <v>2.9574861367836708E-3</v>
      </c>
      <c r="K67" s="25">
        <v>1187043</v>
      </c>
      <c r="L67" s="24">
        <f t="shared" si="18"/>
        <v>880300000</v>
      </c>
      <c r="M67" s="24">
        <f t="shared" si="14"/>
        <v>32085772.290000003</v>
      </c>
      <c r="N67" s="24">
        <f t="shared" si="19"/>
        <v>456360000</v>
      </c>
      <c r="O67" s="24">
        <f t="shared" si="15"/>
        <v>2.6011109650276097E-3</v>
      </c>
      <c r="P67" s="10">
        <v>72742.75</v>
      </c>
      <c r="Q67" s="8">
        <v>0.21640000000000001</v>
      </c>
      <c r="R67" s="24">
        <f t="shared" si="20"/>
        <v>87356000000</v>
      </c>
      <c r="S67">
        <f t="shared" si="21"/>
        <v>25906000000</v>
      </c>
      <c r="T67" s="24">
        <f t="shared" si="22"/>
        <v>314300000</v>
      </c>
      <c r="U67" s="24">
        <f t="shared" si="23"/>
        <v>1615700000</v>
      </c>
      <c r="V67" s="30">
        <f t="shared" si="24"/>
        <v>14261820000</v>
      </c>
      <c r="W67">
        <f t="shared" si="16"/>
        <v>2.30777207791228E-11</v>
      </c>
      <c r="X67">
        <f t="shared" si="25"/>
        <v>0.16326090938229773</v>
      </c>
    </row>
    <row r="68" spans="1:24">
      <c r="A68" s="21">
        <v>45407</v>
      </c>
      <c r="B68" s="28">
        <v>27.01</v>
      </c>
      <c r="C68" s="29">
        <f t="shared" si="11"/>
        <v>-5.8888479941111571E-3</v>
      </c>
      <c r="D68" s="24">
        <f t="shared" si="17"/>
        <v>2.0931556354623407E-2</v>
      </c>
      <c r="E68" s="28">
        <v>27.26</v>
      </c>
      <c r="F68" s="28">
        <v>27</v>
      </c>
      <c r="G68" s="22">
        <f t="shared" si="12"/>
        <v>9.5834869148544617E-3</v>
      </c>
      <c r="H68" s="28">
        <v>27</v>
      </c>
      <c r="I68" s="28">
        <v>26.99</v>
      </c>
      <c r="J68" s="24">
        <f t="shared" si="13"/>
        <v>3.7043897017972086E-4</v>
      </c>
      <c r="K68" s="25">
        <v>980419</v>
      </c>
      <c r="L68" s="24">
        <f t="shared" si="18"/>
        <v>880300000</v>
      </c>
      <c r="M68" s="24">
        <f t="shared" si="14"/>
        <v>26481117.190000001</v>
      </c>
      <c r="N68" s="24">
        <f t="shared" si="19"/>
        <v>456360000</v>
      </c>
      <c r="O68" s="24">
        <f t="shared" si="15"/>
        <v>2.1483456043474452E-3</v>
      </c>
      <c r="P68" s="10">
        <v>71971.399999999994</v>
      </c>
      <c r="Q68" s="8">
        <v>0.21640000000000001</v>
      </c>
      <c r="R68" s="24">
        <f t="shared" si="20"/>
        <v>87356000000</v>
      </c>
      <c r="S68">
        <f t="shared" si="21"/>
        <v>25906000000</v>
      </c>
      <c r="T68" s="24">
        <f t="shared" si="22"/>
        <v>314300000</v>
      </c>
      <c r="U68" s="24">
        <f t="shared" si="23"/>
        <v>1615700000</v>
      </c>
      <c r="V68" s="30">
        <f t="shared" si="24"/>
        <v>14261820000</v>
      </c>
      <c r="W68">
        <f t="shared" si="16"/>
        <v>2.2237913724935096E-10</v>
      </c>
      <c r="X68">
        <f t="shared" si="25"/>
        <v>0.16326090938229773</v>
      </c>
    </row>
    <row r="69" spans="1:24">
      <c r="A69" s="21">
        <v>45406</v>
      </c>
      <c r="B69" s="28">
        <v>27.17</v>
      </c>
      <c r="C69" s="29">
        <f t="shared" si="11"/>
        <v>-2.5697503671070756E-3</v>
      </c>
      <c r="D69" s="24">
        <f t="shared" si="17"/>
        <v>2.0931556354623407E-2</v>
      </c>
      <c r="E69" s="28">
        <v>27.45</v>
      </c>
      <c r="F69" s="28">
        <v>26.95</v>
      </c>
      <c r="G69" s="22">
        <f t="shared" si="12"/>
        <v>1.8382352941176471E-2</v>
      </c>
      <c r="H69" s="28">
        <v>27.21</v>
      </c>
      <c r="I69" s="28">
        <v>27.2</v>
      </c>
      <c r="J69" s="24">
        <f t="shared" si="13"/>
        <v>3.6757948906456769E-4</v>
      </c>
      <c r="K69" s="25">
        <v>2931085</v>
      </c>
      <c r="L69" s="24">
        <f t="shared" si="18"/>
        <v>880300000</v>
      </c>
      <c r="M69" s="24">
        <f t="shared" si="14"/>
        <v>79637579.450000003</v>
      </c>
      <c r="N69" s="24">
        <f t="shared" si="19"/>
        <v>456360000</v>
      </c>
      <c r="O69" s="24">
        <f t="shared" si="15"/>
        <v>6.4227473924095011E-3</v>
      </c>
      <c r="P69" s="10">
        <v>72051.89</v>
      </c>
      <c r="Q69" s="8">
        <v>0.21640000000000001</v>
      </c>
      <c r="R69" s="24">
        <f t="shared" si="20"/>
        <v>87356000000</v>
      </c>
      <c r="S69">
        <f t="shared" si="21"/>
        <v>25906000000</v>
      </c>
      <c r="T69" s="24">
        <f t="shared" si="22"/>
        <v>314300000</v>
      </c>
      <c r="U69" s="24">
        <f t="shared" si="23"/>
        <v>1615700000</v>
      </c>
      <c r="V69" s="30">
        <f t="shared" si="24"/>
        <v>14261820000</v>
      </c>
      <c r="W69">
        <f t="shared" si="16"/>
        <v>3.2268062199460479E-11</v>
      </c>
      <c r="X69">
        <f t="shared" si="25"/>
        <v>0.16326090938229773</v>
      </c>
    </row>
    <row r="70" spans="1:24">
      <c r="A70" s="21">
        <v>45405</v>
      </c>
      <c r="B70" s="28">
        <v>27.24</v>
      </c>
      <c r="C70" s="29">
        <f t="shared" si="11"/>
        <v>-1.8731988472622588E-2</v>
      </c>
      <c r="D70" s="24">
        <f t="shared" si="17"/>
        <v>2.0931556354623407E-2</v>
      </c>
      <c r="E70" s="28">
        <v>27.98</v>
      </c>
      <c r="F70" s="28">
        <v>27.15</v>
      </c>
      <c r="G70" s="22">
        <f t="shared" si="12"/>
        <v>3.0110647560312058E-2</v>
      </c>
      <c r="H70" s="28">
        <v>27.25</v>
      </c>
      <c r="I70" s="28">
        <v>27.24</v>
      </c>
      <c r="J70" s="24">
        <f t="shared" si="13"/>
        <v>3.6703982382094196E-4</v>
      </c>
      <c r="K70" s="25">
        <v>1475991</v>
      </c>
      <c r="L70" s="24">
        <f t="shared" si="18"/>
        <v>880300000</v>
      </c>
      <c r="M70" s="24">
        <f t="shared" si="14"/>
        <v>40205994.839999996</v>
      </c>
      <c r="N70" s="24">
        <f t="shared" si="19"/>
        <v>456360000</v>
      </c>
      <c r="O70" s="24">
        <f t="shared" si="15"/>
        <v>3.2342689981593479E-3</v>
      </c>
      <c r="P70" s="10">
        <v>71359.41</v>
      </c>
      <c r="Q70" s="8">
        <v>0.21640000000000001</v>
      </c>
      <c r="R70" s="24">
        <f t="shared" si="20"/>
        <v>87356000000</v>
      </c>
      <c r="S70">
        <f t="shared" si="21"/>
        <v>25906000000</v>
      </c>
      <c r="T70" s="24">
        <f t="shared" si="22"/>
        <v>314300000</v>
      </c>
      <c r="U70" s="24">
        <f t="shared" si="23"/>
        <v>1615700000</v>
      </c>
      <c r="V70" s="30">
        <f t="shared" si="24"/>
        <v>14261820000</v>
      </c>
      <c r="W70">
        <f t="shared" si="16"/>
        <v>4.659003849343027E-10</v>
      </c>
      <c r="X70">
        <f t="shared" si="25"/>
        <v>0.16326090938229773</v>
      </c>
    </row>
    <row r="71" spans="1:24">
      <c r="A71" s="21">
        <v>45404</v>
      </c>
      <c r="B71" s="28">
        <v>27.76</v>
      </c>
      <c r="C71" s="29">
        <f t="shared" si="11"/>
        <v>-1.3854351687388883E-2</v>
      </c>
      <c r="D71" s="24">
        <f t="shared" si="17"/>
        <v>2.0931556354623407E-2</v>
      </c>
      <c r="E71" s="28">
        <v>28.04</v>
      </c>
      <c r="F71" s="28">
        <v>27.6</v>
      </c>
      <c r="G71" s="22">
        <f t="shared" si="12"/>
        <v>1.5815959741193306E-2</v>
      </c>
      <c r="H71" s="28">
        <v>27.9</v>
      </c>
      <c r="I71" s="28">
        <v>27.88</v>
      </c>
      <c r="J71" s="24">
        <f t="shared" si="13"/>
        <v>7.1710290426674694E-4</v>
      </c>
      <c r="K71" s="25">
        <v>2439268</v>
      </c>
      <c r="L71" s="24">
        <f t="shared" si="18"/>
        <v>880300000</v>
      </c>
      <c r="M71" s="24">
        <f t="shared" si="14"/>
        <v>67714079.680000007</v>
      </c>
      <c r="N71" s="24">
        <f t="shared" si="19"/>
        <v>456360000</v>
      </c>
      <c r="O71" s="24">
        <f t="shared" si="15"/>
        <v>5.3450521518099746E-3</v>
      </c>
      <c r="P71" s="10">
        <v>71433.460000000006</v>
      </c>
      <c r="Q71" s="8">
        <v>0.21640000000000001</v>
      </c>
      <c r="R71" s="24">
        <f t="shared" si="20"/>
        <v>87356000000</v>
      </c>
      <c r="S71">
        <f t="shared" si="21"/>
        <v>25906000000</v>
      </c>
      <c r="T71" s="24">
        <f t="shared" si="22"/>
        <v>314300000</v>
      </c>
      <c r="U71" s="24">
        <f t="shared" si="23"/>
        <v>1615700000</v>
      </c>
      <c r="V71" s="30">
        <f t="shared" si="24"/>
        <v>14261820000</v>
      </c>
      <c r="W71">
        <f t="shared" si="16"/>
        <v>2.0460075294327447E-10</v>
      </c>
      <c r="X71">
        <f t="shared" si="25"/>
        <v>0.16326090938229773</v>
      </c>
    </row>
    <row r="72" spans="1:24">
      <c r="A72" s="21">
        <v>45401</v>
      </c>
      <c r="B72" s="28">
        <v>28.15</v>
      </c>
      <c r="C72" s="29">
        <f t="shared" si="11"/>
        <v>-1.9163763066202117E-2</v>
      </c>
      <c r="D72" s="24">
        <f t="shared" si="17"/>
        <v>2.0931556354623407E-2</v>
      </c>
      <c r="E72" s="28">
        <v>28.8</v>
      </c>
      <c r="F72" s="28">
        <v>28.01</v>
      </c>
      <c r="G72" s="22">
        <f t="shared" si="12"/>
        <v>2.7812004928709704E-2</v>
      </c>
      <c r="H72" s="28">
        <v>28.24</v>
      </c>
      <c r="I72" s="28">
        <v>28.2</v>
      </c>
      <c r="J72" s="24">
        <f t="shared" si="13"/>
        <v>1.4174344436569508E-3</v>
      </c>
      <c r="K72" s="25">
        <v>1979315</v>
      </c>
      <c r="L72" s="24">
        <f t="shared" si="18"/>
        <v>880300000</v>
      </c>
      <c r="M72" s="24">
        <f t="shared" si="14"/>
        <v>55717717.25</v>
      </c>
      <c r="N72" s="24">
        <f t="shared" si="19"/>
        <v>456360000</v>
      </c>
      <c r="O72" s="24">
        <f t="shared" si="15"/>
        <v>4.3371789815058286E-3</v>
      </c>
      <c r="P72" s="10">
        <v>70909.899999999994</v>
      </c>
      <c r="Q72" s="8">
        <v>0.21640000000000001</v>
      </c>
      <c r="R72" s="24">
        <f t="shared" si="20"/>
        <v>87356000000</v>
      </c>
      <c r="S72">
        <f t="shared" si="21"/>
        <v>25906000000</v>
      </c>
      <c r="T72" s="24">
        <f t="shared" si="22"/>
        <v>314300000</v>
      </c>
      <c r="U72" s="24">
        <f t="shared" si="23"/>
        <v>1615700000</v>
      </c>
      <c r="V72" s="30">
        <f t="shared" si="24"/>
        <v>14261820000</v>
      </c>
      <c r="W72">
        <f t="shared" si="16"/>
        <v>3.4394379403980549E-10</v>
      </c>
      <c r="X72">
        <f t="shared" si="25"/>
        <v>0.16326090938229773</v>
      </c>
    </row>
    <row r="73" spans="1:24">
      <c r="A73" s="21">
        <v>45400</v>
      </c>
      <c r="B73" s="28">
        <v>28.7</v>
      </c>
      <c r="C73" s="29">
        <f t="shared" si="11"/>
        <v>7.0175438596490978E-3</v>
      </c>
      <c r="D73" s="24">
        <f t="shared" si="17"/>
        <v>2.0931556354623407E-2</v>
      </c>
      <c r="E73" s="28">
        <v>29.16</v>
      </c>
      <c r="F73" s="28">
        <v>28.46</v>
      </c>
      <c r="G73" s="22">
        <f t="shared" si="12"/>
        <v>2.4297119055883346E-2</v>
      </c>
      <c r="H73" s="28">
        <v>28.84</v>
      </c>
      <c r="I73" s="28">
        <v>28.8</v>
      </c>
      <c r="J73" s="24">
        <f t="shared" si="13"/>
        <v>1.3879250520471599E-3</v>
      </c>
      <c r="K73" s="25">
        <v>1029393</v>
      </c>
      <c r="L73" s="24">
        <f t="shared" si="18"/>
        <v>880300000</v>
      </c>
      <c r="M73" s="24">
        <f t="shared" si="14"/>
        <v>29543579.099999998</v>
      </c>
      <c r="N73" s="24">
        <f t="shared" si="19"/>
        <v>456360000</v>
      </c>
      <c r="O73" s="24">
        <f t="shared" si="15"/>
        <v>2.2556600052590059E-3</v>
      </c>
      <c r="P73" s="10">
        <v>70290.12</v>
      </c>
      <c r="Q73" s="8">
        <v>0.21640000000000001</v>
      </c>
      <c r="R73" s="24">
        <f t="shared" si="20"/>
        <v>87356000000</v>
      </c>
      <c r="S73">
        <f t="shared" si="21"/>
        <v>25906000000</v>
      </c>
      <c r="T73" s="24">
        <f t="shared" si="22"/>
        <v>314300000</v>
      </c>
      <c r="U73" s="24">
        <f t="shared" si="23"/>
        <v>1615700000</v>
      </c>
      <c r="V73" s="30">
        <f t="shared" si="24"/>
        <v>14261820000</v>
      </c>
      <c r="W73">
        <f t="shared" si="16"/>
        <v>2.3753194681984546E-10</v>
      </c>
      <c r="X73">
        <f t="shared" si="25"/>
        <v>0.16326090938229773</v>
      </c>
    </row>
    <row r="74" spans="1:24">
      <c r="A74" s="21">
        <v>45399</v>
      </c>
      <c r="B74" s="28">
        <v>28.5</v>
      </c>
      <c r="C74" s="29">
        <f t="shared" si="11"/>
        <v>-3.1479538300104881E-3</v>
      </c>
      <c r="D74" s="24">
        <f t="shared" si="17"/>
        <v>2.0931556354623407E-2</v>
      </c>
      <c r="E74" s="28">
        <v>28.61</v>
      </c>
      <c r="F74" s="28">
        <v>28.2</v>
      </c>
      <c r="G74" s="22">
        <f t="shared" si="12"/>
        <v>1.4434078507305057E-2</v>
      </c>
      <c r="H74" s="28">
        <v>28.58</v>
      </c>
      <c r="I74" s="28">
        <v>28.46</v>
      </c>
      <c r="J74" s="24">
        <f t="shared" si="13"/>
        <v>4.20757363253848E-3</v>
      </c>
      <c r="K74" s="25">
        <v>843130</v>
      </c>
      <c r="L74" s="24">
        <f t="shared" si="18"/>
        <v>880300000</v>
      </c>
      <c r="M74" s="24">
        <f t="shared" si="14"/>
        <v>24029205</v>
      </c>
      <c r="N74" s="24">
        <f t="shared" si="19"/>
        <v>456360000</v>
      </c>
      <c r="O74" s="24">
        <f t="shared" si="15"/>
        <v>1.8475107371373478E-3</v>
      </c>
      <c r="P74" s="10">
        <v>70333.320000000007</v>
      </c>
      <c r="Q74" s="8">
        <v>0.21640000000000001</v>
      </c>
      <c r="R74" s="24">
        <f t="shared" si="20"/>
        <v>87356000000</v>
      </c>
      <c r="S74">
        <f t="shared" si="21"/>
        <v>25906000000</v>
      </c>
      <c r="T74" s="24">
        <f t="shared" si="22"/>
        <v>314300000</v>
      </c>
      <c r="U74" s="24">
        <f t="shared" si="23"/>
        <v>1615700000</v>
      </c>
      <c r="V74" s="30">
        <f t="shared" si="24"/>
        <v>14261820000</v>
      </c>
      <c r="W74">
        <f t="shared" si="16"/>
        <v>1.3100532581125711E-10</v>
      </c>
      <c r="X74">
        <f t="shared" si="25"/>
        <v>0.16326090938229773</v>
      </c>
    </row>
    <row r="75" spans="1:24">
      <c r="A75" s="21">
        <v>45398</v>
      </c>
      <c r="B75" s="28">
        <v>28.59</v>
      </c>
      <c r="C75" s="29">
        <f t="shared" si="11"/>
        <v>-1.9210977701543695E-2</v>
      </c>
      <c r="D75" s="24">
        <f t="shared" si="17"/>
        <v>2.0931556354623407E-2</v>
      </c>
      <c r="E75" s="28">
        <v>29.5</v>
      </c>
      <c r="F75" s="28">
        <v>28.55</v>
      </c>
      <c r="G75" s="22">
        <f t="shared" si="12"/>
        <v>3.273040482342806E-2</v>
      </c>
      <c r="H75" s="28">
        <v>28.59</v>
      </c>
      <c r="I75" s="28">
        <v>28.56</v>
      </c>
      <c r="J75" s="24">
        <f t="shared" si="13"/>
        <v>1.0498687664042394E-3</v>
      </c>
      <c r="K75" s="25">
        <v>996438</v>
      </c>
      <c r="L75" s="24">
        <f t="shared" si="18"/>
        <v>880300000</v>
      </c>
      <c r="M75" s="24">
        <f t="shared" si="14"/>
        <v>28488162.419999998</v>
      </c>
      <c r="N75" s="24">
        <f t="shared" si="19"/>
        <v>456360000</v>
      </c>
      <c r="O75" s="24">
        <f t="shared" si="15"/>
        <v>2.1834472784643703E-3</v>
      </c>
      <c r="P75" s="10">
        <v>70483.66</v>
      </c>
      <c r="Q75" s="8">
        <v>0.216</v>
      </c>
      <c r="R75" s="24">
        <f t="shared" si="20"/>
        <v>87356000000</v>
      </c>
      <c r="S75">
        <f t="shared" si="21"/>
        <v>25906000000</v>
      </c>
      <c r="T75" s="24">
        <f t="shared" si="22"/>
        <v>314300000</v>
      </c>
      <c r="U75" s="24">
        <f t="shared" si="23"/>
        <v>1615700000</v>
      </c>
      <c r="V75" s="30">
        <f t="shared" si="24"/>
        <v>14261820000</v>
      </c>
      <c r="W75">
        <f t="shared" si="16"/>
        <v>6.7434948658031753E-10</v>
      </c>
      <c r="X75">
        <f t="shared" si="25"/>
        <v>0.16326090938229773</v>
      </c>
    </row>
    <row r="76" spans="1:24">
      <c r="A76" s="21">
        <v>45397</v>
      </c>
      <c r="B76" s="28">
        <v>29.15</v>
      </c>
      <c r="C76" s="29">
        <f t="shared" si="11"/>
        <v>4.4428520243640218E-2</v>
      </c>
      <c r="D76" s="24">
        <f t="shared" si="17"/>
        <v>2.0931556354623407E-2</v>
      </c>
      <c r="E76" s="28">
        <v>29.53</v>
      </c>
      <c r="F76" s="28">
        <v>27.79</v>
      </c>
      <c r="G76" s="22">
        <f t="shared" si="12"/>
        <v>6.0711793440335032E-2</v>
      </c>
      <c r="H76" s="28">
        <v>28.93</v>
      </c>
      <c r="I76" s="28">
        <v>28.9</v>
      </c>
      <c r="J76" s="24">
        <f t="shared" si="13"/>
        <v>1.0375237765865861E-3</v>
      </c>
      <c r="K76" s="25">
        <v>1668055</v>
      </c>
      <c r="L76" s="24">
        <f t="shared" si="18"/>
        <v>880300000</v>
      </c>
      <c r="M76" s="24">
        <f t="shared" si="14"/>
        <v>48623803.25</v>
      </c>
      <c r="N76" s="24">
        <f t="shared" si="19"/>
        <v>456360000</v>
      </c>
      <c r="O76" s="24">
        <f t="shared" si="15"/>
        <v>3.6551297221491803E-3</v>
      </c>
      <c r="P76" s="10">
        <v>70544.58</v>
      </c>
      <c r="Q76" s="8">
        <v>0.216</v>
      </c>
      <c r="R76" s="24">
        <f t="shared" si="20"/>
        <v>87356000000</v>
      </c>
      <c r="S76">
        <f t="shared" si="21"/>
        <v>25906000000</v>
      </c>
      <c r="T76" s="24">
        <f t="shared" si="22"/>
        <v>314300000</v>
      </c>
      <c r="U76" s="24">
        <f t="shared" si="23"/>
        <v>1615700000</v>
      </c>
      <c r="V76" s="30">
        <f t="shared" si="24"/>
        <v>14261820000</v>
      </c>
      <c r="W76">
        <f t="shared" si="16"/>
        <v>9.1371956272548911E-10</v>
      </c>
      <c r="X76">
        <f t="shared" si="25"/>
        <v>0.16326090938229773</v>
      </c>
    </row>
    <row r="77" spans="1:24">
      <c r="A77" s="21">
        <v>45391</v>
      </c>
      <c r="B77" s="28">
        <v>27.91</v>
      </c>
      <c r="C77" s="29">
        <f t="shared" si="11"/>
        <v>1.8241517694272163E-2</v>
      </c>
      <c r="D77" s="24">
        <f t="shared" si="17"/>
        <v>2.0931556354623407E-2</v>
      </c>
      <c r="E77" s="28">
        <v>27.99</v>
      </c>
      <c r="F77" s="28">
        <v>27.45</v>
      </c>
      <c r="G77" s="22">
        <f t="shared" si="12"/>
        <v>1.9480519480519449E-2</v>
      </c>
      <c r="H77" s="28">
        <v>27.98</v>
      </c>
      <c r="I77" s="28">
        <v>27.9</v>
      </c>
      <c r="J77" s="24">
        <f t="shared" si="13"/>
        <v>2.8632784538297012E-3</v>
      </c>
      <c r="K77" s="25">
        <v>1095307</v>
      </c>
      <c r="L77" s="24">
        <f t="shared" si="18"/>
        <v>880300000</v>
      </c>
      <c r="M77" s="24">
        <f t="shared" si="14"/>
        <v>30570018.370000001</v>
      </c>
      <c r="N77" s="24">
        <f t="shared" si="19"/>
        <v>456360000</v>
      </c>
      <c r="O77" s="24">
        <f t="shared" si="15"/>
        <v>2.4000942238583574E-3</v>
      </c>
      <c r="P77" s="10">
        <v>70314.720000000001</v>
      </c>
      <c r="Q77" s="8">
        <v>0.216</v>
      </c>
      <c r="R77" s="24">
        <f t="shared" si="20"/>
        <v>87356000000</v>
      </c>
      <c r="S77">
        <f t="shared" si="21"/>
        <v>25906000000</v>
      </c>
      <c r="T77" s="24">
        <f t="shared" si="22"/>
        <v>314300000</v>
      </c>
      <c r="U77" s="24">
        <f t="shared" si="23"/>
        <v>1615700000</v>
      </c>
      <c r="V77" s="30">
        <f t="shared" si="24"/>
        <v>14261820000</v>
      </c>
      <c r="W77">
        <f t="shared" si="16"/>
        <v>5.9671268343670812E-10</v>
      </c>
      <c r="X77">
        <f t="shared" si="25"/>
        <v>0.16326090938229773</v>
      </c>
    </row>
    <row r="78" spans="1:24">
      <c r="A78" s="21">
        <v>45390</v>
      </c>
      <c r="B78" s="28">
        <v>27.41</v>
      </c>
      <c r="C78" s="29">
        <f t="shared" si="11"/>
        <v>-1.0932944606414409E-3</v>
      </c>
      <c r="D78" s="24">
        <f t="shared" si="17"/>
        <v>2.0931556354623407E-2</v>
      </c>
      <c r="E78" s="28">
        <v>27.55</v>
      </c>
      <c r="F78" s="28">
        <v>27.2</v>
      </c>
      <c r="G78" s="22">
        <f t="shared" si="12"/>
        <v>1.2785388127853934E-2</v>
      </c>
      <c r="H78" s="28">
        <v>27.45</v>
      </c>
      <c r="I78" s="28">
        <v>27.41</v>
      </c>
      <c r="J78" s="24">
        <f t="shared" si="13"/>
        <v>1.4582573824279675E-3</v>
      </c>
      <c r="K78" s="25">
        <v>394312</v>
      </c>
      <c r="L78" s="24">
        <f t="shared" si="18"/>
        <v>880300000</v>
      </c>
      <c r="M78" s="24">
        <f t="shared" si="14"/>
        <v>10808091.92</v>
      </c>
      <c r="N78" s="24">
        <f t="shared" si="19"/>
        <v>456360000</v>
      </c>
      <c r="O78" s="24">
        <f t="shared" si="15"/>
        <v>8.6403716364273815E-4</v>
      </c>
      <c r="P78" s="10">
        <v>69619.990000000005</v>
      </c>
      <c r="Q78" s="8">
        <v>0.216</v>
      </c>
      <c r="R78" s="24">
        <f t="shared" si="20"/>
        <v>87356000000</v>
      </c>
      <c r="S78">
        <f t="shared" si="21"/>
        <v>25906000000</v>
      </c>
      <c r="T78" s="24">
        <f t="shared" si="22"/>
        <v>314300000</v>
      </c>
      <c r="U78" s="24">
        <f t="shared" si="23"/>
        <v>1615700000</v>
      </c>
      <c r="V78" s="30">
        <f t="shared" si="24"/>
        <v>14261820000</v>
      </c>
      <c r="W78">
        <f t="shared" si="16"/>
        <v>1.0115517787356501E-10</v>
      </c>
      <c r="X78">
        <f t="shared" si="25"/>
        <v>0.16326090938229773</v>
      </c>
    </row>
    <row r="79" spans="1:24">
      <c r="A79" s="21">
        <v>45386</v>
      </c>
      <c r="B79" s="28">
        <v>27.44</v>
      </c>
      <c r="C79" s="29">
        <f t="shared" si="11"/>
        <v>2.1913805697590313E-3</v>
      </c>
      <c r="D79" s="24">
        <f t="shared" si="17"/>
        <v>2.0931556354623407E-2</v>
      </c>
      <c r="E79" s="28">
        <v>27.5</v>
      </c>
      <c r="F79" s="28">
        <v>27.25</v>
      </c>
      <c r="G79" s="22">
        <f t="shared" si="12"/>
        <v>9.1324200913242004E-3</v>
      </c>
      <c r="H79" s="28">
        <v>27.45</v>
      </c>
      <c r="I79" s="28">
        <v>27.42</v>
      </c>
      <c r="J79" s="24">
        <f t="shared" si="13"/>
        <v>1.0934937124110655E-3</v>
      </c>
      <c r="K79" s="25">
        <v>363646</v>
      </c>
      <c r="L79" s="24">
        <f t="shared" si="18"/>
        <v>880300000</v>
      </c>
      <c r="M79" s="24">
        <f t="shared" si="14"/>
        <v>9978446.2400000002</v>
      </c>
      <c r="N79" s="24">
        <f t="shared" si="19"/>
        <v>456360000</v>
      </c>
      <c r="O79" s="24">
        <f t="shared" si="15"/>
        <v>7.9684021386624594E-4</v>
      </c>
      <c r="P79" s="10">
        <v>68416.78</v>
      </c>
      <c r="Q79" s="8">
        <v>0.216</v>
      </c>
      <c r="R79" s="24">
        <f t="shared" si="20"/>
        <v>87356000000</v>
      </c>
      <c r="S79">
        <f t="shared" si="21"/>
        <v>25906000000</v>
      </c>
      <c r="T79" s="24">
        <f t="shared" si="22"/>
        <v>314300000</v>
      </c>
      <c r="U79" s="24">
        <f t="shared" si="23"/>
        <v>1615700000</v>
      </c>
      <c r="V79" s="30">
        <f t="shared" si="24"/>
        <v>14261820000</v>
      </c>
      <c r="W79">
        <f t="shared" si="16"/>
        <v>2.1961140212136187E-10</v>
      </c>
      <c r="X79">
        <f t="shared" si="25"/>
        <v>0.16326090938229773</v>
      </c>
    </row>
    <row r="80" spans="1:24">
      <c r="A80" s="21">
        <v>45385</v>
      </c>
      <c r="B80" s="28">
        <v>27.38</v>
      </c>
      <c r="C80" s="29">
        <f t="shared" si="11"/>
        <v>5.508630187293374E-3</v>
      </c>
      <c r="D80" s="24">
        <f t="shared" si="17"/>
        <v>2.0931556354623407E-2</v>
      </c>
      <c r="E80" s="28">
        <v>27.69</v>
      </c>
      <c r="F80" s="28">
        <v>27.11</v>
      </c>
      <c r="G80" s="22">
        <f t="shared" si="12"/>
        <v>2.1167883211678902E-2</v>
      </c>
      <c r="H80" s="28">
        <v>27.39</v>
      </c>
      <c r="I80" s="28">
        <v>27.27</v>
      </c>
      <c r="J80" s="24">
        <f t="shared" si="13"/>
        <v>4.3907793633370289E-3</v>
      </c>
      <c r="K80" s="25">
        <v>561204</v>
      </c>
      <c r="L80" s="24">
        <f t="shared" si="18"/>
        <v>880300000</v>
      </c>
      <c r="M80" s="24">
        <f t="shared" si="14"/>
        <v>15365765.52</v>
      </c>
      <c r="N80" s="24">
        <f t="shared" si="19"/>
        <v>456360000</v>
      </c>
      <c r="O80" s="24">
        <f t="shared" si="15"/>
        <v>1.2297396792006312E-3</v>
      </c>
      <c r="P80" s="10">
        <v>67756.039999999994</v>
      </c>
      <c r="Q80" s="8">
        <v>0.216</v>
      </c>
      <c r="R80" s="24">
        <f t="shared" si="20"/>
        <v>87356000000</v>
      </c>
      <c r="S80">
        <f t="shared" si="21"/>
        <v>25906000000</v>
      </c>
      <c r="T80" s="24">
        <f t="shared" si="22"/>
        <v>314300000</v>
      </c>
      <c r="U80" s="24">
        <f t="shared" si="23"/>
        <v>1615700000</v>
      </c>
      <c r="V80" s="30">
        <f t="shared" si="24"/>
        <v>14261820000</v>
      </c>
      <c r="W80">
        <f t="shared" si="16"/>
        <v>3.5850021140328932E-10</v>
      </c>
      <c r="X80">
        <f t="shared" si="25"/>
        <v>0.16326090938229773</v>
      </c>
    </row>
    <row r="81" spans="1:24">
      <c r="A81" s="21">
        <v>45384</v>
      </c>
      <c r="B81" s="28">
        <v>27.23</v>
      </c>
      <c r="C81" s="29">
        <f t="shared" si="11"/>
        <v>0</v>
      </c>
      <c r="D81" s="24">
        <f t="shared" si="17"/>
        <v>2.0931556354623407E-2</v>
      </c>
      <c r="E81" s="28">
        <v>27.32</v>
      </c>
      <c r="F81" s="28">
        <v>27</v>
      </c>
      <c r="G81" s="22">
        <f t="shared" si="12"/>
        <v>1.1782032400589112E-2</v>
      </c>
      <c r="H81" s="28">
        <v>27.26</v>
      </c>
      <c r="I81" s="28">
        <v>27.19</v>
      </c>
      <c r="J81" s="24">
        <f t="shared" si="13"/>
        <v>2.5711662075298541E-3</v>
      </c>
      <c r="K81" s="25">
        <v>477637</v>
      </c>
      <c r="L81" s="24">
        <f t="shared" si="18"/>
        <v>880300000</v>
      </c>
      <c r="M81" s="24">
        <f t="shared" si="14"/>
        <v>13006055.51</v>
      </c>
      <c r="N81" s="24">
        <f t="shared" si="19"/>
        <v>456360000</v>
      </c>
      <c r="O81" s="24">
        <f t="shared" si="15"/>
        <v>1.0466232798667719E-3</v>
      </c>
      <c r="P81" s="10">
        <v>66886.259999999995</v>
      </c>
      <c r="Q81" s="8">
        <v>0.216</v>
      </c>
      <c r="R81" s="24">
        <f t="shared" si="20"/>
        <v>87356000000</v>
      </c>
      <c r="S81">
        <f t="shared" si="21"/>
        <v>25906000000</v>
      </c>
      <c r="T81" s="24">
        <f t="shared" si="22"/>
        <v>314300000</v>
      </c>
      <c r="U81" s="24">
        <f t="shared" si="23"/>
        <v>1615700000</v>
      </c>
      <c r="V81" s="30">
        <f t="shared" si="24"/>
        <v>14261820000</v>
      </c>
      <c r="W81">
        <f t="shared" si="16"/>
        <v>0</v>
      </c>
      <c r="X81">
        <f t="shared" si="25"/>
        <v>0.16326090938229773</v>
      </c>
    </row>
    <row r="82" spans="1:24">
      <c r="A82" s="21">
        <v>45383</v>
      </c>
      <c r="B82" s="28">
        <v>27.23</v>
      </c>
      <c r="C82" s="29">
        <f t="shared" si="11"/>
        <v>1.4711290915777546E-3</v>
      </c>
      <c r="D82" s="24">
        <f t="shared" si="17"/>
        <v>2.0931556354623407E-2</v>
      </c>
      <c r="E82" s="28">
        <v>27.49</v>
      </c>
      <c r="F82" s="28">
        <v>27.01</v>
      </c>
      <c r="G82" s="22">
        <f t="shared" si="12"/>
        <v>1.7614678899082453E-2</v>
      </c>
      <c r="H82" s="28">
        <v>27.27</v>
      </c>
      <c r="I82" s="28">
        <v>27.26</v>
      </c>
      <c r="J82" s="24">
        <f t="shared" si="13"/>
        <v>3.667705849990101E-4</v>
      </c>
      <c r="K82" s="25">
        <v>295264</v>
      </c>
      <c r="L82" s="24">
        <f t="shared" si="18"/>
        <v>880300000</v>
      </c>
      <c r="M82" s="24">
        <f t="shared" si="14"/>
        <v>8040038.7199999997</v>
      </c>
      <c r="N82" s="24">
        <f t="shared" si="19"/>
        <v>456360000</v>
      </c>
      <c r="O82" s="24">
        <f t="shared" si="15"/>
        <v>6.4699798404768162E-4</v>
      </c>
      <c r="P82" s="10">
        <v>66796.320000000007</v>
      </c>
      <c r="Q82" s="8">
        <v>0.216</v>
      </c>
      <c r="R82" s="24">
        <f t="shared" si="20"/>
        <v>87356000000</v>
      </c>
      <c r="S82">
        <f t="shared" si="21"/>
        <v>25906000000</v>
      </c>
      <c r="T82" s="24">
        <f t="shared" si="22"/>
        <v>314300000</v>
      </c>
      <c r="U82" s="24">
        <f t="shared" si="23"/>
        <v>1615700000</v>
      </c>
      <c r="V82" s="30">
        <f t="shared" si="24"/>
        <v>14261820000</v>
      </c>
      <c r="W82">
        <f t="shared" si="16"/>
        <v>1.8297537397652663E-10</v>
      </c>
      <c r="X82">
        <f t="shared" si="25"/>
        <v>0.16326090938229773</v>
      </c>
    </row>
    <row r="83" spans="1:24">
      <c r="A83" s="21">
        <v>45380</v>
      </c>
      <c r="B83" s="28">
        <v>27.19</v>
      </c>
      <c r="C83" s="29">
        <f t="shared" si="11"/>
        <v>7.3610599926387827E-4</v>
      </c>
      <c r="D83" s="24">
        <f t="shared" si="17"/>
        <v>2.0931556354623407E-2</v>
      </c>
      <c r="E83" s="28">
        <v>27.49</v>
      </c>
      <c r="F83" s="28">
        <v>27.12</v>
      </c>
      <c r="G83" s="22">
        <f t="shared" si="12"/>
        <v>1.3550631752426202E-2</v>
      </c>
      <c r="H83" s="28">
        <v>27.28</v>
      </c>
      <c r="I83" s="28">
        <v>27.25</v>
      </c>
      <c r="J83" s="24">
        <f t="shared" si="13"/>
        <v>1.1003117549972909E-3</v>
      </c>
      <c r="K83" s="25">
        <v>406418</v>
      </c>
      <c r="L83" s="24">
        <f t="shared" si="18"/>
        <v>880300000</v>
      </c>
      <c r="M83" s="24">
        <f t="shared" si="14"/>
        <v>11050505.42</v>
      </c>
      <c r="N83" s="24">
        <f t="shared" si="19"/>
        <v>456360000</v>
      </c>
      <c r="O83" s="24">
        <f t="shared" si="15"/>
        <v>8.905644666491367E-4</v>
      </c>
      <c r="P83" s="10">
        <v>67005.11</v>
      </c>
      <c r="Q83" s="8">
        <v>0.216</v>
      </c>
      <c r="R83" s="24">
        <f t="shared" si="20"/>
        <v>87356000000</v>
      </c>
      <c r="S83">
        <f t="shared" si="21"/>
        <v>25906000000</v>
      </c>
      <c r="T83" s="24">
        <f t="shared" si="22"/>
        <v>314300000</v>
      </c>
      <c r="U83" s="24">
        <f t="shared" si="23"/>
        <v>1615700000</v>
      </c>
      <c r="V83" s="30">
        <f t="shared" si="24"/>
        <v>14261820000</v>
      </c>
      <c r="W83">
        <f t="shared" si="16"/>
        <v>6.6612880704227399E-11</v>
      </c>
      <c r="X83">
        <f t="shared" si="25"/>
        <v>0.16326090938229773</v>
      </c>
    </row>
    <row r="84" spans="1:24">
      <c r="A84" s="21">
        <v>45379</v>
      </c>
      <c r="B84" s="28">
        <v>27.17</v>
      </c>
      <c r="C84" s="29">
        <f t="shared" si="11"/>
        <v>-3.3015407190021958E-3</v>
      </c>
      <c r="D84" s="24">
        <f t="shared" si="17"/>
        <v>2.0931556354623407E-2</v>
      </c>
      <c r="E84" s="28">
        <v>27.5</v>
      </c>
      <c r="F84" s="28">
        <v>27.08</v>
      </c>
      <c r="G84" s="22">
        <f t="shared" si="12"/>
        <v>1.5390252839868147E-2</v>
      </c>
      <c r="H84" s="28">
        <v>27.2</v>
      </c>
      <c r="I84" s="28">
        <v>27.17</v>
      </c>
      <c r="J84" s="24">
        <f t="shared" si="13"/>
        <v>1.103549751701217E-3</v>
      </c>
      <c r="K84" s="25">
        <v>600144</v>
      </c>
      <c r="L84" s="24">
        <f t="shared" si="18"/>
        <v>880300000</v>
      </c>
      <c r="M84" s="24">
        <f t="shared" si="14"/>
        <v>16305912.48</v>
      </c>
      <c r="N84" s="24">
        <f t="shared" si="19"/>
        <v>456360000</v>
      </c>
      <c r="O84" s="24">
        <f t="shared" si="15"/>
        <v>1.3150670523271102E-3</v>
      </c>
      <c r="P84" s="10">
        <v>67142.12</v>
      </c>
      <c r="Q84" s="8">
        <v>0.216</v>
      </c>
      <c r="R84" s="24">
        <f t="shared" si="20"/>
        <v>87356000000</v>
      </c>
      <c r="S84">
        <f t="shared" si="21"/>
        <v>25906000000</v>
      </c>
      <c r="T84" s="24">
        <f t="shared" si="22"/>
        <v>314300000</v>
      </c>
      <c r="U84" s="24">
        <f t="shared" si="23"/>
        <v>1615700000</v>
      </c>
      <c r="V84" s="30">
        <f t="shared" si="24"/>
        <v>14261820000</v>
      </c>
      <c r="W84">
        <f t="shared" si="16"/>
        <v>2.0247506682325796E-10</v>
      </c>
      <c r="X84">
        <f t="shared" si="25"/>
        <v>0.16326090938229773</v>
      </c>
    </row>
    <row r="85" spans="1:24">
      <c r="A85" s="21">
        <v>45378</v>
      </c>
      <c r="B85" s="28">
        <v>27.26</v>
      </c>
      <c r="C85" s="29">
        <f t="shared" si="11"/>
        <v>1.7543859649122896E-2</v>
      </c>
      <c r="D85" s="24">
        <f t="shared" si="17"/>
        <v>2.0931556354623407E-2</v>
      </c>
      <c r="E85" s="28">
        <v>27.5</v>
      </c>
      <c r="F85" s="28">
        <v>26.7</v>
      </c>
      <c r="G85" s="22">
        <f t="shared" si="12"/>
        <v>2.9520295202952053E-2</v>
      </c>
      <c r="H85" s="28">
        <v>27.33</v>
      </c>
      <c r="I85" s="28">
        <v>27.31</v>
      </c>
      <c r="J85" s="24">
        <f t="shared" si="13"/>
        <v>7.3206442166909129E-4</v>
      </c>
      <c r="K85" s="25">
        <v>389522</v>
      </c>
      <c r="L85" s="24">
        <f t="shared" si="18"/>
        <v>880300000</v>
      </c>
      <c r="M85" s="24">
        <f t="shared" si="14"/>
        <v>10618369.720000001</v>
      </c>
      <c r="N85" s="24">
        <f t="shared" si="19"/>
        <v>456360000</v>
      </c>
      <c r="O85" s="24">
        <f t="shared" si="15"/>
        <v>8.5354106407222363E-4</v>
      </c>
      <c r="P85" s="10">
        <v>66547.789999999994</v>
      </c>
      <c r="Q85" s="8">
        <v>0.216</v>
      </c>
      <c r="R85" s="24">
        <f t="shared" si="20"/>
        <v>87356000000</v>
      </c>
      <c r="S85">
        <f t="shared" si="21"/>
        <v>25906000000</v>
      </c>
      <c r="T85" s="24">
        <f t="shared" si="22"/>
        <v>314300000</v>
      </c>
      <c r="U85" s="24">
        <f t="shared" si="23"/>
        <v>1615700000</v>
      </c>
      <c r="V85" s="30">
        <f t="shared" si="24"/>
        <v>14261820000</v>
      </c>
      <c r="W85">
        <f t="shared" si="16"/>
        <v>1.6522178179648932E-9</v>
      </c>
      <c r="X85">
        <f t="shared" si="25"/>
        <v>0.16326090938229773</v>
      </c>
    </row>
    <row r="86" spans="1:24">
      <c r="A86" s="21">
        <v>45377</v>
      </c>
      <c r="B86" s="28">
        <v>26.79</v>
      </c>
      <c r="C86" s="29">
        <f t="shared" si="11"/>
        <v>-5.5679287305123283E-3</v>
      </c>
      <c r="D86" s="24">
        <f t="shared" si="17"/>
        <v>2.0931556354623407E-2</v>
      </c>
      <c r="E86" s="28">
        <v>27</v>
      </c>
      <c r="F86" s="28">
        <v>26.75</v>
      </c>
      <c r="G86" s="22">
        <f t="shared" si="12"/>
        <v>9.3023255813953487E-3</v>
      </c>
      <c r="H86" s="28">
        <v>26.89</v>
      </c>
      <c r="I86" s="28">
        <v>26.8</v>
      </c>
      <c r="J86" s="24">
        <f t="shared" si="13"/>
        <v>3.3525796237660593E-3</v>
      </c>
      <c r="K86" s="25">
        <v>431317</v>
      </c>
      <c r="L86" s="24">
        <f t="shared" si="18"/>
        <v>880300000</v>
      </c>
      <c r="M86" s="24">
        <f t="shared" si="14"/>
        <v>11554982.43</v>
      </c>
      <c r="N86" s="24">
        <f t="shared" si="19"/>
        <v>456360000</v>
      </c>
      <c r="O86" s="24">
        <f t="shared" si="15"/>
        <v>9.4512446314313266E-4</v>
      </c>
      <c r="P86" s="10">
        <v>65906.28</v>
      </c>
      <c r="Q86" s="8">
        <v>0.216</v>
      </c>
      <c r="R86" s="24">
        <f t="shared" si="20"/>
        <v>87356000000</v>
      </c>
      <c r="S86">
        <f t="shared" si="21"/>
        <v>25906000000</v>
      </c>
      <c r="T86" s="24">
        <f t="shared" si="22"/>
        <v>314300000</v>
      </c>
      <c r="U86" s="24">
        <f t="shared" si="23"/>
        <v>1615700000</v>
      </c>
      <c r="V86" s="30">
        <f t="shared" si="24"/>
        <v>14261820000</v>
      </c>
      <c r="W86">
        <f t="shared" si="16"/>
        <v>4.8186388549206376E-10</v>
      </c>
      <c r="X86">
        <f t="shared" si="25"/>
        <v>0.16326090938229773</v>
      </c>
    </row>
    <row r="87" spans="1:24">
      <c r="A87" s="21">
        <v>45376</v>
      </c>
      <c r="B87" s="28">
        <v>26.94</v>
      </c>
      <c r="C87" s="29">
        <f>IFERROR((B87-#REF!)/#REF!,0)</f>
        <v>0</v>
      </c>
      <c r="D87" s="24">
        <f t="shared" si="17"/>
        <v>2.0931556354623407E-2</v>
      </c>
      <c r="E87" s="28">
        <v>27.05</v>
      </c>
      <c r="F87" s="28">
        <v>26.86</v>
      </c>
      <c r="G87" s="22">
        <f t="shared" si="12"/>
        <v>7.04878501205718E-3</v>
      </c>
      <c r="H87" s="28">
        <v>26.98</v>
      </c>
      <c r="I87" s="28">
        <v>26.95</v>
      </c>
      <c r="J87" s="24">
        <f t="shared" si="13"/>
        <v>1.112553309846139E-3</v>
      </c>
      <c r="K87" s="25">
        <v>433351</v>
      </c>
      <c r="L87" s="24">
        <f t="shared" si="18"/>
        <v>880300000</v>
      </c>
      <c r="M87" s="24">
        <f t="shared" si="14"/>
        <v>11674475.940000001</v>
      </c>
      <c r="N87" s="24">
        <f t="shared" si="19"/>
        <v>456360000</v>
      </c>
      <c r="O87" s="24">
        <f t="shared" si="15"/>
        <v>9.4958147076869141E-4</v>
      </c>
      <c r="P87" s="10">
        <v>65525.65</v>
      </c>
      <c r="Q87" s="8">
        <v>0.216</v>
      </c>
      <c r="R87" s="24">
        <f t="shared" si="20"/>
        <v>87356000000</v>
      </c>
      <c r="S87">
        <f t="shared" si="21"/>
        <v>25906000000</v>
      </c>
      <c r="T87" s="24">
        <f t="shared" si="22"/>
        <v>314300000</v>
      </c>
      <c r="U87" s="24">
        <f t="shared" si="23"/>
        <v>1615700000</v>
      </c>
      <c r="V87" s="30">
        <f t="shared" si="24"/>
        <v>14261820000</v>
      </c>
      <c r="W87">
        <f t="shared" si="16"/>
        <v>0</v>
      </c>
      <c r="X87">
        <f t="shared" si="25"/>
        <v>0.16326090938229773</v>
      </c>
    </row>
    <row r="90" spans="1:24" ht="15" thickBot="1"/>
    <row r="91" spans="1:24" ht="16" thickBot="1">
      <c r="A91" s="184" t="s">
        <v>25</v>
      </c>
      <c r="B91" s="185"/>
      <c r="C91" s="185"/>
      <c r="D91" s="185"/>
      <c r="E91" s="185"/>
      <c r="F91" s="185"/>
      <c r="G91" s="185"/>
      <c r="H91" s="185"/>
      <c r="I91" s="185"/>
      <c r="J91" s="185"/>
      <c r="K91" s="185"/>
      <c r="L91" s="185"/>
      <c r="M91" s="185"/>
      <c r="N91" s="185"/>
      <c r="O91" s="185"/>
      <c r="P91" s="185"/>
      <c r="Q91" s="185"/>
      <c r="R91" s="185"/>
      <c r="S91" s="185"/>
      <c r="T91" s="185"/>
      <c r="U91" s="185"/>
      <c r="V91" s="185"/>
      <c r="W91" s="185"/>
      <c r="X91" s="186"/>
    </row>
    <row r="92" spans="1:24" ht="43.5">
      <c r="A92" s="6" t="s">
        <v>14</v>
      </c>
      <c r="B92" s="5" t="s">
        <v>15</v>
      </c>
      <c r="C92" s="7" t="s">
        <v>16</v>
      </c>
      <c r="D92" s="7" t="s">
        <v>17</v>
      </c>
      <c r="E92" s="6" t="s">
        <v>0</v>
      </c>
      <c r="F92" s="6" t="s">
        <v>13</v>
      </c>
      <c r="G92" s="7" t="s">
        <v>18</v>
      </c>
      <c r="H92" s="5" t="s">
        <v>12</v>
      </c>
      <c r="I92" s="6" t="s">
        <v>1</v>
      </c>
      <c r="J92" s="7" t="s">
        <v>19</v>
      </c>
      <c r="K92" s="5" t="s">
        <v>2</v>
      </c>
      <c r="L92" s="5" t="s">
        <v>3</v>
      </c>
      <c r="M92" s="7" t="s">
        <v>20</v>
      </c>
      <c r="N92" s="5" t="s">
        <v>22</v>
      </c>
      <c r="O92" s="7" t="s">
        <v>21</v>
      </c>
      <c r="P92" s="5" t="s">
        <v>5</v>
      </c>
      <c r="Q92" s="5" t="s">
        <v>6</v>
      </c>
      <c r="R92" s="5" t="s">
        <v>7</v>
      </c>
      <c r="S92" s="5" t="s">
        <v>8</v>
      </c>
      <c r="T92" s="5" t="s">
        <v>9</v>
      </c>
      <c r="U92" s="5" t="s">
        <v>10</v>
      </c>
      <c r="V92" s="5" t="s">
        <v>11</v>
      </c>
      <c r="W92" s="7" t="s">
        <v>73</v>
      </c>
      <c r="X92" s="7" t="s">
        <v>72</v>
      </c>
    </row>
    <row r="93" spans="1:24">
      <c r="A93" s="21">
        <v>45436</v>
      </c>
      <c r="B93" s="28">
        <v>26.52</v>
      </c>
      <c r="C93" s="29">
        <f t="shared" ref="C93:C131" si="26">IFERROR((B93-B94)/B94,0)</f>
        <v>-7.4991280083711268E-2</v>
      </c>
      <c r="D93" s="24">
        <f t="shared" ref="D93:D132" si="27">_xlfn.STDEV.S($C$93:$C$132)</f>
        <v>3.2320119294099343E-2</v>
      </c>
      <c r="E93" s="28">
        <v>28.4</v>
      </c>
      <c r="F93" s="28">
        <v>26.52</v>
      </c>
      <c r="G93" s="22">
        <f t="shared" ref="G93:G132" si="28">(E93-F93)/AVERAGE(E93:F93)</f>
        <v>6.8463219227967914E-2</v>
      </c>
      <c r="H93" s="28">
        <v>26.52</v>
      </c>
      <c r="I93" s="28">
        <v>26.46</v>
      </c>
      <c r="J93" s="24">
        <f t="shared" ref="J93:J132" si="29">(H93-I93)/((H93+I93)/2)</f>
        <v>2.2650056625141079E-3</v>
      </c>
      <c r="K93" s="25">
        <v>11312305</v>
      </c>
      <c r="L93" s="31">
        <f>379.8*1000000</f>
        <v>379800000</v>
      </c>
      <c r="M93" s="24">
        <f t="shared" ref="M93:M132" si="30">K93*B93</f>
        <v>300002328.60000002</v>
      </c>
      <c r="N93" s="24">
        <f>151.93*1000000</f>
        <v>151930000</v>
      </c>
      <c r="O93" s="24">
        <f t="shared" ref="O93:O132" si="31">K93/N93</f>
        <v>7.4457348779042976E-2</v>
      </c>
      <c r="P93" s="10">
        <v>75983.039999999994</v>
      </c>
      <c r="Q93" s="8">
        <v>0.2157</v>
      </c>
      <c r="R93" s="24">
        <f>26240*1000000</f>
        <v>26240000000</v>
      </c>
      <c r="S93" s="24">
        <f>8953.42*1000000</f>
        <v>8953420000</v>
      </c>
      <c r="T93" s="31">
        <f>2084.33*1000000</f>
        <v>2084330000</v>
      </c>
      <c r="U93" s="31">
        <f>9.06*1000000</f>
        <v>9060000</v>
      </c>
      <c r="V93" s="31">
        <f>8020.75*1000000</f>
        <v>8020750000</v>
      </c>
      <c r="W93">
        <f t="shared" ref="W93:W132" si="32">IFERROR(ABS(C93)/M93,"0")</f>
        <v>2.4996899335304446E-10</v>
      </c>
      <c r="X93">
        <f>V93/R93</f>
        <v>0.30566882621951219</v>
      </c>
    </row>
    <row r="94" spans="1:24">
      <c r="A94" s="21">
        <v>45435</v>
      </c>
      <c r="B94" s="28">
        <v>28.67</v>
      </c>
      <c r="C94" s="29">
        <f t="shared" si="26"/>
        <v>2.2103386809269196E-2</v>
      </c>
      <c r="D94" s="24">
        <f t="shared" si="27"/>
        <v>3.2320119294099343E-2</v>
      </c>
      <c r="E94" s="28">
        <v>30.15</v>
      </c>
      <c r="F94" s="28">
        <v>26.8</v>
      </c>
      <c r="G94" s="22">
        <f t="shared" si="28"/>
        <v>0.11764705882352933</v>
      </c>
      <c r="H94" s="28">
        <v>28.59</v>
      </c>
      <c r="I94" s="28">
        <v>28.52</v>
      </c>
      <c r="J94" s="24">
        <f t="shared" si="29"/>
        <v>2.451409560497296E-3</v>
      </c>
      <c r="K94" s="25">
        <v>11827538</v>
      </c>
      <c r="L94" s="31">
        <f t="shared" ref="L94:L132" si="33">379.8*1000000</f>
        <v>379800000</v>
      </c>
      <c r="M94" s="24">
        <f t="shared" si="30"/>
        <v>339095514.46000004</v>
      </c>
      <c r="N94" s="24">
        <f t="shared" ref="N94:N132" si="34">151.93*1000000</f>
        <v>151930000</v>
      </c>
      <c r="O94" s="24">
        <f t="shared" si="31"/>
        <v>7.7848601329559661E-2</v>
      </c>
      <c r="P94" s="10">
        <v>75114.47</v>
      </c>
      <c r="Q94" s="8">
        <v>0.2157</v>
      </c>
      <c r="R94" s="24">
        <f t="shared" ref="R94:R132" si="35">26240*1000000</f>
        <v>26240000000</v>
      </c>
      <c r="S94" s="24">
        <f t="shared" ref="S94:S132" si="36">8953.42*1000000</f>
        <v>8953420000</v>
      </c>
      <c r="T94" s="31">
        <f t="shared" ref="T94:T132" si="37">2084.33*1000000</f>
        <v>2084330000</v>
      </c>
      <c r="U94" s="31">
        <f t="shared" ref="U94:U132" si="38">9.06*1000000</f>
        <v>9060000</v>
      </c>
      <c r="V94" s="31">
        <f t="shared" ref="V94:V132" si="39">8020.75*1000000</f>
        <v>8020750000</v>
      </c>
      <c r="W94">
        <f t="shared" si="32"/>
        <v>6.5183365354944931E-11</v>
      </c>
      <c r="X94">
        <f t="shared" ref="X94:X132" si="40">V94/R94</f>
        <v>0.30566882621951219</v>
      </c>
    </row>
    <row r="95" spans="1:24">
      <c r="A95" s="21">
        <v>45434</v>
      </c>
      <c r="B95" s="28">
        <v>28.05</v>
      </c>
      <c r="C95" s="29">
        <f t="shared" si="26"/>
        <v>7.5124568800306671E-2</v>
      </c>
      <c r="D95" s="24">
        <f t="shared" si="27"/>
        <v>3.2320119294099343E-2</v>
      </c>
      <c r="E95" s="28">
        <v>28.05</v>
      </c>
      <c r="F95" s="28">
        <v>26.8</v>
      </c>
      <c r="G95" s="22">
        <f t="shared" si="28"/>
        <v>4.5578851412944391E-2</v>
      </c>
      <c r="H95" s="28">
        <v>28.1</v>
      </c>
      <c r="I95" s="28">
        <v>28.05</v>
      </c>
      <c r="J95" s="24">
        <f t="shared" si="29"/>
        <v>1.7809439002671667E-3</v>
      </c>
      <c r="K95" s="25">
        <v>5153950</v>
      </c>
      <c r="L95" s="31">
        <f t="shared" si="33"/>
        <v>379800000</v>
      </c>
      <c r="M95" s="24">
        <f t="shared" si="30"/>
        <v>144568297.5</v>
      </c>
      <c r="N95" s="24">
        <f t="shared" si="34"/>
        <v>151930000</v>
      </c>
      <c r="O95" s="24">
        <f t="shared" si="31"/>
        <v>3.392318831040611E-2</v>
      </c>
      <c r="P95" s="10">
        <v>74956.67</v>
      </c>
      <c r="Q95" s="8">
        <v>0.2157</v>
      </c>
      <c r="R95" s="24">
        <f t="shared" si="35"/>
        <v>26240000000</v>
      </c>
      <c r="S95" s="24">
        <f t="shared" si="36"/>
        <v>8953420000</v>
      </c>
      <c r="T95" s="31">
        <f t="shared" si="37"/>
        <v>2084330000</v>
      </c>
      <c r="U95" s="31">
        <f t="shared" si="38"/>
        <v>9060000</v>
      </c>
      <c r="V95" s="31">
        <f t="shared" si="39"/>
        <v>8020750000</v>
      </c>
      <c r="W95">
        <f t="shared" si="32"/>
        <v>5.1964759978104242E-10</v>
      </c>
      <c r="X95">
        <f t="shared" si="40"/>
        <v>0.30566882621951219</v>
      </c>
    </row>
    <row r="96" spans="1:24">
      <c r="A96" s="21">
        <v>45433</v>
      </c>
      <c r="B96" s="28">
        <v>26.09</v>
      </c>
      <c r="C96" s="29">
        <f t="shared" si="26"/>
        <v>6.7075664621676911E-2</v>
      </c>
      <c r="D96" s="24">
        <f t="shared" si="27"/>
        <v>3.2320119294099343E-2</v>
      </c>
      <c r="E96" s="28">
        <v>26.28</v>
      </c>
      <c r="F96" s="28">
        <v>24.55</v>
      </c>
      <c r="G96" s="22">
        <f t="shared" si="28"/>
        <v>6.807003737950032E-2</v>
      </c>
      <c r="H96" s="28">
        <v>26.32</v>
      </c>
      <c r="I96" s="28">
        <v>26.28</v>
      </c>
      <c r="J96" s="24">
        <f t="shared" si="29"/>
        <v>1.5209125475284847E-3</v>
      </c>
      <c r="K96" s="25">
        <v>3666914</v>
      </c>
      <c r="L96" s="31">
        <f t="shared" si="33"/>
        <v>379800000</v>
      </c>
      <c r="M96" s="24">
        <f t="shared" si="30"/>
        <v>95669786.260000005</v>
      </c>
      <c r="N96" s="24">
        <f t="shared" si="34"/>
        <v>151930000</v>
      </c>
      <c r="O96" s="24">
        <f t="shared" si="31"/>
        <v>2.4135549266109394E-2</v>
      </c>
      <c r="P96" s="10">
        <v>75206.77</v>
      </c>
      <c r="Q96" s="8">
        <v>0.2157</v>
      </c>
      <c r="R96" s="24">
        <f t="shared" si="35"/>
        <v>26240000000</v>
      </c>
      <c r="S96" s="24">
        <f t="shared" si="36"/>
        <v>8953420000</v>
      </c>
      <c r="T96" s="31">
        <f t="shared" si="37"/>
        <v>2084330000</v>
      </c>
      <c r="U96" s="31">
        <f t="shared" si="38"/>
        <v>9060000</v>
      </c>
      <c r="V96" s="31">
        <f t="shared" si="39"/>
        <v>8020750000</v>
      </c>
      <c r="W96">
        <f t="shared" si="32"/>
        <v>7.011164887458473E-10</v>
      </c>
      <c r="X96">
        <f t="shared" si="40"/>
        <v>0.30566882621951219</v>
      </c>
    </row>
    <row r="97" spans="1:24">
      <c r="A97" s="21">
        <v>45432</v>
      </c>
      <c r="B97" s="28">
        <v>24.45</v>
      </c>
      <c r="C97" s="29">
        <f t="shared" si="26"/>
        <v>4.8906048906048931E-2</v>
      </c>
      <c r="D97" s="24">
        <f t="shared" si="27"/>
        <v>3.2320119294099343E-2</v>
      </c>
      <c r="E97" s="28">
        <v>24.95</v>
      </c>
      <c r="F97" s="28">
        <v>23.75</v>
      </c>
      <c r="G97" s="22">
        <f t="shared" si="28"/>
        <v>4.9281314168377791E-2</v>
      </c>
      <c r="H97" s="28">
        <v>24.48</v>
      </c>
      <c r="I97" s="28">
        <v>24.42</v>
      </c>
      <c r="J97" s="24">
        <f t="shared" si="29"/>
        <v>2.4539877300612969E-3</v>
      </c>
      <c r="K97" s="25">
        <v>3741403</v>
      </c>
      <c r="L97" s="31">
        <f t="shared" si="33"/>
        <v>379800000</v>
      </c>
      <c r="M97" s="24">
        <f t="shared" si="30"/>
        <v>91477303.349999994</v>
      </c>
      <c r="N97" s="24">
        <f t="shared" si="34"/>
        <v>151930000</v>
      </c>
      <c r="O97" s="24">
        <f t="shared" si="31"/>
        <v>2.4625834265780293E-2</v>
      </c>
      <c r="P97" s="10">
        <v>75084</v>
      </c>
      <c r="Q97" s="8">
        <v>0.2157</v>
      </c>
      <c r="R97" s="24">
        <f t="shared" si="35"/>
        <v>26240000000</v>
      </c>
      <c r="S97" s="24">
        <f t="shared" si="36"/>
        <v>8953420000</v>
      </c>
      <c r="T97" s="31">
        <f t="shared" si="37"/>
        <v>2084330000</v>
      </c>
      <c r="U97" s="31">
        <f t="shared" si="38"/>
        <v>9060000</v>
      </c>
      <c r="V97" s="31">
        <f t="shared" si="39"/>
        <v>8020750000</v>
      </c>
      <c r="W97">
        <f t="shared" si="32"/>
        <v>5.3462495192856962E-10</v>
      </c>
      <c r="X97">
        <f t="shared" si="40"/>
        <v>0.30566882621951219</v>
      </c>
    </row>
    <row r="98" spans="1:24">
      <c r="A98" s="21">
        <v>45429</v>
      </c>
      <c r="B98" s="28">
        <v>23.31</v>
      </c>
      <c r="C98" s="29">
        <f t="shared" si="26"/>
        <v>8.6542622241453614E-3</v>
      </c>
      <c r="D98" s="24">
        <f t="shared" si="27"/>
        <v>3.2320119294099343E-2</v>
      </c>
      <c r="E98" s="28">
        <v>23.65</v>
      </c>
      <c r="F98" s="28">
        <v>23</v>
      </c>
      <c r="G98" s="22">
        <f t="shared" si="28"/>
        <v>2.7867095391211086E-2</v>
      </c>
      <c r="H98" s="28">
        <v>23.29</v>
      </c>
      <c r="I98" s="28">
        <v>23.26</v>
      </c>
      <c r="J98" s="24">
        <f t="shared" si="29"/>
        <v>1.2889366272823882E-3</v>
      </c>
      <c r="K98" s="25">
        <v>926467</v>
      </c>
      <c r="L98" s="31">
        <f t="shared" si="33"/>
        <v>379800000</v>
      </c>
      <c r="M98" s="24">
        <f t="shared" si="30"/>
        <v>21595945.77</v>
      </c>
      <c r="N98" s="24">
        <f t="shared" si="34"/>
        <v>151930000</v>
      </c>
      <c r="O98" s="24">
        <f t="shared" si="31"/>
        <v>6.0979859145659189E-3</v>
      </c>
      <c r="P98" s="10">
        <v>75342.350000000006</v>
      </c>
      <c r="Q98" s="8">
        <v>0.2157</v>
      </c>
      <c r="R98" s="24">
        <f t="shared" si="35"/>
        <v>26240000000</v>
      </c>
      <c r="S98" s="24">
        <f t="shared" si="36"/>
        <v>8953420000</v>
      </c>
      <c r="T98" s="31">
        <f t="shared" si="37"/>
        <v>2084330000</v>
      </c>
      <c r="U98" s="31">
        <f t="shared" si="38"/>
        <v>9060000</v>
      </c>
      <c r="V98" s="31">
        <f t="shared" si="39"/>
        <v>8020750000</v>
      </c>
      <c r="W98">
        <f t="shared" si="32"/>
        <v>4.0073550453934864E-10</v>
      </c>
      <c r="X98">
        <f t="shared" si="40"/>
        <v>0.30566882621951219</v>
      </c>
    </row>
    <row r="99" spans="1:24">
      <c r="A99" s="21">
        <v>45428</v>
      </c>
      <c r="B99" s="28">
        <v>23.11</v>
      </c>
      <c r="C99" s="29">
        <f t="shared" si="26"/>
        <v>-5.5938037865748283E-3</v>
      </c>
      <c r="D99" s="24">
        <f t="shared" si="27"/>
        <v>3.2320119294099343E-2</v>
      </c>
      <c r="E99" s="28">
        <v>23.3</v>
      </c>
      <c r="F99" s="28">
        <v>23.04</v>
      </c>
      <c r="G99" s="22">
        <f t="shared" si="28"/>
        <v>1.1221406991799807E-2</v>
      </c>
      <c r="H99" s="28">
        <v>23.18</v>
      </c>
      <c r="I99" s="28">
        <v>23.11</v>
      </c>
      <c r="J99" s="24">
        <f t="shared" si="29"/>
        <v>3.0244113199395239E-3</v>
      </c>
      <c r="K99" s="25">
        <v>450395</v>
      </c>
      <c r="L99" s="31">
        <f t="shared" si="33"/>
        <v>379800000</v>
      </c>
      <c r="M99" s="24">
        <f t="shared" si="30"/>
        <v>10408628.449999999</v>
      </c>
      <c r="N99" s="24">
        <f t="shared" si="34"/>
        <v>151930000</v>
      </c>
      <c r="O99" s="24">
        <f t="shared" si="31"/>
        <v>2.9644902257618638E-3</v>
      </c>
      <c r="P99" s="10">
        <v>74930.7</v>
      </c>
      <c r="Q99" s="8">
        <v>0.2157</v>
      </c>
      <c r="R99" s="24">
        <f t="shared" si="35"/>
        <v>26240000000</v>
      </c>
      <c r="S99" s="24">
        <f t="shared" si="36"/>
        <v>8953420000</v>
      </c>
      <c r="T99" s="31">
        <f t="shared" si="37"/>
        <v>2084330000</v>
      </c>
      <c r="U99" s="31">
        <f t="shared" si="38"/>
        <v>9060000</v>
      </c>
      <c r="V99" s="31">
        <f t="shared" si="39"/>
        <v>8020750000</v>
      </c>
      <c r="W99">
        <f t="shared" si="32"/>
        <v>5.3741987366018708E-10</v>
      </c>
      <c r="X99">
        <f t="shared" si="40"/>
        <v>0.30566882621951219</v>
      </c>
    </row>
    <row r="100" spans="1:24">
      <c r="A100" s="21">
        <v>45427</v>
      </c>
      <c r="B100" s="28">
        <v>23.24</v>
      </c>
      <c r="C100" s="29">
        <f t="shared" si="26"/>
        <v>8.6132644272177324E-4</v>
      </c>
      <c r="D100" s="24">
        <f t="shared" si="27"/>
        <v>3.2320119294099343E-2</v>
      </c>
      <c r="E100" s="28">
        <v>23.54</v>
      </c>
      <c r="F100" s="28">
        <v>23.01</v>
      </c>
      <c r="G100" s="22">
        <f t="shared" si="28"/>
        <v>2.2771213748657256E-2</v>
      </c>
      <c r="H100" s="28">
        <v>23.25</v>
      </c>
      <c r="I100" s="28">
        <v>23.2</v>
      </c>
      <c r="J100" s="24">
        <f t="shared" si="29"/>
        <v>2.1528525296017529E-3</v>
      </c>
      <c r="K100" s="25">
        <v>581597</v>
      </c>
      <c r="L100" s="31">
        <f t="shared" si="33"/>
        <v>379800000</v>
      </c>
      <c r="M100" s="24">
        <f t="shared" si="30"/>
        <v>13516314.279999999</v>
      </c>
      <c r="N100" s="24">
        <f t="shared" si="34"/>
        <v>151930000</v>
      </c>
      <c r="O100" s="24">
        <f t="shared" si="31"/>
        <v>3.8280589745277429E-3</v>
      </c>
      <c r="P100" s="10">
        <v>74663.98</v>
      </c>
      <c r="Q100" s="8">
        <v>0.2157</v>
      </c>
      <c r="R100" s="24">
        <f t="shared" si="35"/>
        <v>26240000000</v>
      </c>
      <c r="S100" s="24">
        <f t="shared" si="36"/>
        <v>8953420000</v>
      </c>
      <c r="T100" s="31">
        <f t="shared" si="37"/>
        <v>2084330000</v>
      </c>
      <c r="U100" s="31">
        <f t="shared" si="38"/>
        <v>9060000</v>
      </c>
      <c r="V100" s="31">
        <f t="shared" si="39"/>
        <v>8020750000</v>
      </c>
      <c r="W100">
        <f t="shared" si="32"/>
        <v>6.3724949337429378E-11</v>
      </c>
      <c r="X100">
        <f t="shared" si="40"/>
        <v>0.30566882621951219</v>
      </c>
    </row>
    <row r="101" spans="1:24">
      <c r="A101" s="21">
        <v>45426</v>
      </c>
      <c r="B101" s="28">
        <v>23.22</v>
      </c>
      <c r="C101" s="29">
        <f t="shared" si="26"/>
        <v>4.3084877208091386E-4</v>
      </c>
      <c r="D101" s="24">
        <f t="shared" si="27"/>
        <v>3.2320119294099343E-2</v>
      </c>
      <c r="E101" s="28">
        <v>23.79</v>
      </c>
      <c r="F101" s="28">
        <v>23.14</v>
      </c>
      <c r="G101" s="22">
        <f t="shared" si="28"/>
        <v>2.7700831024930688E-2</v>
      </c>
      <c r="H101" s="28">
        <v>23.28</v>
      </c>
      <c r="I101" s="28">
        <v>23.2</v>
      </c>
      <c r="J101" s="24">
        <f t="shared" si="29"/>
        <v>3.4423407917384611E-3</v>
      </c>
      <c r="K101" s="25">
        <v>649863</v>
      </c>
      <c r="L101" s="31">
        <f t="shared" si="33"/>
        <v>379800000</v>
      </c>
      <c r="M101" s="24">
        <f t="shared" si="30"/>
        <v>15089818.859999999</v>
      </c>
      <c r="N101" s="24">
        <f t="shared" si="34"/>
        <v>151930000</v>
      </c>
      <c r="O101" s="24">
        <f t="shared" si="31"/>
        <v>4.2773843217271115E-3</v>
      </c>
      <c r="P101" s="10">
        <v>74531.19</v>
      </c>
      <c r="Q101" s="8">
        <v>0.21590000000000001</v>
      </c>
      <c r="R101" s="24">
        <f t="shared" si="35"/>
        <v>26240000000</v>
      </c>
      <c r="S101" s="24">
        <f t="shared" si="36"/>
        <v>8953420000</v>
      </c>
      <c r="T101" s="31">
        <f t="shared" si="37"/>
        <v>2084330000</v>
      </c>
      <c r="U101" s="31">
        <f t="shared" si="38"/>
        <v>9060000</v>
      </c>
      <c r="V101" s="31">
        <f t="shared" si="39"/>
        <v>8020750000</v>
      </c>
      <c r="W101">
        <f t="shared" si="32"/>
        <v>2.8552282573981399E-11</v>
      </c>
      <c r="X101">
        <f t="shared" si="40"/>
        <v>0.30566882621951219</v>
      </c>
    </row>
    <row r="102" spans="1:24">
      <c r="A102" s="21">
        <v>45425</v>
      </c>
      <c r="B102" s="28">
        <v>23.21</v>
      </c>
      <c r="C102" s="29">
        <f t="shared" si="26"/>
        <v>1.0448410970831606E-2</v>
      </c>
      <c r="D102" s="24">
        <f t="shared" si="27"/>
        <v>3.2320119294099343E-2</v>
      </c>
      <c r="E102" s="28">
        <v>23.25</v>
      </c>
      <c r="F102" s="28">
        <v>22.3</v>
      </c>
      <c r="G102" s="22">
        <f t="shared" si="28"/>
        <v>4.17124039517014E-2</v>
      </c>
      <c r="H102" s="28">
        <v>23.25</v>
      </c>
      <c r="I102" s="28">
        <v>23.2</v>
      </c>
      <c r="J102" s="24">
        <f t="shared" si="29"/>
        <v>2.1528525296017529E-3</v>
      </c>
      <c r="K102" s="25">
        <v>817250</v>
      </c>
      <c r="L102" s="31">
        <f t="shared" si="33"/>
        <v>379800000</v>
      </c>
      <c r="M102" s="24">
        <f t="shared" si="30"/>
        <v>18968372.5</v>
      </c>
      <c r="N102" s="24">
        <f t="shared" si="34"/>
        <v>151930000</v>
      </c>
      <c r="O102" s="24">
        <f t="shared" si="31"/>
        <v>5.3791219640623973E-3</v>
      </c>
      <c r="P102" s="10">
        <v>73799.11</v>
      </c>
      <c r="Q102" s="8">
        <v>0.21590000000000001</v>
      </c>
      <c r="R102" s="24">
        <f t="shared" si="35"/>
        <v>26240000000</v>
      </c>
      <c r="S102" s="24">
        <f t="shared" si="36"/>
        <v>8953420000</v>
      </c>
      <c r="T102" s="31">
        <f t="shared" si="37"/>
        <v>2084330000</v>
      </c>
      <c r="U102" s="31">
        <f t="shared" si="38"/>
        <v>9060000</v>
      </c>
      <c r="V102" s="31">
        <f t="shared" si="39"/>
        <v>8020750000</v>
      </c>
      <c r="W102">
        <f t="shared" si="32"/>
        <v>5.5083328687432758E-10</v>
      </c>
      <c r="X102">
        <f t="shared" si="40"/>
        <v>0.30566882621951219</v>
      </c>
    </row>
    <row r="103" spans="1:24">
      <c r="A103" s="21">
        <v>45422</v>
      </c>
      <c r="B103" s="28">
        <v>22.97</v>
      </c>
      <c r="C103" s="29">
        <f t="shared" si="26"/>
        <v>2.8660994178235585E-2</v>
      </c>
      <c r="D103" s="24">
        <f t="shared" si="27"/>
        <v>3.2320119294099343E-2</v>
      </c>
      <c r="E103" s="28">
        <v>23.25</v>
      </c>
      <c r="F103" s="28">
        <v>22.15</v>
      </c>
      <c r="G103" s="22">
        <f t="shared" si="28"/>
        <v>4.8458149779735747E-2</v>
      </c>
      <c r="H103" s="28">
        <v>23</v>
      </c>
      <c r="I103" s="28">
        <v>22.9</v>
      </c>
      <c r="J103" s="24">
        <f t="shared" si="29"/>
        <v>4.3572984749455958E-3</v>
      </c>
      <c r="K103" s="25">
        <v>2505004</v>
      </c>
      <c r="L103" s="31">
        <f t="shared" si="33"/>
        <v>379800000</v>
      </c>
      <c r="M103" s="24">
        <f t="shared" si="30"/>
        <v>57539941.879999995</v>
      </c>
      <c r="N103" s="24">
        <f t="shared" si="34"/>
        <v>151930000</v>
      </c>
      <c r="O103" s="24">
        <f t="shared" si="31"/>
        <v>1.6487882577502798E-2</v>
      </c>
      <c r="P103" s="10">
        <v>73085.5</v>
      </c>
      <c r="Q103" s="8">
        <v>0.21590000000000001</v>
      </c>
      <c r="R103" s="24">
        <f t="shared" si="35"/>
        <v>26240000000</v>
      </c>
      <c r="S103" s="24">
        <f t="shared" si="36"/>
        <v>8953420000</v>
      </c>
      <c r="T103" s="31">
        <f t="shared" si="37"/>
        <v>2084330000</v>
      </c>
      <c r="U103" s="31">
        <f t="shared" si="38"/>
        <v>9060000</v>
      </c>
      <c r="V103" s="31">
        <f t="shared" si="39"/>
        <v>8020750000</v>
      </c>
      <c r="W103">
        <f t="shared" si="32"/>
        <v>4.9810606757317059E-10</v>
      </c>
      <c r="X103">
        <f t="shared" si="40"/>
        <v>0.30566882621951219</v>
      </c>
    </row>
    <row r="104" spans="1:24">
      <c r="A104" s="21">
        <v>45421</v>
      </c>
      <c r="B104" s="28">
        <v>22.33</v>
      </c>
      <c r="C104" s="29">
        <f t="shared" si="26"/>
        <v>1.4999999999999923E-2</v>
      </c>
      <c r="D104" s="24">
        <f t="shared" si="27"/>
        <v>3.2320119294099343E-2</v>
      </c>
      <c r="E104" s="28">
        <v>22.5</v>
      </c>
      <c r="F104" s="28">
        <v>21.98</v>
      </c>
      <c r="G104" s="22">
        <f t="shared" si="28"/>
        <v>2.3381294964028757E-2</v>
      </c>
      <c r="H104" s="28">
        <v>22.31</v>
      </c>
      <c r="I104" s="28">
        <v>22.27</v>
      </c>
      <c r="J104" s="24">
        <f t="shared" si="29"/>
        <v>1.7945266935845288E-3</v>
      </c>
      <c r="K104" s="25">
        <v>884998</v>
      </c>
      <c r="L104" s="31">
        <f t="shared" si="33"/>
        <v>379800000</v>
      </c>
      <c r="M104" s="24">
        <f t="shared" si="30"/>
        <v>19762005.34</v>
      </c>
      <c r="N104" s="24">
        <f t="shared" si="34"/>
        <v>151930000</v>
      </c>
      <c r="O104" s="24">
        <f t="shared" si="31"/>
        <v>5.8250378463766206E-3</v>
      </c>
      <c r="P104" s="10">
        <v>72658.05</v>
      </c>
      <c r="Q104" s="8">
        <v>0.21590000000000001</v>
      </c>
      <c r="R104" s="24">
        <f t="shared" si="35"/>
        <v>26240000000</v>
      </c>
      <c r="S104" s="24">
        <f t="shared" si="36"/>
        <v>8953420000</v>
      </c>
      <c r="T104" s="31">
        <f t="shared" si="37"/>
        <v>2084330000</v>
      </c>
      <c r="U104" s="31">
        <f t="shared" si="38"/>
        <v>9060000</v>
      </c>
      <c r="V104" s="31">
        <f t="shared" si="39"/>
        <v>8020750000</v>
      </c>
      <c r="W104">
        <f t="shared" si="32"/>
        <v>7.5903228148808524E-10</v>
      </c>
      <c r="X104">
        <f t="shared" si="40"/>
        <v>0.30566882621951219</v>
      </c>
    </row>
    <row r="105" spans="1:24">
      <c r="A105" s="21">
        <v>45420</v>
      </c>
      <c r="B105" s="28">
        <v>22</v>
      </c>
      <c r="C105" s="29">
        <f t="shared" si="26"/>
        <v>-4.074241738343135E-3</v>
      </c>
      <c r="D105" s="24">
        <f t="shared" si="27"/>
        <v>3.2320119294099343E-2</v>
      </c>
      <c r="E105" s="28">
        <v>22.51</v>
      </c>
      <c r="F105" s="28">
        <v>21.86</v>
      </c>
      <c r="G105" s="22">
        <f t="shared" si="28"/>
        <v>2.9299075952220061E-2</v>
      </c>
      <c r="H105" s="28">
        <v>22.05</v>
      </c>
      <c r="I105" s="28">
        <v>22.04</v>
      </c>
      <c r="J105" s="24">
        <f t="shared" si="29"/>
        <v>4.5361760036296498E-4</v>
      </c>
      <c r="K105" s="25">
        <v>857168</v>
      </c>
      <c r="L105" s="31">
        <f t="shared" si="33"/>
        <v>379800000</v>
      </c>
      <c r="M105" s="24">
        <f t="shared" si="30"/>
        <v>18857696</v>
      </c>
      <c r="N105" s="24">
        <f t="shared" si="34"/>
        <v>151930000</v>
      </c>
      <c r="O105" s="24">
        <f t="shared" si="31"/>
        <v>5.64186138353189E-3</v>
      </c>
      <c r="P105" s="10">
        <v>72601.820000000007</v>
      </c>
      <c r="Q105" s="8">
        <v>0.21590000000000001</v>
      </c>
      <c r="R105" s="24">
        <f t="shared" si="35"/>
        <v>26240000000</v>
      </c>
      <c r="S105" s="24">
        <f t="shared" si="36"/>
        <v>8953420000</v>
      </c>
      <c r="T105" s="31">
        <f t="shared" si="37"/>
        <v>2084330000</v>
      </c>
      <c r="U105" s="31">
        <f t="shared" si="38"/>
        <v>9060000</v>
      </c>
      <c r="V105" s="31">
        <f t="shared" si="39"/>
        <v>8020750000</v>
      </c>
      <c r="W105">
        <f t="shared" si="32"/>
        <v>2.1605193647957497E-10</v>
      </c>
      <c r="X105">
        <f t="shared" si="40"/>
        <v>0.30566882621951219</v>
      </c>
    </row>
    <row r="106" spans="1:24">
      <c r="A106" s="21">
        <v>45419</v>
      </c>
      <c r="B106" s="28">
        <v>22.09</v>
      </c>
      <c r="C106" s="29">
        <f t="shared" si="26"/>
        <v>-9.836734693877551E-2</v>
      </c>
      <c r="D106" s="24">
        <f t="shared" si="27"/>
        <v>3.2320119294099343E-2</v>
      </c>
      <c r="E106" s="28">
        <v>23.45</v>
      </c>
      <c r="F106" s="28">
        <v>21.95</v>
      </c>
      <c r="G106" s="22">
        <f t="shared" si="28"/>
        <v>6.6079295154185022E-2</v>
      </c>
      <c r="H106" s="28">
        <v>22</v>
      </c>
      <c r="I106" s="28">
        <v>21.95</v>
      </c>
      <c r="J106" s="24">
        <f t="shared" si="29"/>
        <v>2.2753128555176656E-3</v>
      </c>
      <c r="K106" s="25">
        <v>2451299</v>
      </c>
      <c r="L106" s="31">
        <f t="shared" si="33"/>
        <v>379800000</v>
      </c>
      <c r="M106" s="24">
        <f t="shared" si="30"/>
        <v>54149194.909999996</v>
      </c>
      <c r="N106" s="24">
        <f t="shared" si="34"/>
        <v>151930000</v>
      </c>
      <c r="O106" s="24">
        <f t="shared" si="31"/>
        <v>1.6134397419864412E-2</v>
      </c>
      <c r="P106" s="10">
        <v>72761.2</v>
      </c>
      <c r="Q106" s="8">
        <v>0.21590000000000001</v>
      </c>
      <c r="R106" s="24">
        <f t="shared" si="35"/>
        <v>26240000000</v>
      </c>
      <c r="S106" s="24">
        <f t="shared" si="36"/>
        <v>8953420000</v>
      </c>
      <c r="T106" s="31">
        <f t="shared" si="37"/>
        <v>2084330000</v>
      </c>
      <c r="U106" s="31">
        <f t="shared" si="38"/>
        <v>9060000</v>
      </c>
      <c r="V106" s="31">
        <f t="shared" si="39"/>
        <v>8020750000</v>
      </c>
      <c r="W106">
        <f t="shared" si="32"/>
        <v>1.8165985127252471E-9</v>
      </c>
      <c r="X106">
        <f t="shared" si="40"/>
        <v>0.30566882621951219</v>
      </c>
    </row>
    <row r="107" spans="1:24">
      <c r="A107" s="21">
        <v>45418</v>
      </c>
      <c r="B107" s="28">
        <v>24.5</v>
      </c>
      <c r="C107" s="29">
        <f t="shared" si="26"/>
        <v>2.0833333333333332E-2</v>
      </c>
      <c r="D107" s="24">
        <f t="shared" si="27"/>
        <v>3.2320119294099343E-2</v>
      </c>
      <c r="E107" s="28">
        <v>24.75</v>
      </c>
      <c r="F107" s="28">
        <v>24.01</v>
      </c>
      <c r="G107" s="22">
        <f t="shared" si="28"/>
        <v>3.0352748154224708E-2</v>
      </c>
      <c r="H107" s="28">
        <v>24.65</v>
      </c>
      <c r="I107" s="28">
        <v>24.64</v>
      </c>
      <c r="J107" s="24">
        <f t="shared" si="29"/>
        <v>4.0576181781286309E-4</v>
      </c>
      <c r="K107" s="25">
        <v>5636326</v>
      </c>
      <c r="L107" s="31">
        <f t="shared" si="33"/>
        <v>379800000</v>
      </c>
      <c r="M107" s="24">
        <f t="shared" si="30"/>
        <v>138089987</v>
      </c>
      <c r="N107" s="24">
        <f t="shared" si="34"/>
        <v>151930000</v>
      </c>
      <c r="O107" s="24">
        <f t="shared" si="31"/>
        <v>3.709817679194366E-2</v>
      </c>
      <c r="P107" s="10">
        <v>72764.240000000005</v>
      </c>
      <c r="Q107" s="8">
        <v>0.21590000000000001</v>
      </c>
      <c r="R107" s="24">
        <f t="shared" si="35"/>
        <v>26240000000</v>
      </c>
      <c r="S107" s="24">
        <f t="shared" si="36"/>
        <v>8953420000</v>
      </c>
      <c r="T107" s="31">
        <f t="shared" si="37"/>
        <v>2084330000</v>
      </c>
      <c r="U107" s="31">
        <f t="shared" si="38"/>
        <v>9060000</v>
      </c>
      <c r="V107" s="31">
        <f t="shared" si="39"/>
        <v>8020750000</v>
      </c>
      <c r="W107">
        <f t="shared" si="32"/>
        <v>1.5086780573984219E-10</v>
      </c>
      <c r="X107">
        <f t="shared" si="40"/>
        <v>0.30566882621951219</v>
      </c>
    </row>
    <row r="108" spans="1:24">
      <c r="A108" s="21">
        <v>45415</v>
      </c>
      <c r="B108" s="28">
        <v>24</v>
      </c>
      <c r="C108" s="29">
        <f t="shared" si="26"/>
        <v>1.2658227848101297E-2</v>
      </c>
      <c r="D108" s="24">
        <f t="shared" si="27"/>
        <v>3.2320119294099343E-2</v>
      </c>
      <c r="E108" s="28">
        <v>24.49</v>
      </c>
      <c r="F108" s="28">
        <v>23.55</v>
      </c>
      <c r="G108" s="22">
        <f t="shared" si="28"/>
        <v>3.9134054954204738E-2</v>
      </c>
      <c r="H108" s="28">
        <v>24.03</v>
      </c>
      <c r="I108" s="28">
        <v>24</v>
      </c>
      <c r="J108" s="24">
        <f t="shared" si="29"/>
        <v>1.2492192379763122E-3</v>
      </c>
      <c r="K108" s="25">
        <v>3163120</v>
      </c>
      <c r="L108" s="31">
        <f t="shared" si="33"/>
        <v>379800000</v>
      </c>
      <c r="M108" s="24">
        <f t="shared" si="30"/>
        <v>75914880</v>
      </c>
      <c r="N108" s="24">
        <f t="shared" si="34"/>
        <v>151930000</v>
      </c>
      <c r="O108" s="24">
        <f t="shared" si="31"/>
        <v>2.0819587968143222E-2</v>
      </c>
      <c r="P108" s="10">
        <v>71902.09</v>
      </c>
      <c r="Q108" s="8">
        <v>0.21590000000000001</v>
      </c>
      <c r="R108" s="24">
        <f t="shared" si="35"/>
        <v>26240000000</v>
      </c>
      <c r="S108" s="24">
        <f t="shared" si="36"/>
        <v>8953420000</v>
      </c>
      <c r="T108" s="31">
        <f t="shared" si="37"/>
        <v>2084330000</v>
      </c>
      <c r="U108" s="31">
        <f t="shared" si="38"/>
        <v>9060000</v>
      </c>
      <c r="V108" s="31">
        <f t="shared" si="39"/>
        <v>8020750000</v>
      </c>
      <c r="W108">
        <f t="shared" si="32"/>
        <v>1.6674238104705291E-10</v>
      </c>
      <c r="X108">
        <f t="shared" si="40"/>
        <v>0.30566882621951219</v>
      </c>
    </row>
    <row r="109" spans="1:24">
      <c r="A109" s="21">
        <v>45414</v>
      </c>
      <c r="B109" s="28">
        <v>23.7</v>
      </c>
      <c r="C109" s="29">
        <f t="shared" si="26"/>
        <v>3.8119440914866523E-3</v>
      </c>
      <c r="D109" s="24">
        <f t="shared" si="27"/>
        <v>3.2320119294099343E-2</v>
      </c>
      <c r="E109" s="28">
        <v>23.9</v>
      </c>
      <c r="F109" s="28">
        <v>23.5</v>
      </c>
      <c r="G109" s="22">
        <f t="shared" si="28"/>
        <v>1.6877637130801627E-2</v>
      </c>
      <c r="H109" s="28">
        <v>23.79</v>
      </c>
      <c r="I109" s="28">
        <v>23.76</v>
      </c>
      <c r="J109" s="24">
        <f t="shared" si="29"/>
        <v>1.2618296529967438E-3</v>
      </c>
      <c r="K109" s="25">
        <v>2134414</v>
      </c>
      <c r="L109" s="31">
        <f t="shared" si="33"/>
        <v>379800000</v>
      </c>
      <c r="M109" s="24">
        <f t="shared" si="30"/>
        <v>50585611.799999997</v>
      </c>
      <c r="N109" s="24">
        <f t="shared" si="34"/>
        <v>151930000</v>
      </c>
      <c r="O109" s="24">
        <f t="shared" si="31"/>
        <v>1.4048667149345093E-2</v>
      </c>
      <c r="P109" s="10">
        <v>70657.64</v>
      </c>
      <c r="Q109" s="8">
        <v>0.21590000000000001</v>
      </c>
      <c r="R109" s="24">
        <f t="shared" si="35"/>
        <v>26240000000</v>
      </c>
      <c r="S109" s="24">
        <f t="shared" si="36"/>
        <v>8953420000</v>
      </c>
      <c r="T109" s="31">
        <f t="shared" si="37"/>
        <v>2084330000</v>
      </c>
      <c r="U109" s="31">
        <f t="shared" si="38"/>
        <v>9060000</v>
      </c>
      <c r="V109" s="31">
        <f t="shared" si="39"/>
        <v>8020750000</v>
      </c>
      <c r="W109">
        <f t="shared" si="32"/>
        <v>7.5356291163540945E-11</v>
      </c>
      <c r="X109">
        <f t="shared" si="40"/>
        <v>0.30566882621951219</v>
      </c>
    </row>
    <row r="110" spans="1:24">
      <c r="A110" s="21">
        <v>45412</v>
      </c>
      <c r="B110" s="28">
        <v>23.61</v>
      </c>
      <c r="C110" s="29">
        <f t="shared" si="26"/>
        <v>6.8230277185501132E-3</v>
      </c>
      <c r="D110" s="24">
        <f t="shared" si="27"/>
        <v>3.2320119294099343E-2</v>
      </c>
      <c r="E110" s="28">
        <v>24.3</v>
      </c>
      <c r="F110" s="28">
        <v>23.46</v>
      </c>
      <c r="G110" s="22">
        <f t="shared" si="28"/>
        <v>3.5175879396984917E-2</v>
      </c>
      <c r="H110" s="28">
        <v>23.72</v>
      </c>
      <c r="I110" s="28">
        <v>23.7</v>
      </c>
      <c r="J110" s="24">
        <f t="shared" si="29"/>
        <v>8.4352593842258847E-4</v>
      </c>
      <c r="K110" s="25">
        <v>4098616</v>
      </c>
      <c r="L110" s="31">
        <f t="shared" si="33"/>
        <v>379800000</v>
      </c>
      <c r="M110" s="24">
        <f t="shared" si="30"/>
        <v>96768323.75999999</v>
      </c>
      <c r="N110" s="24">
        <f t="shared" si="34"/>
        <v>151930000</v>
      </c>
      <c r="O110" s="24">
        <f t="shared" si="31"/>
        <v>2.6977002566971633E-2</v>
      </c>
      <c r="P110" s="10">
        <v>71102.55</v>
      </c>
      <c r="Q110" s="8">
        <v>0.21590000000000001</v>
      </c>
      <c r="R110" s="24">
        <f t="shared" si="35"/>
        <v>26240000000</v>
      </c>
      <c r="S110" s="24">
        <f t="shared" si="36"/>
        <v>8953420000</v>
      </c>
      <c r="T110" s="31">
        <f t="shared" si="37"/>
        <v>2084330000</v>
      </c>
      <c r="U110" s="31">
        <f t="shared" si="38"/>
        <v>9060000</v>
      </c>
      <c r="V110" s="31">
        <f t="shared" si="39"/>
        <v>8020750000</v>
      </c>
      <c r="W110">
        <f t="shared" si="32"/>
        <v>7.0508896438800051E-11</v>
      </c>
      <c r="X110">
        <f t="shared" si="40"/>
        <v>0.30566882621951219</v>
      </c>
    </row>
    <row r="111" spans="1:24">
      <c r="A111" s="21">
        <v>45411</v>
      </c>
      <c r="B111" s="28">
        <v>23.45</v>
      </c>
      <c r="C111" s="29">
        <f t="shared" si="26"/>
        <v>7.5194864740944556E-2</v>
      </c>
      <c r="D111" s="24">
        <f t="shared" si="27"/>
        <v>3.2320119294099343E-2</v>
      </c>
      <c r="E111" s="28">
        <v>23.45</v>
      </c>
      <c r="F111" s="28">
        <v>22.91</v>
      </c>
      <c r="G111" s="22">
        <f t="shared" si="28"/>
        <v>2.3295944779982706E-2</v>
      </c>
      <c r="H111" s="28">
        <v>23.48</v>
      </c>
      <c r="I111" s="28">
        <v>23.45</v>
      </c>
      <c r="J111" s="24">
        <f t="shared" si="29"/>
        <v>1.2784998934583906E-3</v>
      </c>
      <c r="K111" s="25">
        <v>6442170</v>
      </c>
      <c r="L111" s="31">
        <f t="shared" si="33"/>
        <v>379800000</v>
      </c>
      <c r="M111" s="24">
        <f t="shared" si="30"/>
        <v>151068886.5</v>
      </c>
      <c r="N111" s="24">
        <f t="shared" si="34"/>
        <v>151930000</v>
      </c>
      <c r="O111" s="24">
        <f t="shared" si="31"/>
        <v>4.2402224708747452E-2</v>
      </c>
      <c r="P111" s="10">
        <v>71695.03</v>
      </c>
      <c r="Q111" s="8">
        <v>0.21640000000000001</v>
      </c>
      <c r="R111" s="24">
        <f t="shared" si="35"/>
        <v>26240000000</v>
      </c>
      <c r="S111" s="24">
        <f t="shared" si="36"/>
        <v>8953420000</v>
      </c>
      <c r="T111" s="31">
        <f t="shared" si="37"/>
        <v>2084330000</v>
      </c>
      <c r="U111" s="31">
        <f t="shared" si="38"/>
        <v>9060000</v>
      </c>
      <c r="V111" s="31">
        <f t="shared" si="39"/>
        <v>8020750000</v>
      </c>
      <c r="W111">
        <f t="shared" si="32"/>
        <v>4.9775216117015965E-10</v>
      </c>
      <c r="X111">
        <f t="shared" si="40"/>
        <v>0.30566882621951219</v>
      </c>
    </row>
    <row r="112" spans="1:24">
      <c r="A112" s="21">
        <v>45408</v>
      </c>
      <c r="B112" s="28">
        <v>21.81</v>
      </c>
      <c r="C112" s="29">
        <f t="shared" si="26"/>
        <v>7.4913750616067004E-2</v>
      </c>
      <c r="D112" s="24">
        <f t="shared" si="27"/>
        <v>3.2320119294099343E-2</v>
      </c>
      <c r="E112" s="28">
        <v>21.81</v>
      </c>
      <c r="F112" s="28">
        <v>20.170000000000002</v>
      </c>
      <c r="G112" s="22">
        <f t="shared" si="28"/>
        <v>7.8132444020962213E-2</v>
      </c>
      <c r="H112" s="28">
        <v>21.86</v>
      </c>
      <c r="I112" s="28">
        <v>21.81</v>
      </c>
      <c r="J112" s="24">
        <f t="shared" si="29"/>
        <v>2.2899015342340602E-3</v>
      </c>
      <c r="K112" s="25">
        <v>4425251</v>
      </c>
      <c r="L112" s="31">
        <f t="shared" si="33"/>
        <v>379800000</v>
      </c>
      <c r="M112" s="24">
        <f t="shared" si="30"/>
        <v>96514724.309999987</v>
      </c>
      <c r="N112" s="24">
        <f t="shared" si="34"/>
        <v>151930000</v>
      </c>
      <c r="O112" s="24">
        <f t="shared" si="31"/>
        <v>2.9126907128282763E-2</v>
      </c>
      <c r="P112" s="10">
        <v>72742.75</v>
      </c>
      <c r="Q112" s="8">
        <v>0.21640000000000001</v>
      </c>
      <c r="R112" s="24">
        <f t="shared" si="35"/>
        <v>26240000000</v>
      </c>
      <c r="S112" s="24">
        <f t="shared" si="36"/>
        <v>8953420000</v>
      </c>
      <c r="T112" s="31">
        <f t="shared" si="37"/>
        <v>2084330000</v>
      </c>
      <c r="U112" s="31">
        <f t="shared" si="38"/>
        <v>9060000</v>
      </c>
      <c r="V112" s="31">
        <f t="shared" si="39"/>
        <v>8020750000</v>
      </c>
      <c r="W112">
        <f t="shared" si="32"/>
        <v>7.7618986275553309E-10</v>
      </c>
      <c r="X112">
        <f t="shared" si="40"/>
        <v>0.30566882621951219</v>
      </c>
    </row>
    <row r="113" spans="1:24">
      <c r="A113" s="21">
        <v>45407</v>
      </c>
      <c r="B113" s="28">
        <v>20.29</v>
      </c>
      <c r="C113" s="29">
        <f t="shared" si="26"/>
        <v>8.4493041749502066E-3</v>
      </c>
      <c r="D113" s="24">
        <f t="shared" si="27"/>
        <v>3.2320119294099343E-2</v>
      </c>
      <c r="E113" s="28">
        <v>20.5</v>
      </c>
      <c r="F113" s="28">
        <v>20.010000000000002</v>
      </c>
      <c r="G113" s="22">
        <f t="shared" si="28"/>
        <v>2.4191557640088786E-2</v>
      </c>
      <c r="H113" s="28">
        <v>20.350000000000001</v>
      </c>
      <c r="I113" s="28">
        <v>20.3</v>
      </c>
      <c r="J113" s="24">
        <f t="shared" si="29"/>
        <v>2.4600246002460372E-3</v>
      </c>
      <c r="K113" s="25">
        <v>831320</v>
      </c>
      <c r="L113" s="31">
        <f t="shared" si="33"/>
        <v>379800000</v>
      </c>
      <c r="M113" s="24">
        <f t="shared" si="30"/>
        <v>16867482.800000001</v>
      </c>
      <c r="N113" s="24">
        <f t="shared" si="34"/>
        <v>151930000</v>
      </c>
      <c r="O113" s="24">
        <f t="shared" si="31"/>
        <v>5.4717304021588888E-3</v>
      </c>
      <c r="P113" s="10">
        <v>71971.399999999994</v>
      </c>
      <c r="Q113" s="8">
        <v>0.21640000000000001</v>
      </c>
      <c r="R113" s="24">
        <f t="shared" si="35"/>
        <v>26240000000</v>
      </c>
      <c r="S113" s="24">
        <f t="shared" si="36"/>
        <v>8953420000</v>
      </c>
      <c r="T113" s="31">
        <f t="shared" si="37"/>
        <v>2084330000</v>
      </c>
      <c r="U113" s="31">
        <f t="shared" si="38"/>
        <v>9060000</v>
      </c>
      <c r="V113" s="31">
        <f t="shared" si="39"/>
        <v>8020750000</v>
      </c>
      <c r="W113">
        <f t="shared" si="32"/>
        <v>5.0092264952244131E-10</v>
      </c>
      <c r="X113">
        <f t="shared" si="40"/>
        <v>0.30566882621951219</v>
      </c>
    </row>
    <row r="114" spans="1:24">
      <c r="A114" s="21">
        <v>45406</v>
      </c>
      <c r="B114" s="28">
        <v>20.12</v>
      </c>
      <c r="C114" s="29">
        <f t="shared" si="26"/>
        <v>2.4912805181863834E-3</v>
      </c>
      <c r="D114" s="24">
        <f t="shared" si="27"/>
        <v>3.2320119294099343E-2</v>
      </c>
      <c r="E114" s="28">
        <v>20.309999999999999</v>
      </c>
      <c r="F114" s="28">
        <v>20</v>
      </c>
      <c r="G114" s="22">
        <f t="shared" si="28"/>
        <v>1.5380798809228415E-2</v>
      </c>
      <c r="H114" s="28">
        <v>20.14</v>
      </c>
      <c r="I114" s="28">
        <v>20.09</v>
      </c>
      <c r="J114" s="24">
        <f t="shared" si="29"/>
        <v>2.485707183693796E-3</v>
      </c>
      <c r="K114" s="25">
        <v>1471274</v>
      </c>
      <c r="L114" s="31">
        <f t="shared" si="33"/>
        <v>379800000</v>
      </c>
      <c r="M114" s="24">
        <f t="shared" si="30"/>
        <v>29602032.880000003</v>
      </c>
      <c r="N114" s="24">
        <f t="shared" si="34"/>
        <v>151930000</v>
      </c>
      <c r="O114" s="24">
        <f t="shared" si="31"/>
        <v>9.6838938985058902E-3</v>
      </c>
      <c r="P114" s="10">
        <v>72051.89</v>
      </c>
      <c r="Q114" s="8">
        <v>0.21640000000000001</v>
      </c>
      <c r="R114" s="24">
        <f t="shared" si="35"/>
        <v>26240000000</v>
      </c>
      <c r="S114" s="24">
        <f t="shared" si="36"/>
        <v>8953420000</v>
      </c>
      <c r="T114" s="31">
        <f t="shared" si="37"/>
        <v>2084330000</v>
      </c>
      <c r="U114" s="31">
        <f t="shared" si="38"/>
        <v>9060000</v>
      </c>
      <c r="V114" s="31">
        <f t="shared" si="39"/>
        <v>8020750000</v>
      </c>
      <c r="W114">
        <f t="shared" si="32"/>
        <v>8.4159102460478828E-11</v>
      </c>
      <c r="X114">
        <f t="shared" si="40"/>
        <v>0.30566882621951219</v>
      </c>
    </row>
    <row r="115" spans="1:24">
      <c r="A115" s="21">
        <v>45405</v>
      </c>
      <c r="B115" s="28">
        <v>20.07</v>
      </c>
      <c r="C115" s="29">
        <f t="shared" si="26"/>
        <v>0</v>
      </c>
      <c r="D115" s="24">
        <f t="shared" si="27"/>
        <v>3.2320119294099343E-2</v>
      </c>
      <c r="E115" s="28">
        <v>20.25</v>
      </c>
      <c r="F115" s="28">
        <v>20.02</v>
      </c>
      <c r="G115" s="22">
        <f t="shared" si="28"/>
        <v>1.1422895455674221E-2</v>
      </c>
      <c r="H115" s="28">
        <v>20.149999999999999</v>
      </c>
      <c r="I115" s="28">
        <v>20.100000000000001</v>
      </c>
      <c r="J115" s="24">
        <f t="shared" si="29"/>
        <v>2.4844720496892997E-3</v>
      </c>
      <c r="K115" s="25">
        <v>380456</v>
      </c>
      <c r="L115" s="31">
        <f t="shared" si="33"/>
        <v>379800000</v>
      </c>
      <c r="M115" s="24">
        <f t="shared" si="30"/>
        <v>7635751.9199999999</v>
      </c>
      <c r="N115" s="24">
        <f t="shared" si="34"/>
        <v>151930000</v>
      </c>
      <c r="O115" s="24">
        <f t="shared" si="31"/>
        <v>2.5041532284604752E-3</v>
      </c>
      <c r="P115" s="10">
        <v>71359.41</v>
      </c>
      <c r="Q115" s="8">
        <v>0.21640000000000001</v>
      </c>
      <c r="R115" s="24">
        <f t="shared" si="35"/>
        <v>26240000000</v>
      </c>
      <c r="S115" s="24">
        <f t="shared" si="36"/>
        <v>8953420000</v>
      </c>
      <c r="T115" s="31">
        <f t="shared" si="37"/>
        <v>2084330000</v>
      </c>
      <c r="U115" s="31">
        <f t="shared" si="38"/>
        <v>9060000</v>
      </c>
      <c r="V115" s="31">
        <f t="shared" si="39"/>
        <v>8020750000</v>
      </c>
      <c r="W115">
        <f t="shared" si="32"/>
        <v>0</v>
      </c>
      <c r="X115">
        <f t="shared" si="40"/>
        <v>0.30566882621951219</v>
      </c>
    </row>
    <row r="116" spans="1:24">
      <c r="A116" s="21">
        <v>45404</v>
      </c>
      <c r="B116" s="28">
        <v>20.07</v>
      </c>
      <c r="C116" s="29">
        <f t="shared" si="26"/>
        <v>-6.9272637308263512E-3</v>
      </c>
      <c r="D116" s="24">
        <f t="shared" si="27"/>
        <v>3.2320119294099343E-2</v>
      </c>
      <c r="E116" s="28">
        <v>20.399999999999999</v>
      </c>
      <c r="F116" s="28">
        <v>20</v>
      </c>
      <c r="G116" s="22">
        <f t="shared" si="28"/>
        <v>1.9801980198019733E-2</v>
      </c>
      <c r="H116" s="28">
        <v>20.11</v>
      </c>
      <c r="I116" s="28">
        <v>20.059999999999999</v>
      </c>
      <c r="J116" s="24">
        <f t="shared" si="29"/>
        <v>2.4894199651481559E-3</v>
      </c>
      <c r="K116" s="25">
        <v>927754</v>
      </c>
      <c r="L116" s="31">
        <f t="shared" si="33"/>
        <v>379800000</v>
      </c>
      <c r="M116" s="24">
        <f t="shared" si="30"/>
        <v>18620022.780000001</v>
      </c>
      <c r="N116" s="24">
        <f t="shared" si="34"/>
        <v>151930000</v>
      </c>
      <c r="O116" s="24">
        <f t="shared" si="31"/>
        <v>6.106456920950438E-3</v>
      </c>
      <c r="P116" s="10">
        <v>71433.460000000006</v>
      </c>
      <c r="Q116" s="8">
        <v>0.21640000000000001</v>
      </c>
      <c r="R116" s="24">
        <f t="shared" si="35"/>
        <v>26240000000</v>
      </c>
      <c r="S116" s="24">
        <f t="shared" si="36"/>
        <v>8953420000</v>
      </c>
      <c r="T116" s="31">
        <f t="shared" si="37"/>
        <v>2084330000</v>
      </c>
      <c r="U116" s="31">
        <f t="shared" si="38"/>
        <v>9060000</v>
      </c>
      <c r="V116" s="31">
        <f t="shared" si="39"/>
        <v>8020750000</v>
      </c>
      <c r="W116">
        <f t="shared" si="32"/>
        <v>3.7203304274509327E-10</v>
      </c>
      <c r="X116">
        <f t="shared" si="40"/>
        <v>0.30566882621951219</v>
      </c>
    </row>
    <row r="117" spans="1:24">
      <c r="A117" s="21">
        <v>45401</v>
      </c>
      <c r="B117" s="28">
        <v>20.21</v>
      </c>
      <c r="C117" s="29">
        <f t="shared" si="26"/>
        <v>6.9755854509218019E-3</v>
      </c>
      <c r="D117" s="24">
        <f t="shared" si="27"/>
        <v>3.2320119294099343E-2</v>
      </c>
      <c r="E117" s="28">
        <v>20.27</v>
      </c>
      <c r="F117" s="28">
        <v>20</v>
      </c>
      <c r="G117" s="22">
        <f t="shared" si="28"/>
        <v>1.3409485969704475E-2</v>
      </c>
      <c r="H117" s="28">
        <v>20.25</v>
      </c>
      <c r="I117" s="28">
        <v>20.2</v>
      </c>
      <c r="J117" s="24">
        <f t="shared" si="29"/>
        <v>2.4721878862793921E-3</v>
      </c>
      <c r="K117" s="25">
        <v>257261</v>
      </c>
      <c r="L117" s="31">
        <f t="shared" si="33"/>
        <v>379800000</v>
      </c>
      <c r="M117" s="24">
        <f t="shared" si="30"/>
        <v>5199244.8100000005</v>
      </c>
      <c r="N117" s="24">
        <f t="shared" si="34"/>
        <v>151930000</v>
      </c>
      <c r="O117" s="24">
        <f t="shared" si="31"/>
        <v>1.6932863818863951E-3</v>
      </c>
      <c r="P117" s="10">
        <v>70909.899999999994</v>
      </c>
      <c r="Q117" s="8">
        <v>0.21640000000000001</v>
      </c>
      <c r="R117" s="24">
        <f t="shared" si="35"/>
        <v>26240000000</v>
      </c>
      <c r="S117" s="24">
        <f t="shared" si="36"/>
        <v>8953420000</v>
      </c>
      <c r="T117" s="31">
        <f t="shared" si="37"/>
        <v>2084330000</v>
      </c>
      <c r="U117" s="31">
        <f t="shared" si="38"/>
        <v>9060000</v>
      </c>
      <c r="V117" s="31">
        <f t="shared" si="39"/>
        <v>8020750000</v>
      </c>
      <c r="W117">
        <f t="shared" si="32"/>
        <v>1.341653587364316E-9</v>
      </c>
      <c r="X117">
        <f t="shared" si="40"/>
        <v>0.30566882621951219</v>
      </c>
    </row>
    <row r="118" spans="1:24">
      <c r="A118" s="21">
        <v>45400</v>
      </c>
      <c r="B118" s="28">
        <v>20.07</v>
      </c>
      <c r="C118" s="29">
        <f t="shared" si="26"/>
        <v>4.9850448654045678E-4</v>
      </c>
      <c r="D118" s="24">
        <f t="shared" si="27"/>
        <v>3.2320119294099343E-2</v>
      </c>
      <c r="E118" s="28">
        <v>20.23</v>
      </c>
      <c r="F118" s="28">
        <v>19.95</v>
      </c>
      <c r="G118" s="22">
        <f t="shared" si="28"/>
        <v>1.3937282229965214E-2</v>
      </c>
      <c r="H118" s="28">
        <v>20.100000000000001</v>
      </c>
      <c r="I118" s="28">
        <v>20.05</v>
      </c>
      <c r="J118" s="24">
        <f t="shared" si="29"/>
        <v>2.4906600249066354E-3</v>
      </c>
      <c r="K118" s="25">
        <v>395099</v>
      </c>
      <c r="L118" s="31">
        <f t="shared" si="33"/>
        <v>379800000</v>
      </c>
      <c r="M118" s="24">
        <f t="shared" si="30"/>
        <v>7929636.9299999997</v>
      </c>
      <c r="N118" s="24">
        <f t="shared" si="34"/>
        <v>151930000</v>
      </c>
      <c r="O118" s="24">
        <f t="shared" si="31"/>
        <v>2.6005331402619626E-3</v>
      </c>
      <c r="P118" s="10">
        <v>70290.12</v>
      </c>
      <c r="Q118" s="8">
        <v>0.21640000000000001</v>
      </c>
      <c r="R118" s="24">
        <f t="shared" si="35"/>
        <v>26240000000</v>
      </c>
      <c r="S118" s="24">
        <f t="shared" si="36"/>
        <v>8953420000</v>
      </c>
      <c r="T118" s="31">
        <f t="shared" si="37"/>
        <v>2084330000</v>
      </c>
      <c r="U118" s="31">
        <f t="shared" si="38"/>
        <v>9060000</v>
      </c>
      <c r="V118" s="31">
        <f t="shared" si="39"/>
        <v>8020750000</v>
      </c>
      <c r="W118">
        <f t="shared" si="32"/>
        <v>6.2865991336183007E-11</v>
      </c>
      <c r="X118">
        <f t="shared" si="40"/>
        <v>0.30566882621951219</v>
      </c>
    </row>
    <row r="119" spans="1:24">
      <c r="A119" s="21">
        <v>45399</v>
      </c>
      <c r="B119" s="28">
        <v>20.059999999999999</v>
      </c>
      <c r="C119" s="29">
        <f t="shared" si="26"/>
        <v>9.9800399201594673E-4</v>
      </c>
      <c r="D119" s="24">
        <f t="shared" si="27"/>
        <v>3.2320119294099343E-2</v>
      </c>
      <c r="E119" s="28">
        <v>20.25</v>
      </c>
      <c r="F119" s="28">
        <v>20</v>
      </c>
      <c r="G119" s="22">
        <f t="shared" si="28"/>
        <v>1.2422360248447204E-2</v>
      </c>
      <c r="H119" s="28">
        <v>20.100000000000001</v>
      </c>
      <c r="I119" s="28">
        <v>20</v>
      </c>
      <c r="J119" s="24">
        <f t="shared" si="29"/>
        <v>4.9875311720698964E-3</v>
      </c>
      <c r="K119" s="25">
        <v>530583</v>
      </c>
      <c r="L119" s="31">
        <f t="shared" si="33"/>
        <v>379800000</v>
      </c>
      <c r="M119" s="24">
        <f t="shared" si="30"/>
        <v>10643494.979999999</v>
      </c>
      <c r="N119" s="24">
        <f t="shared" si="34"/>
        <v>151930000</v>
      </c>
      <c r="O119" s="24">
        <f t="shared" si="31"/>
        <v>3.492285921147897E-3</v>
      </c>
      <c r="P119" s="10">
        <v>70333.320000000007</v>
      </c>
      <c r="Q119" s="8">
        <v>0.21640000000000001</v>
      </c>
      <c r="R119" s="24">
        <f t="shared" si="35"/>
        <v>26240000000</v>
      </c>
      <c r="S119" s="24">
        <f t="shared" si="36"/>
        <v>8953420000</v>
      </c>
      <c r="T119" s="31">
        <f t="shared" si="37"/>
        <v>2084330000</v>
      </c>
      <c r="U119" s="31">
        <f t="shared" si="38"/>
        <v>9060000</v>
      </c>
      <c r="V119" s="31">
        <f t="shared" si="39"/>
        <v>8020750000</v>
      </c>
      <c r="W119">
        <f t="shared" si="32"/>
        <v>9.3766567644488784E-11</v>
      </c>
      <c r="X119">
        <f t="shared" si="40"/>
        <v>0.30566882621951219</v>
      </c>
    </row>
    <row r="120" spans="1:24">
      <c r="A120" s="21">
        <v>45398</v>
      </c>
      <c r="B120" s="28">
        <v>20.04</v>
      </c>
      <c r="C120" s="29">
        <f t="shared" si="26"/>
        <v>1.9999999999999575E-3</v>
      </c>
      <c r="D120" s="24">
        <f t="shared" si="27"/>
        <v>3.2320119294099343E-2</v>
      </c>
      <c r="E120" s="28">
        <v>20.329999999999998</v>
      </c>
      <c r="F120" s="28">
        <v>19.899999999999999</v>
      </c>
      <c r="G120" s="22">
        <f t="shared" si="28"/>
        <v>2.1377081779766331E-2</v>
      </c>
      <c r="H120" s="28">
        <v>20.149999999999999</v>
      </c>
      <c r="I120" s="28">
        <v>20.010000000000002</v>
      </c>
      <c r="J120" s="24">
        <f t="shared" si="29"/>
        <v>6.9721115537847121E-3</v>
      </c>
      <c r="K120" s="25">
        <v>549730</v>
      </c>
      <c r="L120" s="31">
        <f t="shared" si="33"/>
        <v>379800000</v>
      </c>
      <c r="M120" s="24">
        <f t="shared" si="30"/>
        <v>11016589.199999999</v>
      </c>
      <c r="N120" s="24">
        <f t="shared" si="34"/>
        <v>151930000</v>
      </c>
      <c r="O120" s="24">
        <f t="shared" si="31"/>
        <v>3.6183110643059303E-3</v>
      </c>
      <c r="P120" s="10">
        <v>70483.66</v>
      </c>
      <c r="Q120" s="8">
        <v>0.216</v>
      </c>
      <c r="R120" s="24">
        <f t="shared" si="35"/>
        <v>26240000000</v>
      </c>
      <c r="S120" s="24">
        <f t="shared" si="36"/>
        <v>8953420000</v>
      </c>
      <c r="T120" s="31">
        <f t="shared" si="37"/>
        <v>2084330000</v>
      </c>
      <c r="U120" s="31">
        <f t="shared" si="38"/>
        <v>9060000</v>
      </c>
      <c r="V120" s="31">
        <f t="shared" si="39"/>
        <v>8020750000</v>
      </c>
      <c r="W120">
        <f t="shared" si="32"/>
        <v>1.8154439306858767E-10</v>
      </c>
      <c r="X120">
        <f t="shared" si="40"/>
        <v>0.30566882621951219</v>
      </c>
    </row>
    <row r="121" spans="1:24">
      <c r="A121" s="21">
        <v>45397</v>
      </c>
      <c r="B121" s="28">
        <v>20</v>
      </c>
      <c r="C121" s="29">
        <f t="shared" si="26"/>
        <v>-1.9127023050514984E-2</v>
      </c>
      <c r="D121" s="24">
        <f t="shared" si="27"/>
        <v>3.2320119294099343E-2</v>
      </c>
      <c r="E121" s="28">
        <v>20.39</v>
      </c>
      <c r="F121" s="28">
        <v>19.98</v>
      </c>
      <c r="G121" s="22">
        <f t="shared" si="28"/>
        <v>2.0312112955164732E-2</v>
      </c>
      <c r="H121" s="28">
        <v>20</v>
      </c>
      <c r="I121" s="28">
        <v>19.989999999999998</v>
      </c>
      <c r="J121" s="24">
        <f t="shared" si="29"/>
        <v>5.0012503125789268E-4</v>
      </c>
      <c r="K121" s="25">
        <v>1226339</v>
      </c>
      <c r="L121" s="31">
        <f t="shared" si="33"/>
        <v>379800000</v>
      </c>
      <c r="M121" s="24">
        <f t="shared" si="30"/>
        <v>24526780</v>
      </c>
      <c r="N121" s="24">
        <f t="shared" si="34"/>
        <v>151930000</v>
      </c>
      <c r="O121" s="24">
        <f t="shared" si="31"/>
        <v>8.0717369841374325E-3</v>
      </c>
      <c r="P121" s="10">
        <v>70544.58</v>
      </c>
      <c r="Q121" s="8">
        <v>0.216</v>
      </c>
      <c r="R121" s="24">
        <f t="shared" si="35"/>
        <v>26240000000</v>
      </c>
      <c r="S121" s="24">
        <f t="shared" si="36"/>
        <v>8953420000</v>
      </c>
      <c r="T121" s="31">
        <f t="shared" si="37"/>
        <v>2084330000</v>
      </c>
      <c r="U121" s="31">
        <f t="shared" si="38"/>
        <v>9060000</v>
      </c>
      <c r="V121" s="31">
        <f t="shared" si="39"/>
        <v>8020750000</v>
      </c>
      <c r="W121">
        <f t="shared" si="32"/>
        <v>7.7984240289654756E-10</v>
      </c>
      <c r="X121">
        <f t="shared" si="40"/>
        <v>0.30566882621951219</v>
      </c>
    </row>
    <row r="122" spans="1:24">
      <c r="A122" s="21">
        <v>45391</v>
      </c>
      <c r="B122" s="28">
        <v>20.39</v>
      </c>
      <c r="C122" s="29">
        <f t="shared" si="26"/>
        <v>2.9513034923759115E-3</v>
      </c>
      <c r="D122" s="24">
        <f t="shared" si="27"/>
        <v>3.2320119294099343E-2</v>
      </c>
      <c r="E122" s="28">
        <v>20.45</v>
      </c>
      <c r="F122" s="28">
        <v>20.2</v>
      </c>
      <c r="G122" s="22">
        <f t="shared" si="28"/>
        <v>1.2300123001230012E-2</v>
      </c>
      <c r="H122" s="28">
        <v>20.41</v>
      </c>
      <c r="I122" s="28">
        <v>20.399999999999999</v>
      </c>
      <c r="J122" s="24">
        <f t="shared" si="29"/>
        <v>4.9007596177415161E-4</v>
      </c>
      <c r="K122" s="25">
        <v>404806</v>
      </c>
      <c r="L122" s="31">
        <f t="shared" si="33"/>
        <v>379800000</v>
      </c>
      <c r="M122" s="24">
        <f t="shared" si="30"/>
        <v>8253994.3399999999</v>
      </c>
      <c r="N122" s="24">
        <f t="shared" si="34"/>
        <v>151930000</v>
      </c>
      <c r="O122" s="24">
        <f t="shared" si="31"/>
        <v>2.6644244059764364E-3</v>
      </c>
      <c r="P122" s="10">
        <v>70314.720000000001</v>
      </c>
      <c r="Q122" s="8">
        <v>0.216</v>
      </c>
      <c r="R122" s="24">
        <f t="shared" si="35"/>
        <v>26240000000</v>
      </c>
      <c r="S122" s="24">
        <f t="shared" si="36"/>
        <v>8953420000</v>
      </c>
      <c r="T122" s="31">
        <f t="shared" si="37"/>
        <v>2084330000</v>
      </c>
      <c r="U122" s="31">
        <f t="shared" si="38"/>
        <v>9060000</v>
      </c>
      <c r="V122" s="31">
        <f t="shared" si="39"/>
        <v>8020750000</v>
      </c>
      <c r="W122">
        <f t="shared" si="32"/>
        <v>3.5756063922572442E-10</v>
      </c>
      <c r="X122">
        <f t="shared" si="40"/>
        <v>0.30566882621951219</v>
      </c>
    </row>
    <row r="123" spans="1:24">
      <c r="A123" s="21">
        <v>45390</v>
      </c>
      <c r="B123" s="28">
        <v>20.329999999999998</v>
      </c>
      <c r="C123" s="29">
        <f t="shared" si="26"/>
        <v>1.7008504252126057E-2</v>
      </c>
      <c r="D123" s="24">
        <f t="shared" si="27"/>
        <v>3.2320119294099343E-2</v>
      </c>
      <c r="E123" s="28">
        <v>20.420000000000002</v>
      </c>
      <c r="F123" s="28">
        <v>20.100000000000001</v>
      </c>
      <c r="G123" s="22">
        <f t="shared" si="28"/>
        <v>1.5794669299111563E-2</v>
      </c>
      <c r="H123" s="28">
        <v>20.37</v>
      </c>
      <c r="I123" s="28">
        <v>20.36</v>
      </c>
      <c r="J123" s="24">
        <f t="shared" si="29"/>
        <v>4.9103854652597894E-4</v>
      </c>
      <c r="K123" s="25">
        <v>579130</v>
      </c>
      <c r="L123" s="31">
        <f t="shared" si="33"/>
        <v>379800000</v>
      </c>
      <c r="M123" s="24">
        <f t="shared" si="30"/>
        <v>11773712.899999999</v>
      </c>
      <c r="N123" s="24">
        <f t="shared" si="34"/>
        <v>151930000</v>
      </c>
      <c r="O123" s="24">
        <f t="shared" si="31"/>
        <v>3.811821233462779E-3</v>
      </c>
      <c r="P123" s="10">
        <v>69619.990000000005</v>
      </c>
      <c r="Q123" s="8">
        <v>0.216</v>
      </c>
      <c r="R123" s="24">
        <f t="shared" si="35"/>
        <v>26240000000</v>
      </c>
      <c r="S123" s="24">
        <f t="shared" si="36"/>
        <v>8953420000</v>
      </c>
      <c r="T123" s="31">
        <f t="shared" si="37"/>
        <v>2084330000</v>
      </c>
      <c r="U123" s="31">
        <f t="shared" si="38"/>
        <v>9060000</v>
      </c>
      <c r="V123" s="31">
        <f t="shared" si="39"/>
        <v>8020750000</v>
      </c>
      <c r="W123">
        <f t="shared" si="32"/>
        <v>1.4446168678128766E-9</v>
      </c>
      <c r="X123">
        <f t="shared" si="40"/>
        <v>0.30566882621951219</v>
      </c>
    </row>
    <row r="124" spans="1:24">
      <c r="A124" s="21">
        <v>45386</v>
      </c>
      <c r="B124" s="28">
        <v>19.989999999999998</v>
      </c>
      <c r="C124" s="29">
        <f t="shared" si="26"/>
        <v>1.0616784630940207E-2</v>
      </c>
      <c r="D124" s="24">
        <f t="shared" si="27"/>
        <v>3.2320119294099343E-2</v>
      </c>
      <c r="E124" s="28">
        <v>20.22</v>
      </c>
      <c r="F124" s="28">
        <v>19.8</v>
      </c>
      <c r="G124" s="22">
        <f t="shared" si="28"/>
        <v>2.0989505247376222E-2</v>
      </c>
      <c r="H124" s="28">
        <v>20</v>
      </c>
      <c r="I124" s="28">
        <v>19.899999999999999</v>
      </c>
      <c r="J124" s="24">
        <f t="shared" si="29"/>
        <v>5.0125313283208737E-3</v>
      </c>
      <c r="K124" s="25">
        <v>693734</v>
      </c>
      <c r="L124" s="31">
        <f t="shared" si="33"/>
        <v>379800000</v>
      </c>
      <c r="M124" s="24">
        <f t="shared" si="30"/>
        <v>13867742.659999998</v>
      </c>
      <c r="N124" s="24">
        <f t="shared" si="34"/>
        <v>151930000</v>
      </c>
      <c r="O124" s="24">
        <f t="shared" si="31"/>
        <v>4.5661423023760942E-3</v>
      </c>
      <c r="P124" s="10">
        <v>68416.78</v>
      </c>
      <c r="Q124" s="8">
        <v>0.216</v>
      </c>
      <c r="R124" s="24">
        <f t="shared" si="35"/>
        <v>26240000000</v>
      </c>
      <c r="S124" s="24">
        <f t="shared" si="36"/>
        <v>8953420000</v>
      </c>
      <c r="T124" s="31">
        <f t="shared" si="37"/>
        <v>2084330000</v>
      </c>
      <c r="U124" s="31">
        <f t="shared" si="38"/>
        <v>9060000</v>
      </c>
      <c r="V124" s="31">
        <f t="shared" si="39"/>
        <v>8020750000</v>
      </c>
      <c r="W124">
        <f t="shared" si="32"/>
        <v>7.6557410180123783E-10</v>
      </c>
      <c r="X124">
        <f t="shared" si="40"/>
        <v>0.30566882621951219</v>
      </c>
    </row>
    <row r="125" spans="1:24">
      <c r="A125" s="21">
        <v>45385</v>
      </c>
      <c r="B125" s="28">
        <v>19.78</v>
      </c>
      <c r="C125" s="29">
        <f t="shared" si="26"/>
        <v>2.0263424518745035E-3</v>
      </c>
      <c r="D125" s="24">
        <f t="shared" si="27"/>
        <v>3.2320119294099343E-2</v>
      </c>
      <c r="E125" s="28">
        <v>19.86</v>
      </c>
      <c r="F125" s="28">
        <v>19.61</v>
      </c>
      <c r="G125" s="22">
        <f t="shared" si="28"/>
        <v>1.2667848999239929E-2</v>
      </c>
      <c r="H125" s="28">
        <v>19.850000000000001</v>
      </c>
      <c r="I125" s="28">
        <v>19.8</v>
      </c>
      <c r="J125" s="24">
        <f t="shared" si="29"/>
        <v>2.5220680958386232E-3</v>
      </c>
      <c r="K125" s="25">
        <v>196928</v>
      </c>
      <c r="L125" s="31">
        <f t="shared" si="33"/>
        <v>379800000</v>
      </c>
      <c r="M125" s="24">
        <f t="shared" si="30"/>
        <v>3895235.8400000003</v>
      </c>
      <c r="N125" s="24">
        <f t="shared" si="34"/>
        <v>151930000</v>
      </c>
      <c r="O125" s="24">
        <f t="shared" si="31"/>
        <v>1.2961758704666622E-3</v>
      </c>
      <c r="P125" s="10">
        <v>67756.039999999994</v>
      </c>
      <c r="Q125" s="8">
        <v>0.216</v>
      </c>
      <c r="R125" s="24">
        <f t="shared" si="35"/>
        <v>26240000000</v>
      </c>
      <c r="S125" s="24">
        <f t="shared" si="36"/>
        <v>8953420000</v>
      </c>
      <c r="T125" s="31">
        <f t="shared" si="37"/>
        <v>2084330000</v>
      </c>
      <c r="U125" s="31">
        <f t="shared" si="38"/>
        <v>9060000</v>
      </c>
      <c r="V125" s="31">
        <f t="shared" si="39"/>
        <v>8020750000</v>
      </c>
      <c r="W125">
        <f t="shared" si="32"/>
        <v>5.2021046609452622E-10</v>
      </c>
      <c r="X125">
        <f t="shared" si="40"/>
        <v>0.30566882621951219</v>
      </c>
    </row>
    <row r="126" spans="1:24">
      <c r="A126" s="21">
        <v>45384</v>
      </c>
      <c r="B126" s="28">
        <v>19.739999999999998</v>
      </c>
      <c r="C126" s="29">
        <f t="shared" si="26"/>
        <v>-5.5415617128464975E-3</v>
      </c>
      <c r="D126" s="24">
        <f t="shared" si="27"/>
        <v>3.2320119294099343E-2</v>
      </c>
      <c r="E126" s="28">
        <v>19.899999999999999</v>
      </c>
      <c r="F126" s="28">
        <v>19.55</v>
      </c>
      <c r="G126" s="22">
        <f t="shared" si="28"/>
        <v>1.7743979721165922E-2</v>
      </c>
      <c r="H126" s="28">
        <v>19.84</v>
      </c>
      <c r="I126" s="28">
        <v>19.68</v>
      </c>
      <c r="J126" s="24">
        <f t="shared" si="29"/>
        <v>8.0971659919028428E-3</v>
      </c>
      <c r="K126" s="25">
        <v>294147</v>
      </c>
      <c r="L126" s="31">
        <f t="shared" si="33"/>
        <v>379800000</v>
      </c>
      <c r="M126" s="24">
        <f t="shared" si="30"/>
        <v>5806461.7799999993</v>
      </c>
      <c r="N126" s="24">
        <f t="shared" si="34"/>
        <v>151930000</v>
      </c>
      <c r="O126" s="24">
        <f t="shared" si="31"/>
        <v>1.9360692424142698E-3</v>
      </c>
      <c r="P126" s="10">
        <v>66886.259999999995</v>
      </c>
      <c r="Q126" s="8">
        <v>0.216</v>
      </c>
      <c r="R126" s="24">
        <f t="shared" si="35"/>
        <v>26240000000</v>
      </c>
      <c r="S126" s="24">
        <f t="shared" si="36"/>
        <v>8953420000</v>
      </c>
      <c r="T126" s="31">
        <f t="shared" si="37"/>
        <v>2084330000</v>
      </c>
      <c r="U126" s="31">
        <f t="shared" si="38"/>
        <v>9060000</v>
      </c>
      <c r="V126" s="31">
        <f t="shared" si="39"/>
        <v>8020750000</v>
      </c>
      <c r="W126">
        <f t="shared" si="32"/>
        <v>9.5437840165142667E-10</v>
      </c>
      <c r="X126">
        <f t="shared" si="40"/>
        <v>0.30566882621951219</v>
      </c>
    </row>
    <row r="127" spans="1:24">
      <c r="A127" s="21">
        <v>45383</v>
      </c>
      <c r="B127" s="28">
        <v>19.850000000000001</v>
      </c>
      <c r="C127" s="29">
        <f t="shared" si="26"/>
        <v>5.0403225806459494E-4</v>
      </c>
      <c r="D127" s="24">
        <f t="shared" si="27"/>
        <v>3.2320119294099343E-2</v>
      </c>
      <c r="E127" s="28">
        <v>19.899999999999999</v>
      </c>
      <c r="F127" s="28">
        <v>19.75</v>
      </c>
      <c r="G127" s="22">
        <f t="shared" si="28"/>
        <v>7.5662042875156918E-3</v>
      </c>
      <c r="H127" s="28">
        <v>19.899999999999999</v>
      </c>
      <c r="I127" s="28">
        <v>19.829999999999998</v>
      </c>
      <c r="J127" s="24">
        <f t="shared" si="29"/>
        <v>3.5237855524792496E-3</v>
      </c>
      <c r="K127" s="25">
        <v>148583</v>
      </c>
      <c r="L127" s="31">
        <f t="shared" si="33"/>
        <v>379800000</v>
      </c>
      <c r="M127" s="24">
        <f t="shared" si="30"/>
        <v>2949372.5500000003</v>
      </c>
      <c r="N127" s="24">
        <f t="shared" si="34"/>
        <v>151930000</v>
      </c>
      <c r="O127" s="24">
        <f t="shared" si="31"/>
        <v>9.7797011781741586E-4</v>
      </c>
      <c r="P127" s="10">
        <v>66796.320000000007</v>
      </c>
      <c r="Q127" s="8">
        <v>0.216</v>
      </c>
      <c r="R127" s="24">
        <f t="shared" si="35"/>
        <v>26240000000</v>
      </c>
      <c r="S127" s="24">
        <f t="shared" si="36"/>
        <v>8953420000</v>
      </c>
      <c r="T127" s="31">
        <f t="shared" si="37"/>
        <v>2084330000</v>
      </c>
      <c r="U127" s="31">
        <f t="shared" si="38"/>
        <v>9060000</v>
      </c>
      <c r="V127" s="31">
        <f t="shared" si="39"/>
        <v>8020750000</v>
      </c>
      <c r="W127">
        <f t="shared" si="32"/>
        <v>1.7089474100672527E-10</v>
      </c>
      <c r="X127">
        <f t="shared" si="40"/>
        <v>0.30566882621951219</v>
      </c>
    </row>
    <row r="128" spans="1:24">
      <c r="A128" s="21">
        <v>45380</v>
      </c>
      <c r="B128" s="28">
        <v>19.84</v>
      </c>
      <c r="C128" s="29">
        <f t="shared" si="26"/>
        <v>1.5143866733973315E-3</v>
      </c>
      <c r="D128" s="24">
        <f t="shared" si="27"/>
        <v>3.2320119294099343E-2</v>
      </c>
      <c r="E128" s="28">
        <v>20</v>
      </c>
      <c r="F128" s="28">
        <v>19.8</v>
      </c>
      <c r="G128" s="22">
        <f t="shared" si="28"/>
        <v>1.0050251256281372E-2</v>
      </c>
      <c r="H128" s="28">
        <v>19.920000000000002</v>
      </c>
      <c r="I128" s="28">
        <v>19.809999999999999</v>
      </c>
      <c r="J128" s="24">
        <f t="shared" si="29"/>
        <v>5.5373772967532327E-3</v>
      </c>
      <c r="K128" s="25">
        <v>164078</v>
      </c>
      <c r="L128" s="31">
        <f t="shared" si="33"/>
        <v>379800000</v>
      </c>
      <c r="M128" s="24">
        <f t="shared" si="30"/>
        <v>3255307.52</v>
      </c>
      <c r="N128" s="24">
        <f t="shared" si="34"/>
        <v>151930000</v>
      </c>
      <c r="O128" s="24">
        <f t="shared" si="31"/>
        <v>1.0799578753373264E-3</v>
      </c>
      <c r="P128" s="10">
        <v>67005.11</v>
      </c>
      <c r="Q128" s="8">
        <v>0.216</v>
      </c>
      <c r="R128" s="24">
        <f t="shared" si="35"/>
        <v>26240000000</v>
      </c>
      <c r="S128" s="24">
        <f t="shared" si="36"/>
        <v>8953420000</v>
      </c>
      <c r="T128" s="31">
        <f t="shared" si="37"/>
        <v>2084330000</v>
      </c>
      <c r="U128" s="31">
        <f t="shared" si="38"/>
        <v>9060000</v>
      </c>
      <c r="V128" s="31">
        <f t="shared" si="39"/>
        <v>8020750000</v>
      </c>
      <c r="W128">
        <f t="shared" si="32"/>
        <v>4.6520541119179166E-10</v>
      </c>
      <c r="X128">
        <f t="shared" si="40"/>
        <v>0.30566882621951219</v>
      </c>
    </row>
    <row r="129" spans="1:24">
      <c r="A129" s="21">
        <v>45379</v>
      </c>
      <c r="B129" s="28">
        <v>19.809999999999999</v>
      </c>
      <c r="C129" s="29">
        <f t="shared" si="26"/>
        <v>1.9032921810699457E-2</v>
      </c>
      <c r="D129" s="24">
        <f t="shared" si="27"/>
        <v>3.2320119294099343E-2</v>
      </c>
      <c r="E129" s="28">
        <v>20.07</v>
      </c>
      <c r="F129" s="28">
        <v>19.350000000000001</v>
      </c>
      <c r="G129" s="22">
        <f t="shared" si="28"/>
        <v>3.6529680365296746E-2</v>
      </c>
      <c r="H129" s="28">
        <v>19.89</v>
      </c>
      <c r="I129" s="28">
        <v>19.829999999999998</v>
      </c>
      <c r="J129" s="24">
        <f t="shared" si="29"/>
        <v>3.0211480362538909E-3</v>
      </c>
      <c r="K129" s="25">
        <v>457529</v>
      </c>
      <c r="L129" s="31">
        <f t="shared" si="33"/>
        <v>379800000</v>
      </c>
      <c r="M129" s="24">
        <f t="shared" si="30"/>
        <v>9063649.4900000002</v>
      </c>
      <c r="N129" s="24">
        <f t="shared" si="34"/>
        <v>151930000</v>
      </c>
      <c r="O129" s="24">
        <f t="shared" si="31"/>
        <v>3.0114460606858423E-3</v>
      </c>
      <c r="P129" s="10">
        <v>67142.12</v>
      </c>
      <c r="Q129" s="8">
        <v>0.216</v>
      </c>
      <c r="R129" s="24">
        <f t="shared" si="35"/>
        <v>26240000000</v>
      </c>
      <c r="S129" s="24">
        <f t="shared" si="36"/>
        <v>8953420000</v>
      </c>
      <c r="T129" s="31">
        <f t="shared" si="37"/>
        <v>2084330000</v>
      </c>
      <c r="U129" s="31">
        <f t="shared" si="38"/>
        <v>9060000</v>
      </c>
      <c r="V129" s="31">
        <f t="shared" si="39"/>
        <v>8020750000</v>
      </c>
      <c r="W129">
        <f t="shared" si="32"/>
        <v>2.0999181214695734E-9</v>
      </c>
      <c r="X129">
        <f t="shared" si="40"/>
        <v>0.30566882621951219</v>
      </c>
    </row>
    <row r="130" spans="1:24">
      <c r="A130" s="21">
        <v>45378</v>
      </c>
      <c r="B130" s="28">
        <v>19.440000000000001</v>
      </c>
      <c r="C130" s="29">
        <f t="shared" si="26"/>
        <v>3.0959752321982597E-3</v>
      </c>
      <c r="D130" s="24">
        <f t="shared" si="27"/>
        <v>3.2320119294099343E-2</v>
      </c>
      <c r="E130" s="28">
        <v>19.55</v>
      </c>
      <c r="F130" s="28">
        <v>19.38</v>
      </c>
      <c r="G130" s="22">
        <f t="shared" si="28"/>
        <v>8.7336244541485596E-3</v>
      </c>
      <c r="H130" s="28">
        <v>19.54</v>
      </c>
      <c r="I130" s="28">
        <v>19.45</v>
      </c>
      <c r="J130" s="24">
        <f t="shared" si="29"/>
        <v>4.6165683508591878E-3</v>
      </c>
      <c r="K130" s="25">
        <v>123626</v>
      </c>
      <c r="L130" s="31">
        <f t="shared" si="33"/>
        <v>379800000</v>
      </c>
      <c r="M130" s="24">
        <f t="shared" si="30"/>
        <v>2403289.44</v>
      </c>
      <c r="N130" s="24">
        <f t="shared" si="34"/>
        <v>151930000</v>
      </c>
      <c r="O130" s="24">
        <f t="shared" si="31"/>
        <v>8.1370367932600543E-4</v>
      </c>
      <c r="P130" s="10">
        <v>66547.789999999994</v>
      </c>
      <c r="Q130" s="8">
        <v>0.216</v>
      </c>
      <c r="R130" s="24">
        <f t="shared" si="35"/>
        <v>26240000000</v>
      </c>
      <c r="S130" s="24">
        <f t="shared" si="36"/>
        <v>8953420000</v>
      </c>
      <c r="T130" s="31">
        <f t="shared" si="37"/>
        <v>2084330000</v>
      </c>
      <c r="U130" s="31">
        <f t="shared" si="38"/>
        <v>9060000</v>
      </c>
      <c r="V130" s="31">
        <f t="shared" si="39"/>
        <v>8020750000</v>
      </c>
      <c r="W130">
        <f t="shared" si="32"/>
        <v>1.2882240402130922E-9</v>
      </c>
      <c r="X130">
        <f t="shared" si="40"/>
        <v>0.30566882621951219</v>
      </c>
    </row>
    <row r="131" spans="1:24">
      <c r="A131" s="21">
        <v>45377</v>
      </c>
      <c r="B131" s="28">
        <v>19.38</v>
      </c>
      <c r="C131" s="29">
        <f t="shared" si="26"/>
        <v>-1.8734177215189923E-2</v>
      </c>
      <c r="D131" s="24">
        <f t="shared" si="27"/>
        <v>3.2320119294099343E-2</v>
      </c>
      <c r="E131" s="28">
        <v>19.8</v>
      </c>
      <c r="F131" s="28">
        <v>19.350000000000001</v>
      </c>
      <c r="G131" s="22">
        <f t="shared" si="28"/>
        <v>2.2988505747126398E-2</v>
      </c>
      <c r="H131" s="28">
        <v>19.5</v>
      </c>
      <c r="I131" s="28">
        <v>19.399999999999999</v>
      </c>
      <c r="J131" s="24">
        <f t="shared" si="29"/>
        <v>5.1413881748072713E-3</v>
      </c>
      <c r="K131" s="25">
        <v>389768</v>
      </c>
      <c r="L131" s="31">
        <f t="shared" si="33"/>
        <v>379800000</v>
      </c>
      <c r="M131" s="24">
        <f t="shared" si="30"/>
        <v>7553703.8399999999</v>
      </c>
      <c r="N131" s="24">
        <f t="shared" si="34"/>
        <v>151930000</v>
      </c>
      <c r="O131" s="24">
        <f t="shared" si="31"/>
        <v>2.5654446126505627E-3</v>
      </c>
      <c r="P131" s="10">
        <v>65906.28</v>
      </c>
      <c r="Q131" s="8">
        <v>0.216</v>
      </c>
      <c r="R131" s="24">
        <f t="shared" si="35"/>
        <v>26240000000</v>
      </c>
      <c r="S131" s="24">
        <f t="shared" si="36"/>
        <v>8953420000</v>
      </c>
      <c r="T131" s="31">
        <f t="shared" si="37"/>
        <v>2084330000</v>
      </c>
      <c r="U131" s="31">
        <f t="shared" si="38"/>
        <v>9060000</v>
      </c>
      <c r="V131" s="31">
        <f t="shared" si="39"/>
        <v>8020750000</v>
      </c>
      <c r="W131">
        <f t="shared" si="32"/>
        <v>2.4801312855270646E-9</v>
      </c>
      <c r="X131">
        <f t="shared" si="40"/>
        <v>0.30566882621951219</v>
      </c>
    </row>
    <row r="132" spans="1:24">
      <c r="A132" s="21">
        <v>45376</v>
      </c>
      <c r="B132" s="28">
        <v>19.75</v>
      </c>
      <c r="C132" s="29">
        <f>IFERROR((B132-#REF!)/#REF!,0)</f>
        <v>0</v>
      </c>
      <c r="D132" s="24">
        <f t="shared" si="27"/>
        <v>3.2320119294099343E-2</v>
      </c>
      <c r="E132" s="28">
        <v>19.82</v>
      </c>
      <c r="F132" s="28">
        <v>19.45</v>
      </c>
      <c r="G132" s="22">
        <f t="shared" si="28"/>
        <v>1.8843901196842427E-2</v>
      </c>
      <c r="H132" s="28">
        <v>19.75</v>
      </c>
      <c r="I132" s="28">
        <v>19.649999999999999</v>
      </c>
      <c r="J132" s="24">
        <f t="shared" si="29"/>
        <v>5.0761421319797679E-3</v>
      </c>
      <c r="K132" s="25">
        <v>166752</v>
      </c>
      <c r="L132" s="31">
        <f t="shared" si="33"/>
        <v>379800000</v>
      </c>
      <c r="M132" s="24">
        <f t="shared" si="30"/>
        <v>3293352</v>
      </c>
      <c r="N132" s="24">
        <f t="shared" si="34"/>
        <v>151930000</v>
      </c>
      <c r="O132" s="24">
        <f t="shared" si="31"/>
        <v>1.0975580859606399E-3</v>
      </c>
      <c r="P132" s="10">
        <v>65525.65</v>
      </c>
      <c r="Q132" s="8">
        <v>0.216</v>
      </c>
      <c r="R132" s="24">
        <f t="shared" si="35"/>
        <v>26240000000</v>
      </c>
      <c r="S132" s="24">
        <f t="shared" si="36"/>
        <v>8953420000</v>
      </c>
      <c r="T132" s="31">
        <f t="shared" si="37"/>
        <v>2084330000</v>
      </c>
      <c r="U132" s="31">
        <f t="shared" si="38"/>
        <v>9060000</v>
      </c>
      <c r="V132" s="31">
        <f t="shared" si="39"/>
        <v>8020750000</v>
      </c>
      <c r="W132">
        <f t="shared" si="32"/>
        <v>0</v>
      </c>
      <c r="X132">
        <f t="shared" si="40"/>
        <v>0.30566882621951219</v>
      </c>
    </row>
    <row r="135" spans="1:24" ht="15" thickBot="1"/>
    <row r="136" spans="1:24" ht="16" thickBot="1">
      <c r="A136" s="184" t="s">
        <v>33</v>
      </c>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6"/>
    </row>
    <row r="137" spans="1:24" ht="43.5">
      <c r="A137" s="5" t="s">
        <v>14</v>
      </c>
      <c r="B137" s="5" t="s">
        <v>15</v>
      </c>
      <c r="C137" s="7" t="s">
        <v>16</v>
      </c>
      <c r="D137" s="7" t="s">
        <v>17</v>
      </c>
      <c r="E137" s="6" t="s">
        <v>0</v>
      </c>
      <c r="F137" s="6" t="s">
        <v>13</v>
      </c>
      <c r="G137" s="7" t="s">
        <v>18</v>
      </c>
      <c r="H137" s="5" t="s">
        <v>12</v>
      </c>
      <c r="I137" s="6" t="s">
        <v>1</v>
      </c>
      <c r="J137" s="7" t="s">
        <v>19</v>
      </c>
      <c r="K137" s="5" t="s">
        <v>2</v>
      </c>
      <c r="L137" s="5" t="s">
        <v>26</v>
      </c>
      <c r="M137" s="7" t="s">
        <v>20</v>
      </c>
      <c r="N137" s="5" t="s">
        <v>31</v>
      </c>
      <c r="O137" s="7" t="s">
        <v>28</v>
      </c>
      <c r="P137" s="5" t="s">
        <v>5</v>
      </c>
      <c r="Q137" s="5" t="s">
        <v>6</v>
      </c>
      <c r="R137" s="5" t="s">
        <v>7</v>
      </c>
      <c r="S137" s="5" t="s">
        <v>29</v>
      </c>
      <c r="T137" s="5" t="s">
        <v>30</v>
      </c>
      <c r="U137" s="5" t="s">
        <v>10</v>
      </c>
      <c r="V137" s="5" t="s">
        <v>32</v>
      </c>
      <c r="W137" s="7" t="s">
        <v>73</v>
      </c>
      <c r="X137" s="7" t="s">
        <v>72</v>
      </c>
    </row>
    <row r="138" spans="1:24">
      <c r="A138" s="21">
        <v>45436</v>
      </c>
      <c r="B138">
        <v>30.17</v>
      </c>
      <c r="C138" s="29">
        <f t="shared" ref="C138:C177" si="41">IFERROR((B138-B139)/B139,0)</f>
        <v>-1.1143887250081936E-2</v>
      </c>
      <c r="D138">
        <f>_xlfn.STDEV.S($C$138:$C$177)</f>
        <v>2.3612852209094821E-2</v>
      </c>
      <c r="E138">
        <v>30.5</v>
      </c>
      <c r="F138">
        <v>29.4</v>
      </c>
      <c r="G138">
        <f>(E138-F138)/(AVERAGE(E138,F138))</f>
        <v>3.6727879799666158E-2</v>
      </c>
      <c r="H138">
        <v>30.2</v>
      </c>
      <c r="I138">
        <v>30.03</v>
      </c>
      <c r="J138">
        <f>(H138-I138)/AVERAGE(H138,I138)</f>
        <v>5.6450273949858257E-3</v>
      </c>
      <c r="K138">
        <v>1758434</v>
      </c>
      <c r="L138">
        <f>367.35*1000000</f>
        <v>367350000</v>
      </c>
      <c r="M138">
        <f t="shared" ref="M138:M177" si="42">K138*B138</f>
        <v>53051953.780000001</v>
      </c>
      <c r="N138">
        <f>113.87*1000000</f>
        <v>113870000</v>
      </c>
      <c r="O138">
        <f t="shared" ref="O138:O177" si="43">K138/N138</f>
        <v>1.5442469482743479E-2</v>
      </c>
      <c r="P138">
        <v>75983.039999999994</v>
      </c>
      <c r="Q138" s="8">
        <v>0.2157</v>
      </c>
      <c r="R138">
        <f>30319.78*1000000</f>
        <v>30319780000</v>
      </c>
      <c r="S138">
        <f>2209.75*1000000</f>
        <v>2209750000</v>
      </c>
      <c r="T138">
        <f>1594.12*1000000</f>
        <v>1594120000</v>
      </c>
      <c r="U138">
        <f>1134.52*1000000</f>
        <v>1134520000</v>
      </c>
      <c r="V138">
        <f>320.65*1000000</f>
        <v>320650000</v>
      </c>
      <c r="W138">
        <f t="shared" ref="W138:W177" si="44">IFERROR(ABS(C138)/M138,"0")</f>
        <v>2.1005611398016143E-10</v>
      </c>
      <c r="X138">
        <f>V138/R138</f>
        <v>1.0575604440401612E-2</v>
      </c>
    </row>
    <row r="139" spans="1:24">
      <c r="A139" s="21">
        <v>45435</v>
      </c>
      <c r="B139">
        <v>30.51</v>
      </c>
      <c r="C139" s="29">
        <f t="shared" si="41"/>
        <v>-8.7719298245613891E-3</v>
      </c>
      <c r="D139">
        <f t="shared" ref="D139:D177" si="45">_xlfn.STDEV.S($C$138:$C$177)</f>
        <v>2.3612852209094821E-2</v>
      </c>
      <c r="E139">
        <v>31.48</v>
      </c>
      <c r="F139">
        <v>29.21</v>
      </c>
      <c r="G139">
        <f t="shared" ref="G139:G177" si="46">(E139-F139)/(AVERAGE(E139,F139))</f>
        <v>7.4806393145493477E-2</v>
      </c>
      <c r="H139">
        <v>30.4</v>
      </c>
      <c r="I139">
        <v>30.39</v>
      </c>
      <c r="J139">
        <f t="shared" ref="J139:J177" si="47">(H139-I139)/AVERAGE(H139,I139)</f>
        <v>3.2900148050659685E-4</v>
      </c>
      <c r="K139">
        <v>9477182</v>
      </c>
      <c r="L139">
        <f t="shared" ref="L139:L177" si="48">367.35*1000000</f>
        <v>367350000</v>
      </c>
      <c r="M139">
        <f t="shared" si="42"/>
        <v>289148822.81999999</v>
      </c>
      <c r="N139">
        <f t="shared" ref="N139:N177" si="49">113.87*1000000</f>
        <v>113870000</v>
      </c>
      <c r="O139">
        <f t="shared" si="43"/>
        <v>8.3228084657943263E-2</v>
      </c>
      <c r="P139">
        <v>75114.47</v>
      </c>
      <c r="Q139" s="8">
        <v>0.2157</v>
      </c>
      <c r="R139">
        <f t="shared" ref="R139:R177" si="50">30319.78*1000000</f>
        <v>30319780000</v>
      </c>
      <c r="S139">
        <f t="shared" ref="S139:S177" si="51">2209.75*1000000</f>
        <v>2209750000</v>
      </c>
      <c r="T139">
        <f t="shared" ref="T139:T177" si="52">1594.12*1000000</f>
        <v>1594120000</v>
      </c>
      <c r="U139">
        <f t="shared" ref="U139:U177" si="53">1134.52*1000000</f>
        <v>1134520000</v>
      </c>
      <c r="V139">
        <f t="shared" ref="V139:V177" si="54">320.65*1000000</f>
        <v>320650000</v>
      </c>
      <c r="W139">
        <f t="shared" si="44"/>
        <v>3.0337076039289509E-11</v>
      </c>
      <c r="X139">
        <f t="shared" ref="X139:X177" si="55">V139/R139</f>
        <v>1.0575604440401612E-2</v>
      </c>
    </row>
    <row r="140" spans="1:24">
      <c r="A140" s="21">
        <v>45434</v>
      </c>
      <c r="B140">
        <v>30.78</v>
      </c>
      <c r="C140" s="29">
        <f t="shared" si="41"/>
        <v>7.5096053091163198E-2</v>
      </c>
      <c r="D140">
        <f t="shared" si="45"/>
        <v>2.3612852209094821E-2</v>
      </c>
      <c r="E140">
        <v>30.78</v>
      </c>
      <c r="F140">
        <v>28.41</v>
      </c>
      <c r="G140">
        <f t="shared" si="46"/>
        <v>8.0081094779523604E-2</v>
      </c>
      <c r="I140">
        <v>30.78</v>
      </c>
      <c r="J140">
        <f t="shared" si="47"/>
        <v>-1</v>
      </c>
      <c r="K140">
        <v>6843104</v>
      </c>
      <c r="L140">
        <f t="shared" si="48"/>
        <v>367350000</v>
      </c>
      <c r="M140">
        <f t="shared" si="42"/>
        <v>210630741.12</v>
      </c>
      <c r="N140">
        <f t="shared" si="49"/>
        <v>113870000</v>
      </c>
      <c r="O140">
        <f t="shared" si="43"/>
        <v>6.0095758320892242E-2</v>
      </c>
      <c r="P140">
        <v>74956.67</v>
      </c>
      <c r="Q140" s="8">
        <v>0.2157</v>
      </c>
      <c r="R140">
        <f t="shared" si="50"/>
        <v>30319780000</v>
      </c>
      <c r="S140">
        <f t="shared" si="51"/>
        <v>2209750000</v>
      </c>
      <c r="T140">
        <f t="shared" si="52"/>
        <v>1594120000</v>
      </c>
      <c r="U140">
        <f t="shared" si="53"/>
        <v>1134520000</v>
      </c>
      <c r="V140">
        <f t="shared" si="54"/>
        <v>320650000</v>
      </c>
      <c r="W140">
        <f t="shared" si="44"/>
        <v>3.5652940635279666E-10</v>
      </c>
      <c r="X140">
        <f t="shared" si="55"/>
        <v>1.0575604440401612E-2</v>
      </c>
    </row>
    <row r="141" spans="1:24">
      <c r="A141" s="21">
        <v>45433</v>
      </c>
      <c r="B141">
        <v>28.63</v>
      </c>
      <c r="C141" s="29">
        <f t="shared" si="41"/>
        <v>1.273434736469754E-2</v>
      </c>
      <c r="D141">
        <f t="shared" si="45"/>
        <v>2.3612852209094821E-2</v>
      </c>
      <c r="E141">
        <v>28.75</v>
      </c>
      <c r="F141">
        <v>28</v>
      </c>
      <c r="G141">
        <f t="shared" si="46"/>
        <v>2.643171806167401E-2</v>
      </c>
      <c r="H141">
        <v>28.75</v>
      </c>
      <c r="I141">
        <v>28.7</v>
      </c>
      <c r="J141">
        <f t="shared" si="47"/>
        <v>1.7406440382941935E-3</v>
      </c>
      <c r="K141">
        <v>1250211</v>
      </c>
      <c r="L141">
        <f t="shared" si="48"/>
        <v>367350000</v>
      </c>
      <c r="M141">
        <f t="shared" si="42"/>
        <v>35793540.93</v>
      </c>
      <c r="N141">
        <f t="shared" si="49"/>
        <v>113870000</v>
      </c>
      <c r="O141">
        <f t="shared" si="43"/>
        <v>1.0979283393343286E-2</v>
      </c>
      <c r="P141">
        <v>75206.77</v>
      </c>
      <c r="Q141" s="8">
        <v>0.2157</v>
      </c>
      <c r="R141">
        <f t="shared" si="50"/>
        <v>30319780000</v>
      </c>
      <c r="S141">
        <f t="shared" si="51"/>
        <v>2209750000</v>
      </c>
      <c r="T141">
        <f t="shared" si="52"/>
        <v>1594120000</v>
      </c>
      <c r="U141">
        <f t="shared" si="53"/>
        <v>1134520000</v>
      </c>
      <c r="V141">
        <f t="shared" si="54"/>
        <v>320650000</v>
      </c>
      <c r="W141">
        <f t="shared" si="44"/>
        <v>3.5577221570790091E-10</v>
      </c>
      <c r="X141">
        <f t="shared" si="55"/>
        <v>1.0575604440401612E-2</v>
      </c>
    </row>
    <row r="142" spans="1:24">
      <c r="A142" s="21">
        <v>45432</v>
      </c>
      <c r="B142">
        <v>28.27</v>
      </c>
      <c r="C142" s="29">
        <f t="shared" si="41"/>
        <v>-3.4824172072379637E-2</v>
      </c>
      <c r="D142">
        <f t="shared" si="45"/>
        <v>2.3612852209094821E-2</v>
      </c>
      <c r="E142">
        <v>29.49</v>
      </c>
      <c r="F142">
        <v>28.05</v>
      </c>
      <c r="G142">
        <f t="shared" si="46"/>
        <v>5.0052137643378444E-2</v>
      </c>
      <c r="H142">
        <v>28.25</v>
      </c>
      <c r="I142">
        <v>28.21</v>
      </c>
      <c r="J142">
        <f t="shared" si="47"/>
        <v>1.4169323414806641E-3</v>
      </c>
      <c r="K142">
        <v>2827582</v>
      </c>
      <c r="L142">
        <f t="shared" si="48"/>
        <v>367350000</v>
      </c>
      <c r="M142">
        <f t="shared" si="42"/>
        <v>79935743.140000001</v>
      </c>
      <c r="N142">
        <f t="shared" si="49"/>
        <v>113870000</v>
      </c>
      <c r="O142">
        <f t="shared" si="43"/>
        <v>2.4831667691226838E-2</v>
      </c>
      <c r="P142">
        <v>75084</v>
      </c>
      <c r="Q142" s="8">
        <v>0.2157</v>
      </c>
      <c r="R142">
        <f t="shared" si="50"/>
        <v>30319780000</v>
      </c>
      <c r="S142">
        <f t="shared" si="51"/>
        <v>2209750000</v>
      </c>
      <c r="T142">
        <f t="shared" si="52"/>
        <v>1594120000</v>
      </c>
      <c r="U142">
        <f t="shared" si="53"/>
        <v>1134520000</v>
      </c>
      <c r="V142">
        <f t="shared" si="54"/>
        <v>320650000</v>
      </c>
      <c r="W142">
        <f t="shared" si="44"/>
        <v>4.3565207133169886E-10</v>
      </c>
      <c r="X142">
        <f t="shared" si="55"/>
        <v>1.0575604440401612E-2</v>
      </c>
    </row>
    <row r="143" spans="1:24">
      <c r="A143" s="21">
        <v>45429</v>
      </c>
      <c r="B143">
        <v>29.29</v>
      </c>
      <c r="C143" s="29">
        <f t="shared" si="41"/>
        <v>2.0526855969893506E-3</v>
      </c>
      <c r="D143">
        <f t="shared" si="45"/>
        <v>2.3612852209094821E-2</v>
      </c>
      <c r="E143">
        <v>29.45</v>
      </c>
      <c r="F143">
        <v>29.01</v>
      </c>
      <c r="G143">
        <f t="shared" si="46"/>
        <v>1.5053027711255482E-2</v>
      </c>
      <c r="H143">
        <v>29.35</v>
      </c>
      <c r="I143">
        <v>29.31</v>
      </c>
      <c r="J143">
        <f t="shared" si="47"/>
        <v>1.3637913399250836E-3</v>
      </c>
      <c r="K143">
        <v>827049</v>
      </c>
      <c r="L143">
        <f t="shared" si="48"/>
        <v>367350000</v>
      </c>
      <c r="M143">
        <f t="shared" si="42"/>
        <v>24224265.210000001</v>
      </c>
      <c r="N143">
        <f t="shared" si="49"/>
        <v>113870000</v>
      </c>
      <c r="O143">
        <f t="shared" si="43"/>
        <v>7.2630982699569682E-3</v>
      </c>
      <c r="P143">
        <v>75342.350000000006</v>
      </c>
      <c r="Q143" s="8">
        <v>0.2157</v>
      </c>
      <c r="R143">
        <f t="shared" si="50"/>
        <v>30319780000</v>
      </c>
      <c r="S143">
        <f t="shared" si="51"/>
        <v>2209750000</v>
      </c>
      <c r="T143">
        <f t="shared" si="52"/>
        <v>1594120000</v>
      </c>
      <c r="U143">
        <f t="shared" si="53"/>
        <v>1134520000</v>
      </c>
      <c r="V143">
        <f t="shared" si="54"/>
        <v>320650000</v>
      </c>
      <c r="W143">
        <f t="shared" si="44"/>
        <v>8.4736753796023629E-11</v>
      </c>
      <c r="X143">
        <f t="shared" si="55"/>
        <v>1.0575604440401612E-2</v>
      </c>
    </row>
    <row r="144" spans="1:24">
      <c r="A144" s="21">
        <v>45428</v>
      </c>
      <c r="B144">
        <v>29.23</v>
      </c>
      <c r="C144" s="29">
        <f t="shared" si="41"/>
        <v>8.278716798896241E-3</v>
      </c>
      <c r="D144">
        <f t="shared" si="45"/>
        <v>2.3612852209094821E-2</v>
      </c>
      <c r="E144">
        <v>29.4</v>
      </c>
      <c r="F144">
        <v>28.55</v>
      </c>
      <c r="G144">
        <f t="shared" si="46"/>
        <v>2.9335634167385601E-2</v>
      </c>
      <c r="H144">
        <v>29.2</v>
      </c>
      <c r="I144">
        <v>29.05</v>
      </c>
      <c r="J144">
        <f t="shared" si="47"/>
        <v>5.1502145922746297E-3</v>
      </c>
      <c r="K144">
        <v>1215620</v>
      </c>
      <c r="L144">
        <f t="shared" si="48"/>
        <v>367350000</v>
      </c>
      <c r="M144">
        <f t="shared" si="42"/>
        <v>35532572.600000001</v>
      </c>
      <c r="N144">
        <f t="shared" si="49"/>
        <v>113870000</v>
      </c>
      <c r="O144">
        <f t="shared" si="43"/>
        <v>1.0675507157284624E-2</v>
      </c>
      <c r="P144">
        <v>74930.7</v>
      </c>
      <c r="Q144" s="8">
        <v>0.2157</v>
      </c>
      <c r="R144">
        <f t="shared" si="50"/>
        <v>30319780000</v>
      </c>
      <c r="S144">
        <f t="shared" si="51"/>
        <v>2209750000</v>
      </c>
      <c r="T144">
        <f t="shared" si="52"/>
        <v>1594120000</v>
      </c>
      <c r="U144">
        <f t="shared" si="53"/>
        <v>1134520000</v>
      </c>
      <c r="V144">
        <f t="shared" si="54"/>
        <v>320650000</v>
      </c>
      <c r="W144">
        <f t="shared" si="44"/>
        <v>2.329895133710707E-10</v>
      </c>
      <c r="X144">
        <f t="shared" si="55"/>
        <v>1.0575604440401612E-2</v>
      </c>
    </row>
    <row r="145" spans="1:24">
      <c r="A145" s="21">
        <v>45427</v>
      </c>
      <c r="B145">
        <v>28.99</v>
      </c>
      <c r="C145" s="29">
        <f t="shared" si="41"/>
        <v>-1.6621438263229375E-2</v>
      </c>
      <c r="D145">
        <f t="shared" si="45"/>
        <v>2.3612852209094821E-2</v>
      </c>
      <c r="E145">
        <v>29.84</v>
      </c>
      <c r="F145">
        <v>28.8</v>
      </c>
      <c r="G145">
        <f t="shared" si="46"/>
        <v>3.5470668485675275E-2</v>
      </c>
      <c r="H145">
        <v>29.2</v>
      </c>
      <c r="I145">
        <v>29</v>
      </c>
      <c r="J145">
        <f t="shared" si="47"/>
        <v>6.8728522336769515E-3</v>
      </c>
      <c r="K145">
        <v>889729</v>
      </c>
      <c r="L145">
        <f t="shared" si="48"/>
        <v>367350000</v>
      </c>
      <c r="M145">
        <f t="shared" si="42"/>
        <v>25793243.709999997</v>
      </c>
      <c r="N145">
        <f t="shared" si="49"/>
        <v>113870000</v>
      </c>
      <c r="O145">
        <f t="shared" si="43"/>
        <v>7.8135505400895762E-3</v>
      </c>
      <c r="P145">
        <v>74663.98</v>
      </c>
      <c r="Q145" s="8">
        <v>0.2157</v>
      </c>
      <c r="R145">
        <f t="shared" si="50"/>
        <v>30319780000</v>
      </c>
      <c r="S145">
        <f t="shared" si="51"/>
        <v>2209750000</v>
      </c>
      <c r="T145">
        <f t="shared" si="52"/>
        <v>1594120000</v>
      </c>
      <c r="U145">
        <f t="shared" si="53"/>
        <v>1134520000</v>
      </c>
      <c r="V145">
        <f t="shared" si="54"/>
        <v>320650000</v>
      </c>
      <c r="W145">
        <f t="shared" si="44"/>
        <v>6.4441054603711088E-10</v>
      </c>
      <c r="X145">
        <f t="shared" si="55"/>
        <v>1.0575604440401612E-2</v>
      </c>
    </row>
    <row r="146" spans="1:24">
      <c r="A146" s="21">
        <v>45426</v>
      </c>
      <c r="B146">
        <v>29.48</v>
      </c>
      <c r="C146" s="29">
        <f t="shared" si="41"/>
        <v>-1.8315018315018337E-2</v>
      </c>
      <c r="D146">
        <f t="shared" si="45"/>
        <v>2.3612852209094821E-2</v>
      </c>
      <c r="E146">
        <v>30.15</v>
      </c>
      <c r="F146">
        <v>29.4</v>
      </c>
      <c r="G146">
        <f t="shared" si="46"/>
        <v>2.5188916876574308E-2</v>
      </c>
      <c r="H146">
        <v>29.5</v>
      </c>
      <c r="I146">
        <v>29.42</v>
      </c>
      <c r="J146">
        <f t="shared" si="47"/>
        <v>2.7155465037338187E-3</v>
      </c>
      <c r="K146">
        <v>1037148</v>
      </c>
      <c r="L146">
        <f t="shared" si="48"/>
        <v>367350000</v>
      </c>
      <c r="M146">
        <f t="shared" si="42"/>
        <v>30575123.039999999</v>
      </c>
      <c r="N146">
        <f t="shared" si="49"/>
        <v>113870000</v>
      </c>
      <c r="O146">
        <f t="shared" si="43"/>
        <v>9.1081759901642228E-3</v>
      </c>
      <c r="P146">
        <v>74531.19</v>
      </c>
      <c r="Q146" s="8">
        <v>0.21590000000000001</v>
      </c>
      <c r="R146">
        <f t="shared" si="50"/>
        <v>30319780000</v>
      </c>
      <c r="S146">
        <f t="shared" si="51"/>
        <v>2209750000</v>
      </c>
      <c r="T146">
        <f t="shared" si="52"/>
        <v>1594120000</v>
      </c>
      <c r="U146">
        <f t="shared" si="53"/>
        <v>1134520000</v>
      </c>
      <c r="V146">
        <f t="shared" si="54"/>
        <v>320650000</v>
      </c>
      <c r="W146">
        <f t="shared" si="44"/>
        <v>5.9901699466777802E-10</v>
      </c>
      <c r="X146">
        <f t="shared" si="55"/>
        <v>1.0575604440401612E-2</v>
      </c>
    </row>
    <row r="147" spans="1:24">
      <c r="A147" s="21">
        <v>45425</v>
      </c>
      <c r="B147">
        <v>30.03</v>
      </c>
      <c r="C147" s="29">
        <f t="shared" si="41"/>
        <v>4.683840749414539E-3</v>
      </c>
      <c r="D147">
        <f t="shared" si="45"/>
        <v>2.3612852209094821E-2</v>
      </c>
      <c r="E147">
        <v>30.35</v>
      </c>
      <c r="F147">
        <v>29.41</v>
      </c>
      <c r="G147">
        <f t="shared" si="46"/>
        <v>3.1459170013386918E-2</v>
      </c>
      <c r="H147">
        <v>30</v>
      </c>
      <c r="I147">
        <v>29.99</v>
      </c>
      <c r="J147">
        <f t="shared" si="47"/>
        <v>3.3338889814974376E-4</v>
      </c>
      <c r="K147">
        <v>3001478</v>
      </c>
      <c r="L147">
        <f t="shared" si="48"/>
        <v>367350000</v>
      </c>
      <c r="M147">
        <f t="shared" si="42"/>
        <v>90134384.340000004</v>
      </c>
      <c r="N147">
        <f t="shared" si="49"/>
        <v>113870000</v>
      </c>
      <c r="O147">
        <f t="shared" si="43"/>
        <v>2.6358812681127601E-2</v>
      </c>
      <c r="P147">
        <v>73799.11</v>
      </c>
      <c r="Q147" s="8">
        <v>0.21590000000000001</v>
      </c>
      <c r="R147">
        <f t="shared" si="50"/>
        <v>30319780000</v>
      </c>
      <c r="S147">
        <f t="shared" si="51"/>
        <v>2209750000</v>
      </c>
      <c r="T147">
        <f t="shared" si="52"/>
        <v>1594120000</v>
      </c>
      <c r="U147">
        <f t="shared" si="53"/>
        <v>1134520000</v>
      </c>
      <c r="V147">
        <f t="shared" si="54"/>
        <v>320650000</v>
      </c>
      <c r="W147">
        <f t="shared" si="44"/>
        <v>5.1965082845037368E-11</v>
      </c>
      <c r="X147">
        <f t="shared" si="55"/>
        <v>1.0575604440401612E-2</v>
      </c>
    </row>
    <row r="148" spans="1:24">
      <c r="A148" s="21">
        <v>45422</v>
      </c>
      <c r="B148">
        <v>29.89</v>
      </c>
      <c r="C148" s="29">
        <f t="shared" si="41"/>
        <v>3.4972299168975124E-2</v>
      </c>
      <c r="D148">
        <f t="shared" si="45"/>
        <v>2.3612852209094821E-2</v>
      </c>
      <c r="E148">
        <v>30</v>
      </c>
      <c r="F148">
        <v>28.8</v>
      </c>
      <c r="G148">
        <f t="shared" si="46"/>
        <v>4.0816326530612221E-2</v>
      </c>
      <c r="H148">
        <v>29.95</v>
      </c>
      <c r="I148">
        <v>29.85</v>
      </c>
      <c r="J148">
        <f t="shared" si="47"/>
        <v>3.3444816053510994E-3</v>
      </c>
      <c r="K148">
        <v>3966075</v>
      </c>
      <c r="L148">
        <f t="shared" si="48"/>
        <v>367350000</v>
      </c>
      <c r="M148">
        <f t="shared" si="42"/>
        <v>118545981.75</v>
      </c>
      <c r="N148">
        <f t="shared" si="49"/>
        <v>113870000</v>
      </c>
      <c r="O148">
        <f t="shared" si="43"/>
        <v>3.4829849828752084E-2</v>
      </c>
      <c r="P148">
        <v>73085.5</v>
      </c>
      <c r="Q148" s="8">
        <v>0.21590000000000001</v>
      </c>
      <c r="R148">
        <f t="shared" si="50"/>
        <v>30319780000</v>
      </c>
      <c r="S148">
        <f t="shared" si="51"/>
        <v>2209750000</v>
      </c>
      <c r="T148">
        <f t="shared" si="52"/>
        <v>1594120000</v>
      </c>
      <c r="U148">
        <f t="shared" si="53"/>
        <v>1134520000</v>
      </c>
      <c r="V148">
        <f t="shared" si="54"/>
        <v>320650000</v>
      </c>
      <c r="W148">
        <f t="shared" si="44"/>
        <v>2.9501041412544653E-10</v>
      </c>
      <c r="X148">
        <f t="shared" si="55"/>
        <v>1.0575604440401612E-2</v>
      </c>
    </row>
    <row r="149" spans="1:24">
      <c r="A149" s="21">
        <v>45421</v>
      </c>
      <c r="B149">
        <v>28.88</v>
      </c>
      <c r="C149" s="29">
        <f t="shared" si="41"/>
        <v>5.5710306406685289E-3</v>
      </c>
      <c r="D149">
        <f t="shared" si="45"/>
        <v>2.3612852209094821E-2</v>
      </c>
      <c r="E149">
        <v>29.4</v>
      </c>
      <c r="F149">
        <v>28.2</v>
      </c>
      <c r="G149">
        <f t="shared" si="46"/>
        <v>4.1666666666666644E-2</v>
      </c>
      <c r="H149">
        <v>28.96</v>
      </c>
      <c r="I149">
        <v>28.9</v>
      </c>
      <c r="J149">
        <f t="shared" si="47"/>
        <v>2.0739716557207836E-3</v>
      </c>
      <c r="K149">
        <v>4060415</v>
      </c>
      <c r="L149">
        <f t="shared" si="48"/>
        <v>367350000</v>
      </c>
      <c r="M149">
        <f t="shared" si="42"/>
        <v>117264785.2</v>
      </c>
      <c r="N149">
        <f t="shared" si="49"/>
        <v>113870000</v>
      </c>
      <c r="O149">
        <f t="shared" si="43"/>
        <v>3.5658338456134191E-2</v>
      </c>
      <c r="P149">
        <v>72658.05</v>
      </c>
      <c r="Q149" s="8">
        <v>0.21590000000000001</v>
      </c>
      <c r="R149">
        <f t="shared" si="50"/>
        <v>30319780000</v>
      </c>
      <c r="S149">
        <f t="shared" si="51"/>
        <v>2209750000</v>
      </c>
      <c r="T149">
        <f t="shared" si="52"/>
        <v>1594120000</v>
      </c>
      <c r="U149">
        <f t="shared" si="53"/>
        <v>1134520000</v>
      </c>
      <c r="V149">
        <f t="shared" si="54"/>
        <v>320650000</v>
      </c>
      <c r="W149">
        <f t="shared" si="44"/>
        <v>4.7508129837673798E-11</v>
      </c>
      <c r="X149">
        <f t="shared" si="55"/>
        <v>1.0575604440401612E-2</v>
      </c>
    </row>
    <row r="150" spans="1:24">
      <c r="A150" s="21">
        <v>45420</v>
      </c>
      <c r="B150">
        <v>28.72</v>
      </c>
      <c r="C150" s="29">
        <f t="shared" si="41"/>
        <v>-2.4313997915943134E-3</v>
      </c>
      <c r="D150">
        <f t="shared" si="45"/>
        <v>2.3612852209094821E-2</v>
      </c>
      <c r="E150">
        <v>30.24</v>
      </c>
      <c r="F150">
        <v>28.5</v>
      </c>
      <c r="G150">
        <f t="shared" si="46"/>
        <v>5.9244126659856948E-2</v>
      </c>
      <c r="H150">
        <v>28.69</v>
      </c>
      <c r="I150">
        <v>28.6</v>
      </c>
      <c r="J150">
        <f t="shared" si="47"/>
        <v>3.1419095828242225E-3</v>
      </c>
      <c r="K150">
        <v>2540380</v>
      </c>
      <c r="L150">
        <f t="shared" si="48"/>
        <v>367350000</v>
      </c>
      <c r="M150">
        <f t="shared" si="42"/>
        <v>72959713.599999994</v>
      </c>
      <c r="N150">
        <f t="shared" si="49"/>
        <v>113870000</v>
      </c>
      <c r="O150">
        <f t="shared" si="43"/>
        <v>2.2309475717923948E-2</v>
      </c>
      <c r="P150">
        <v>72601.820000000007</v>
      </c>
      <c r="Q150" s="8">
        <v>0.21590000000000001</v>
      </c>
      <c r="R150">
        <f t="shared" si="50"/>
        <v>30319780000</v>
      </c>
      <c r="S150">
        <f t="shared" si="51"/>
        <v>2209750000</v>
      </c>
      <c r="T150">
        <f t="shared" si="52"/>
        <v>1594120000</v>
      </c>
      <c r="U150">
        <f t="shared" si="53"/>
        <v>1134520000</v>
      </c>
      <c r="V150">
        <f t="shared" si="54"/>
        <v>320650000</v>
      </c>
      <c r="W150">
        <f t="shared" si="44"/>
        <v>3.3325237608859169E-11</v>
      </c>
      <c r="X150">
        <f t="shared" si="55"/>
        <v>1.0575604440401612E-2</v>
      </c>
    </row>
    <row r="151" spans="1:24">
      <c r="A151" s="21">
        <v>45419</v>
      </c>
      <c r="B151">
        <v>28.79</v>
      </c>
      <c r="C151" s="29">
        <f t="shared" si="41"/>
        <v>-3.1292059219380879E-2</v>
      </c>
      <c r="D151">
        <f t="shared" si="45"/>
        <v>2.3612852209094821E-2</v>
      </c>
      <c r="E151">
        <v>29.89</v>
      </c>
      <c r="F151">
        <v>28.65</v>
      </c>
      <c r="G151">
        <f t="shared" si="46"/>
        <v>4.2364195421933787E-2</v>
      </c>
      <c r="H151">
        <v>28.89</v>
      </c>
      <c r="I151">
        <v>28.85</v>
      </c>
      <c r="J151">
        <f t="shared" si="47"/>
        <v>1.3855213023899946E-3</v>
      </c>
      <c r="K151">
        <v>2117800</v>
      </c>
      <c r="L151">
        <f t="shared" si="48"/>
        <v>367350000</v>
      </c>
      <c r="M151">
        <f t="shared" si="42"/>
        <v>60971462</v>
      </c>
      <c r="N151">
        <f t="shared" si="49"/>
        <v>113870000</v>
      </c>
      <c r="O151">
        <f t="shared" si="43"/>
        <v>1.859840168613331E-2</v>
      </c>
      <c r="P151">
        <v>72761.2</v>
      </c>
      <c r="Q151" s="8">
        <v>0.21590000000000001</v>
      </c>
      <c r="R151">
        <f t="shared" si="50"/>
        <v>30319780000</v>
      </c>
      <c r="S151">
        <f t="shared" si="51"/>
        <v>2209750000</v>
      </c>
      <c r="T151">
        <f t="shared" si="52"/>
        <v>1594120000</v>
      </c>
      <c r="U151">
        <f t="shared" si="53"/>
        <v>1134520000</v>
      </c>
      <c r="V151">
        <f t="shared" si="54"/>
        <v>320650000</v>
      </c>
      <c r="W151">
        <f t="shared" si="44"/>
        <v>5.132246823830611E-10</v>
      </c>
      <c r="X151">
        <f t="shared" si="55"/>
        <v>1.0575604440401612E-2</v>
      </c>
    </row>
    <row r="152" spans="1:24">
      <c r="A152" s="21">
        <v>45418</v>
      </c>
      <c r="B152">
        <v>29.72</v>
      </c>
      <c r="C152" s="29">
        <f t="shared" si="41"/>
        <v>3.2661570535093734E-2</v>
      </c>
      <c r="D152">
        <f t="shared" si="45"/>
        <v>2.3612852209094821E-2</v>
      </c>
      <c r="E152">
        <v>30.94</v>
      </c>
      <c r="F152">
        <v>29.55</v>
      </c>
      <c r="G152">
        <f t="shared" si="46"/>
        <v>4.5958009588361728E-2</v>
      </c>
      <c r="H152">
        <v>29.7</v>
      </c>
      <c r="I152">
        <v>29.69</v>
      </c>
      <c r="J152">
        <f t="shared" si="47"/>
        <v>3.3675702980293012E-4</v>
      </c>
      <c r="K152">
        <v>6873998</v>
      </c>
      <c r="L152">
        <f t="shared" si="48"/>
        <v>367350000</v>
      </c>
      <c r="M152">
        <f t="shared" si="42"/>
        <v>204295220.56</v>
      </c>
      <c r="N152">
        <f t="shared" si="49"/>
        <v>113870000</v>
      </c>
      <c r="O152">
        <f t="shared" si="43"/>
        <v>6.0367067708790724E-2</v>
      </c>
      <c r="P152">
        <v>72764.240000000005</v>
      </c>
      <c r="Q152" s="8">
        <v>0.21590000000000001</v>
      </c>
      <c r="R152">
        <f t="shared" si="50"/>
        <v>30319780000</v>
      </c>
      <c r="S152">
        <f t="shared" si="51"/>
        <v>2209750000</v>
      </c>
      <c r="T152">
        <f t="shared" si="52"/>
        <v>1594120000</v>
      </c>
      <c r="U152">
        <f t="shared" si="53"/>
        <v>1134520000</v>
      </c>
      <c r="V152">
        <f t="shared" si="54"/>
        <v>320650000</v>
      </c>
      <c r="W152">
        <f t="shared" si="44"/>
        <v>1.5987437418048294E-10</v>
      </c>
      <c r="X152">
        <f t="shared" si="55"/>
        <v>1.0575604440401612E-2</v>
      </c>
    </row>
    <row r="153" spans="1:24">
      <c r="A153" s="21">
        <v>45415</v>
      </c>
      <c r="B153">
        <v>28.78</v>
      </c>
      <c r="C153" s="29">
        <f t="shared" si="41"/>
        <v>7.5084049308927966E-2</v>
      </c>
      <c r="D153">
        <f t="shared" si="45"/>
        <v>2.3612852209094821E-2</v>
      </c>
      <c r="E153">
        <v>28.78</v>
      </c>
      <c r="F153">
        <v>27</v>
      </c>
      <c r="G153">
        <f t="shared" si="46"/>
        <v>6.3822158479741889E-2</v>
      </c>
      <c r="I153">
        <v>28.78</v>
      </c>
      <c r="J153">
        <f>(H153-I153)/AVERAGE(H153,I153)</f>
        <v>-1</v>
      </c>
      <c r="K153">
        <v>3664296</v>
      </c>
      <c r="L153">
        <f t="shared" si="48"/>
        <v>367350000</v>
      </c>
      <c r="M153">
        <f t="shared" si="42"/>
        <v>105458438.88000001</v>
      </c>
      <c r="N153">
        <f t="shared" si="49"/>
        <v>113870000</v>
      </c>
      <c r="O153">
        <f t="shared" si="43"/>
        <v>3.2179643453060507E-2</v>
      </c>
      <c r="P153">
        <v>71902.09</v>
      </c>
      <c r="Q153" s="8">
        <v>0.21590000000000001</v>
      </c>
      <c r="R153">
        <f t="shared" si="50"/>
        <v>30319780000</v>
      </c>
      <c r="S153">
        <f t="shared" si="51"/>
        <v>2209750000</v>
      </c>
      <c r="T153">
        <f t="shared" si="52"/>
        <v>1594120000</v>
      </c>
      <c r="U153">
        <f t="shared" si="53"/>
        <v>1134520000</v>
      </c>
      <c r="V153">
        <f t="shared" si="54"/>
        <v>320650000</v>
      </c>
      <c r="W153">
        <f t="shared" si="44"/>
        <v>7.1197762935183662E-10</v>
      </c>
      <c r="X153">
        <f t="shared" si="55"/>
        <v>1.0575604440401612E-2</v>
      </c>
    </row>
    <row r="154" spans="1:24">
      <c r="A154" s="21">
        <v>45414</v>
      </c>
      <c r="B154">
        <v>26.77</v>
      </c>
      <c r="C154" s="29">
        <f t="shared" si="41"/>
        <v>2.7639155470249477E-2</v>
      </c>
      <c r="D154">
        <f t="shared" si="45"/>
        <v>2.3612852209094821E-2</v>
      </c>
      <c r="E154">
        <v>26.95</v>
      </c>
      <c r="F154">
        <v>26.07</v>
      </c>
      <c r="G154">
        <f t="shared" si="46"/>
        <v>3.3195020746887932E-2</v>
      </c>
      <c r="H154">
        <v>26.92</v>
      </c>
      <c r="I154">
        <v>26.86</v>
      </c>
      <c r="J154">
        <f t="shared" si="47"/>
        <v>2.2313127556713376E-3</v>
      </c>
      <c r="K154">
        <v>1541625</v>
      </c>
      <c r="L154">
        <f t="shared" si="48"/>
        <v>367350000</v>
      </c>
      <c r="M154">
        <f t="shared" si="42"/>
        <v>41269301.25</v>
      </c>
      <c r="N154">
        <f t="shared" si="49"/>
        <v>113870000</v>
      </c>
      <c r="O154">
        <f t="shared" si="43"/>
        <v>1.3538464916132432E-2</v>
      </c>
      <c r="P154">
        <v>70657.64</v>
      </c>
      <c r="Q154" s="8">
        <v>0.21590000000000001</v>
      </c>
      <c r="R154">
        <f t="shared" si="50"/>
        <v>30319780000</v>
      </c>
      <c r="S154">
        <f t="shared" si="51"/>
        <v>2209750000</v>
      </c>
      <c r="T154">
        <f t="shared" si="52"/>
        <v>1594120000</v>
      </c>
      <c r="U154">
        <f t="shared" si="53"/>
        <v>1134520000</v>
      </c>
      <c r="V154">
        <f t="shared" si="54"/>
        <v>320650000</v>
      </c>
      <c r="W154">
        <f t="shared" si="44"/>
        <v>6.6972676137203741E-10</v>
      </c>
      <c r="X154">
        <f t="shared" si="55"/>
        <v>1.0575604440401612E-2</v>
      </c>
    </row>
    <row r="155" spans="1:24">
      <c r="A155" s="21">
        <v>45412</v>
      </c>
      <c r="B155">
        <v>26.05</v>
      </c>
      <c r="C155" s="29">
        <f t="shared" si="41"/>
        <v>0</v>
      </c>
      <c r="D155">
        <f t="shared" si="45"/>
        <v>2.3612852209094821E-2</v>
      </c>
      <c r="E155">
        <v>26.35</v>
      </c>
      <c r="F155">
        <v>25.76</v>
      </c>
      <c r="G155">
        <f t="shared" si="46"/>
        <v>2.2644406064095179E-2</v>
      </c>
      <c r="H155">
        <v>26.08</v>
      </c>
      <c r="I155">
        <v>26.05</v>
      </c>
      <c r="J155">
        <f t="shared" si="47"/>
        <v>1.150968732016021E-3</v>
      </c>
      <c r="K155">
        <v>894078</v>
      </c>
      <c r="L155">
        <f t="shared" si="48"/>
        <v>367350000</v>
      </c>
      <c r="M155">
        <f t="shared" si="42"/>
        <v>23290731.900000002</v>
      </c>
      <c r="N155">
        <f t="shared" si="49"/>
        <v>113870000</v>
      </c>
      <c r="O155">
        <f t="shared" si="43"/>
        <v>7.8517432159480108E-3</v>
      </c>
      <c r="P155">
        <v>71102.55</v>
      </c>
      <c r="Q155" s="8">
        <v>0.21590000000000001</v>
      </c>
      <c r="R155">
        <f t="shared" si="50"/>
        <v>30319780000</v>
      </c>
      <c r="S155">
        <f t="shared" si="51"/>
        <v>2209750000</v>
      </c>
      <c r="T155">
        <f t="shared" si="52"/>
        <v>1594120000</v>
      </c>
      <c r="U155">
        <f t="shared" si="53"/>
        <v>1134520000</v>
      </c>
      <c r="V155">
        <f t="shared" si="54"/>
        <v>320650000</v>
      </c>
      <c r="W155">
        <f t="shared" si="44"/>
        <v>0</v>
      </c>
      <c r="X155">
        <f t="shared" si="55"/>
        <v>1.0575604440401612E-2</v>
      </c>
    </row>
    <row r="156" spans="1:24">
      <c r="A156" s="21">
        <v>45411</v>
      </c>
      <c r="B156">
        <v>26.05</v>
      </c>
      <c r="C156" s="29">
        <f t="shared" si="41"/>
        <v>-2.7622247107129468E-2</v>
      </c>
      <c r="D156">
        <f t="shared" si="45"/>
        <v>2.3612852209094821E-2</v>
      </c>
      <c r="E156">
        <v>27.6</v>
      </c>
      <c r="F156">
        <v>25.5</v>
      </c>
      <c r="G156">
        <f t="shared" si="46"/>
        <v>7.9096045197740161E-2</v>
      </c>
      <c r="H156">
        <v>26.16</v>
      </c>
      <c r="I156">
        <v>26.15</v>
      </c>
      <c r="J156">
        <f t="shared" si="47"/>
        <v>3.8233607340858584E-4</v>
      </c>
      <c r="K156">
        <v>6353469</v>
      </c>
      <c r="L156">
        <f t="shared" si="48"/>
        <v>367350000</v>
      </c>
      <c r="M156">
        <f t="shared" si="42"/>
        <v>165507867.45000002</v>
      </c>
      <c r="N156">
        <f t="shared" si="49"/>
        <v>113870000</v>
      </c>
      <c r="O156">
        <f t="shared" si="43"/>
        <v>5.5795811012558177E-2</v>
      </c>
      <c r="P156">
        <v>71695.03</v>
      </c>
      <c r="Q156" s="8">
        <v>0.21640000000000001</v>
      </c>
      <c r="R156">
        <f t="shared" si="50"/>
        <v>30319780000</v>
      </c>
      <c r="S156">
        <f t="shared" si="51"/>
        <v>2209750000</v>
      </c>
      <c r="T156">
        <f t="shared" si="52"/>
        <v>1594120000</v>
      </c>
      <c r="U156">
        <f t="shared" si="53"/>
        <v>1134520000</v>
      </c>
      <c r="V156">
        <f t="shared" si="54"/>
        <v>320650000</v>
      </c>
      <c r="W156">
        <f t="shared" si="44"/>
        <v>1.6689386149860313E-10</v>
      </c>
      <c r="X156">
        <f t="shared" si="55"/>
        <v>1.0575604440401612E-2</v>
      </c>
    </row>
    <row r="157" spans="1:24">
      <c r="A157" s="21">
        <v>45408</v>
      </c>
      <c r="B157">
        <v>26.79</v>
      </c>
      <c r="C157" s="29">
        <f t="shared" si="41"/>
        <v>3.038461538461535E-2</v>
      </c>
      <c r="D157">
        <f t="shared" si="45"/>
        <v>2.3612852209094821E-2</v>
      </c>
      <c r="E157">
        <v>26.96</v>
      </c>
      <c r="F157">
        <v>25.81</v>
      </c>
      <c r="G157">
        <f t="shared" si="46"/>
        <v>4.3585370475649129E-2</v>
      </c>
      <c r="H157">
        <v>26.7</v>
      </c>
      <c r="I157">
        <v>26.66</v>
      </c>
      <c r="J157">
        <f t="shared" si="47"/>
        <v>1.4992503748125618E-3</v>
      </c>
      <c r="K157">
        <v>2307358</v>
      </c>
      <c r="L157">
        <f t="shared" si="48"/>
        <v>367350000</v>
      </c>
      <c r="M157">
        <f t="shared" si="42"/>
        <v>61814120.82</v>
      </c>
      <c r="N157">
        <f t="shared" si="49"/>
        <v>113870000</v>
      </c>
      <c r="O157">
        <f t="shared" si="43"/>
        <v>2.0263089488012646E-2</v>
      </c>
      <c r="P157">
        <v>72742.75</v>
      </c>
      <c r="Q157" s="8">
        <v>0.21640000000000001</v>
      </c>
      <c r="R157">
        <f t="shared" si="50"/>
        <v>30319780000</v>
      </c>
      <c r="S157">
        <f t="shared" si="51"/>
        <v>2209750000</v>
      </c>
      <c r="T157">
        <f t="shared" si="52"/>
        <v>1594120000</v>
      </c>
      <c r="U157">
        <f t="shared" si="53"/>
        <v>1134520000</v>
      </c>
      <c r="V157">
        <f t="shared" si="54"/>
        <v>320650000</v>
      </c>
      <c r="W157">
        <f t="shared" si="44"/>
        <v>4.9154812818731193E-10</v>
      </c>
      <c r="X157">
        <f t="shared" si="55"/>
        <v>1.0575604440401612E-2</v>
      </c>
    </row>
    <row r="158" spans="1:24">
      <c r="A158" s="21">
        <v>45407</v>
      </c>
      <c r="B158">
        <v>26</v>
      </c>
      <c r="C158" s="29">
        <f t="shared" si="41"/>
        <v>5.4137664346481269E-3</v>
      </c>
      <c r="D158">
        <f t="shared" si="45"/>
        <v>2.3612852209094821E-2</v>
      </c>
      <c r="E158">
        <v>26.19</v>
      </c>
      <c r="F158">
        <v>25.52</v>
      </c>
      <c r="G158">
        <f t="shared" si="46"/>
        <v>2.5913749758267324E-2</v>
      </c>
      <c r="H158">
        <v>26.04</v>
      </c>
      <c r="I158">
        <v>25.95</v>
      </c>
      <c r="J158">
        <f t="shared" si="47"/>
        <v>3.4622042700519278E-3</v>
      </c>
      <c r="K158">
        <v>930289</v>
      </c>
      <c r="L158">
        <f t="shared" si="48"/>
        <v>367350000</v>
      </c>
      <c r="M158">
        <f t="shared" si="42"/>
        <v>24187514</v>
      </c>
      <c r="N158">
        <f t="shared" si="49"/>
        <v>113870000</v>
      </c>
      <c r="O158">
        <f t="shared" si="43"/>
        <v>8.1697462018090802E-3</v>
      </c>
      <c r="P158">
        <v>71971.399999999994</v>
      </c>
      <c r="Q158" s="8">
        <v>0.21640000000000001</v>
      </c>
      <c r="R158">
        <f t="shared" si="50"/>
        <v>30319780000</v>
      </c>
      <c r="S158">
        <f t="shared" si="51"/>
        <v>2209750000</v>
      </c>
      <c r="T158">
        <f t="shared" si="52"/>
        <v>1594120000</v>
      </c>
      <c r="U158">
        <f t="shared" si="53"/>
        <v>1134520000</v>
      </c>
      <c r="V158">
        <f t="shared" si="54"/>
        <v>320650000</v>
      </c>
      <c r="W158">
        <f t="shared" si="44"/>
        <v>2.238248393219794E-10</v>
      </c>
      <c r="X158">
        <f t="shared" si="55"/>
        <v>1.0575604440401612E-2</v>
      </c>
    </row>
    <row r="159" spans="1:24">
      <c r="A159" s="21">
        <v>45406</v>
      </c>
      <c r="B159">
        <v>25.86</v>
      </c>
      <c r="C159" s="29">
        <f t="shared" si="41"/>
        <v>-3.4682080924855439E-3</v>
      </c>
      <c r="D159">
        <f t="shared" si="45"/>
        <v>2.3612852209094821E-2</v>
      </c>
      <c r="E159">
        <v>26.44</v>
      </c>
      <c r="F159">
        <v>25.75</v>
      </c>
      <c r="G159">
        <f t="shared" si="46"/>
        <v>2.6441847097145098E-2</v>
      </c>
      <c r="H159">
        <v>26</v>
      </c>
      <c r="I159">
        <v>25.85</v>
      </c>
      <c r="J159">
        <f t="shared" si="47"/>
        <v>5.785920925747293E-3</v>
      </c>
      <c r="K159">
        <v>714394</v>
      </c>
      <c r="L159">
        <f t="shared" si="48"/>
        <v>367350000</v>
      </c>
      <c r="M159">
        <f t="shared" si="42"/>
        <v>18474228.84</v>
      </c>
      <c r="N159">
        <f t="shared" si="49"/>
        <v>113870000</v>
      </c>
      <c r="O159">
        <f t="shared" si="43"/>
        <v>6.2737683323087733E-3</v>
      </c>
      <c r="P159">
        <v>72051.89</v>
      </c>
      <c r="Q159" s="8">
        <v>0.21640000000000001</v>
      </c>
      <c r="R159">
        <f t="shared" si="50"/>
        <v>30319780000</v>
      </c>
      <c r="S159">
        <f t="shared" si="51"/>
        <v>2209750000</v>
      </c>
      <c r="T159">
        <f t="shared" si="52"/>
        <v>1594120000</v>
      </c>
      <c r="U159">
        <f t="shared" si="53"/>
        <v>1134520000</v>
      </c>
      <c r="V159">
        <f t="shared" si="54"/>
        <v>320650000</v>
      </c>
      <c r="W159">
        <f t="shared" si="44"/>
        <v>1.8773222538936267E-10</v>
      </c>
      <c r="X159">
        <f t="shared" si="55"/>
        <v>1.0575604440401612E-2</v>
      </c>
    </row>
    <row r="160" spans="1:24">
      <c r="A160" s="21">
        <v>45405</v>
      </c>
      <c r="B160">
        <v>25.95</v>
      </c>
      <c r="C160" s="29">
        <f t="shared" si="41"/>
        <v>-2.4069198946972566E-2</v>
      </c>
      <c r="D160">
        <f t="shared" si="45"/>
        <v>2.3612852209094821E-2</v>
      </c>
      <c r="E160">
        <v>26.6</v>
      </c>
      <c r="F160">
        <v>25.9</v>
      </c>
      <c r="G160">
        <f t="shared" si="46"/>
        <v>2.6666666666666776E-2</v>
      </c>
      <c r="H160">
        <v>25.97</v>
      </c>
      <c r="I160">
        <v>25.93</v>
      </c>
      <c r="J160">
        <f t="shared" si="47"/>
        <v>1.5414258188824336E-3</v>
      </c>
      <c r="K160">
        <v>1122190</v>
      </c>
      <c r="L160">
        <f t="shared" si="48"/>
        <v>367350000</v>
      </c>
      <c r="M160">
        <f t="shared" si="42"/>
        <v>29120830.5</v>
      </c>
      <c r="N160">
        <f t="shared" si="49"/>
        <v>113870000</v>
      </c>
      <c r="O160">
        <f t="shared" si="43"/>
        <v>9.855010099235971E-3</v>
      </c>
      <c r="P160">
        <v>71359.41</v>
      </c>
      <c r="Q160" s="8">
        <v>0.21640000000000001</v>
      </c>
      <c r="R160">
        <f t="shared" si="50"/>
        <v>30319780000</v>
      </c>
      <c r="S160">
        <f t="shared" si="51"/>
        <v>2209750000</v>
      </c>
      <c r="T160">
        <f t="shared" si="52"/>
        <v>1594120000</v>
      </c>
      <c r="U160">
        <f t="shared" si="53"/>
        <v>1134520000</v>
      </c>
      <c r="V160">
        <f t="shared" si="54"/>
        <v>320650000</v>
      </c>
      <c r="W160">
        <f t="shared" si="44"/>
        <v>8.265285891133004E-10</v>
      </c>
      <c r="X160">
        <f t="shared" si="55"/>
        <v>1.0575604440401612E-2</v>
      </c>
    </row>
    <row r="161" spans="1:24">
      <c r="A161" s="21">
        <v>45404</v>
      </c>
      <c r="B161">
        <v>26.59</v>
      </c>
      <c r="C161" s="29">
        <f t="shared" si="41"/>
        <v>9.1081593927893143E-3</v>
      </c>
      <c r="D161">
        <f t="shared" si="45"/>
        <v>2.3612852209094821E-2</v>
      </c>
      <c r="E161">
        <v>26.79</v>
      </c>
      <c r="F161">
        <v>26.41</v>
      </c>
      <c r="G161">
        <f t="shared" si="46"/>
        <v>1.4285714285714247E-2</v>
      </c>
      <c r="H161">
        <v>26.59</v>
      </c>
      <c r="I161">
        <v>26.48</v>
      </c>
      <c r="J161">
        <f t="shared" si="47"/>
        <v>4.1454682494817948E-3</v>
      </c>
      <c r="K161">
        <v>806033</v>
      </c>
      <c r="L161">
        <f t="shared" si="48"/>
        <v>367350000</v>
      </c>
      <c r="M161">
        <f t="shared" si="42"/>
        <v>21432417.469999999</v>
      </c>
      <c r="N161">
        <f t="shared" si="49"/>
        <v>113870000</v>
      </c>
      <c r="O161">
        <f t="shared" si="43"/>
        <v>7.0785369280758764E-3</v>
      </c>
      <c r="P161">
        <v>71433.460000000006</v>
      </c>
      <c r="Q161" s="8">
        <v>0.21640000000000001</v>
      </c>
      <c r="R161">
        <f t="shared" si="50"/>
        <v>30319780000</v>
      </c>
      <c r="S161">
        <f t="shared" si="51"/>
        <v>2209750000</v>
      </c>
      <c r="T161">
        <f t="shared" si="52"/>
        <v>1594120000</v>
      </c>
      <c r="U161">
        <f t="shared" si="53"/>
        <v>1134520000</v>
      </c>
      <c r="V161">
        <f t="shared" si="54"/>
        <v>320650000</v>
      </c>
      <c r="W161">
        <f t="shared" si="44"/>
        <v>4.2497116368409911E-10</v>
      </c>
      <c r="X161">
        <f t="shared" si="55"/>
        <v>1.0575604440401612E-2</v>
      </c>
    </row>
    <row r="162" spans="1:24">
      <c r="A162" s="21">
        <v>45401</v>
      </c>
      <c r="B162">
        <v>26.35</v>
      </c>
      <c r="C162" s="29">
        <f t="shared" si="41"/>
        <v>-1.8939393939392864E-3</v>
      </c>
      <c r="D162">
        <f t="shared" si="45"/>
        <v>2.3612852209094821E-2</v>
      </c>
      <c r="E162">
        <v>26.6</v>
      </c>
      <c r="F162">
        <v>26.2</v>
      </c>
      <c r="G162">
        <f t="shared" si="46"/>
        <v>1.5151515151515233E-2</v>
      </c>
      <c r="H162">
        <v>26.45</v>
      </c>
      <c r="I162">
        <v>26.37</v>
      </c>
      <c r="J162">
        <f t="shared" si="47"/>
        <v>3.0291556228700602E-3</v>
      </c>
      <c r="K162">
        <v>485597</v>
      </c>
      <c r="L162">
        <f t="shared" si="48"/>
        <v>367350000</v>
      </c>
      <c r="M162">
        <f t="shared" si="42"/>
        <v>12795480.950000001</v>
      </c>
      <c r="N162">
        <f t="shared" si="49"/>
        <v>113870000</v>
      </c>
      <c r="O162">
        <f t="shared" si="43"/>
        <v>4.2644858171599189E-3</v>
      </c>
      <c r="P162">
        <v>70909.899999999994</v>
      </c>
      <c r="Q162" s="8">
        <v>0.21640000000000001</v>
      </c>
      <c r="R162">
        <f t="shared" si="50"/>
        <v>30319780000</v>
      </c>
      <c r="S162">
        <f t="shared" si="51"/>
        <v>2209750000</v>
      </c>
      <c r="T162">
        <f t="shared" si="52"/>
        <v>1594120000</v>
      </c>
      <c r="U162">
        <f t="shared" si="53"/>
        <v>1134520000</v>
      </c>
      <c r="V162">
        <f t="shared" si="54"/>
        <v>320650000</v>
      </c>
      <c r="W162">
        <f t="shared" si="44"/>
        <v>1.4801627241211954E-10</v>
      </c>
      <c r="X162">
        <f t="shared" si="55"/>
        <v>1.0575604440401612E-2</v>
      </c>
    </row>
    <row r="163" spans="1:24">
      <c r="A163" s="21">
        <v>45400</v>
      </c>
      <c r="B163">
        <v>26.4</v>
      </c>
      <c r="C163" s="29">
        <f t="shared" si="41"/>
        <v>-4.524886877828092E-3</v>
      </c>
      <c r="D163">
        <f t="shared" si="45"/>
        <v>2.3612852209094821E-2</v>
      </c>
      <c r="E163">
        <v>26.9</v>
      </c>
      <c r="F163">
        <v>26.21</v>
      </c>
      <c r="G163">
        <f t="shared" si="46"/>
        <v>2.5983807192619009E-2</v>
      </c>
      <c r="H163">
        <v>26.44</v>
      </c>
      <c r="I163">
        <v>26.4</v>
      </c>
      <c r="J163">
        <f t="shared" si="47"/>
        <v>1.5140045420137282E-3</v>
      </c>
      <c r="K163">
        <v>259273</v>
      </c>
      <c r="L163">
        <f t="shared" si="48"/>
        <v>367350000</v>
      </c>
      <c r="M163">
        <f t="shared" si="42"/>
        <v>6844807.1999999993</v>
      </c>
      <c r="N163">
        <f t="shared" si="49"/>
        <v>113870000</v>
      </c>
      <c r="O163">
        <f t="shared" si="43"/>
        <v>2.276921050320541E-3</v>
      </c>
      <c r="P163">
        <v>70290.12</v>
      </c>
      <c r="Q163" s="8">
        <v>0.21640000000000001</v>
      </c>
      <c r="R163">
        <f t="shared" si="50"/>
        <v>30319780000</v>
      </c>
      <c r="S163">
        <f t="shared" si="51"/>
        <v>2209750000</v>
      </c>
      <c r="T163">
        <f t="shared" si="52"/>
        <v>1594120000</v>
      </c>
      <c r="U163">
        <f t="shared" si="53"/>
        <v>1134520000</v>
      </c>
      <c r="V163">
        <f t="shared" si="54"/>
        <v>320650000</v>
      </c>
      <c r="W163">
        <f t="shared" si="44"/>
        <v>6.6106856564609919E-10</v>
      </c>
      <c r="X163">
        <f t="shared" si="55"/>
        <v>1.0575604440401612E-2</v>
      </c>
    </row>
    <row r="164" spans="1:24">
      <c r="A164" s="21">
        <v>45399</v>
      </c>
      <c r="B164">
        <v>26.52</v>
      </c>
      <c r="C164" s="29">
        <f t="shared" si="41"/>
        <v>-1.4492753623188427E-2</v>
      </c>
      <c r="D164">
        <f t="shared" si="45"/>
        <v>2.3612852209094821E-2</v>
      </c>
      <c r="E164">
        <v>27.15</v>
      </c>
      <c r="F164">
        <v>26.46</v>
      </c>
      <c r="G164">
        <f t="shared" si="46"/>
        <v>2.5741466144375964E-2</v>
      </c>
      <c r="H164">
        <v>26.79</v>
      </c>
      <c r="I164">
        <v>26.61</v>
      </c>
      <c r="J164">
        <f t="shared" si="47"/>
        <v>6.7415730337078549E-3</v>
      </c>
      <c r="K164">
        <v>533902</v>
      </c>
      <c r="L164">
        <f t="shared" si="48"/>
        <v>367350000</v>
      </c>
      <c r="M164">
        <f t="shared" si="42"/>
        <v>14159081.039999999</v>
      </c>
      <c r="N164">
        <f t="shared" si="49"/>
        <v>113870000</v>
      </c>
      <c r="O164">
        <f t="shared" si="43"/>
        <v>4.6886976376569771E-3</v>
      </c>
      <c r="P164">
        <v>70333.320000000007</v>
      </c>
      <c r="Q164" s="8">
        <v>0.21640000000000001</v>
      </c>
      <c r="R164">
        <f t="shared" si="50"/>
        <v>30319780000</v>
      </c>
      <c r="S164">
        <f t="shared" si="51"/>
        <v>2209750000</v>
      </c>
      <c r="T164">
        <f t="shared" si="52"/>
        <v>1594120000</v>
      </c>
      <c r="U164">
        <f t="shared" si="53"/>
        <v>1134520000</v>
      </c>
      <c r="V164">
        <f t="shared" si="54"/>
        <v>320650000</v>
      </c>
      <c r="W164">
        <f t="shared" si="44"/>
        <v>1.0235659773572726E-9</v>
      </c>
      <c r="X164">
        <f t="shared" si="55"/>
        <v>1.0575604440401612E-2</v>
      </c>
    </row>
    <row r="165" spans="1:24">
      <c r="A165" s="21">
        <v>45398</v>
      </c>
      <c r="B165">
        <v>26.91</v>
      </c>
      <c r="C165" s="29">
        <f t="shared" si="41"/>
        <v>-1.3563049853372471E-2</v>
      </c>
      <c r="D165">
        <f t="shared" si="45"/>
        <v>2.3612852209094821E-2</v>
      </c>
      <c r="E165">
        <v>27.55</v>
      </c>
      <c r="F165">
        <v>26.66</v>
      </c>
      <c r="G165">
        <f t="shared" si="46"/>
        <v>3.2835270245342212E-2</v>
      </c>
      <c r="H165">
        <v>26.89</v>
      </c>
      <c r="I165">
        <v>26.74</v>
      </c>
      <c r="J165">
        <f t="shared" si="47"/>
        <v>5.5938840201380626E-3</v>
      </c>
      <c r="K165">
        <v>425376</v>
      </c>
      <c r="L165">
        <f t="shared" si="48"/>
        <v>367350000</v>
      </c>
      <c r="M165">
        <f t="shared" si="42"/>
        <v>11446868.16</v>
      </c>
      <c r="N165">
        <f t="shared" si="49"/>
        <v>113870000</v>
      </c>
      <c r="O165">
        <f t="shared" si="43"/>
        <v>3.7356283481162727E-3</v>
      </c>
      <c r="P165">
        <v>70483.66</v>
      </c>
      <c r="Q165" s="8">
        <v>0.216</v>
      </c>
      <c r="R165">
        <f t="shared" si="50"/>
        <v>30319780000</v>
      </c>
      <c r="S165">
        <f t="shared" si="51"/>
        <v>2209750000</v>
      </c>
      <c r="T165">
        <f t="shared" si="52"/>
        <v>1594120000</v>
      </c>
      <c r="U165">
        <f t="shared" si="53"/>
        <v>1134520000</v>
      </c>
      <c r="V165">
        <f t="shared" si="54"/>
        <v>320650000</v>
      </c>
      <c r="W165">
        <f t="shared" si="44"/>
        <v>1.1848699280705677E-9</v>
      </c>
      <c r="X165">
        <f t="shared" si="55"/>
        <v>1.0575604440401612E-2</v>
      </c>
    </row>
    <row r="166" spans="1:24">
      <c r="A166" s="21">
        <v>45397</v>
      </c>
      <c r="B166">
        <v>27.28</v>
      </c>
      <c r="C166" s="29">
        <f t="shared" si="41"/>
        <v>-4.3795620437955271E-3</v>
      </c>
      <c r="D166">
        <f t="shared" si="45"/>
        <v>2.3612852209094821E-2</v>
      </c>
      <c r="E166">
        <v>27.79</v>
      </c>
      <c r="F166">
        <v>26.71</v>
      </c>
      <c r="G166">
        <f t="shared" si="46"/>
        <v>3.9633027522935717E-2</v>
      </c>
      <c r="H166">
        <v>27.25</v>
      </c>
      <c r="I166">
        <v>27.22</v>
      </c>
      <c r="J166">
        <f t="shared" si="47"/>
        <v>1.1015237745548427E-3</v>
      </c>
      <c r="K166">
        <v>561526</v>
      </c>
      <c r="L166">
        <f t="shared" si="48"/>
        <v>367350000</v>
      </c>
      <c r="M166">
        <f t="shared" si="42"/>
        <v>15318429.280000001</v>
      </c>
      <c r="N166">
        <f t="shared" si="49"/>
        <v>113870000</v>
      </c>
      <c r="O166">
        <f t="shared" si="43"/>
        <v>4.931290067620971E-3</v>
      </c>
      <c r="P166">
        <v>70544.58</v>
      </c>
      <c r="Q166" s="8">
        <v>0.216</v>
      </c>
      <c r="R166">
        <f t="shared" si="50"/>
        <v>30319780000</v>
      </c>
      <c r="S166">
        <f t="shared" si="51"/>
        <v>2209750000</v>
      </c>
      <c r="T166">
        <f t="shared" si="52"/>
        <v>1594120000</v>
      </c>
      <c r="U166">
        <f t="shared" si="53"/>
        <v>1134520000</v>
      </c>
      <c r="V166">
        <f t="shared" si="54"/>
        <v>320650000</v>
      </c>
      <c r="W166">
        <f t="shared" si="44"/>
        <v>2.8590150881288836E-10</v>
      </c>
      <c r="X166">
        <f t="shared" si="55"/>
        <v>1.0575604440401612E-2</v>
      </c>
    </row>
    <row r="167" spans="1:24">
      <c r="A167" s="21">
        <v>45391</v>
      </c>
      <c r="B167">
        <v>27.4</v>
      </c>
      <c r="C167" s="29">
        <f t="shared" si="41"/>
        <v>-1.0115606936416227E-2</v>
      </c>
      <c r="D167">
        <f t="shared" si="45"/>
        <v>2.3612852209094821E-2</v>
      </c>
      <c r="E167">
        <v>28.35</v>
      </c>
      <c r="F167">
        <v>27.3</v>
      </c>
      <c r="G167">
        <f t="shared" si="46"/>
        <v>3.7735849056603793E-2</v>
      </c>
      <c r="H167">
        <v>27.42</v>
      </c>
      <c r="I167">
        <v>27.4</v>
      </c>
      <c r="J167">
        <f t="shared" si="47"/>
        <v>7.2966070777100058E-4</v>
      </c>
      <c r="K167">
        <v>765933</v>
      </c>
      <c r="L167">
        <f t="shared" si="48"/>
        <v>367350000</v>
      </c>
      <c r="M167">
        <f t="shared" si="42"/>
        <v>20986564.199999999</v>
      </c>
      <c r="N167">
        <f t="shared" si="49"/>
        <v>113870000</v>
      </c>
      <c r="O167">
        <f t="shared" si="43"/>
        <v>6.7263809607447092E-3</v>
      </c>
      <c r="P167">
        <v>70314.720000000001</v>
      </c>
      <c r="Q167" s="8">
        <v>0.216</v>
      </c>
      <c r="R167">
        <f t="shared" si="50"/>
        <v>30319780000</v>
      </c>
      <c r="S167">
        <f t="shared" si="51"/>
        <v>2209750000</v>
      </c>
      <c r="T167">
        <f t="shared" si="52"/>
        <v>1594120000</v>
      </c>
      <c r="U167">
        <f t="shared" si="53"/>
        <v>1134520000</v>
      </c>
      <c r="V167">
        <f t="shared" si="54"/>
        <v>320650000</v>
      </c>
      <c r="W167">
        <f t="shared" si="44"/>
        <v>4.8200395453088161E-10</v>
      </c>
      <c r="X167">
        <f t="shared" si="55"/>
        <v>1.0575604440401612E-2</v>
      </c>
    </row>
    <row r="168" spans="1:24">
      <c r="A168" s="21">
        <v>45390</v>
      </c>
      <c r="B168">
        <v>27.68</v>
      </c>
      <c r="C168" s="29">
        <f t="shared" si="41"/>
        <v>3.9039039039039006E-2</v>
      </c>
      <c r="D168">
        <f t="shared" si="45"/>
        <v>2.3612852209094821E-2</v>
      </c>
      <c r="E168">
        <v>27.9</v>
      </c>
      <c r="F168">
        <v>26.57</v>
      </c>
      <c r="G168">
        <f t="shared" si="46"/>
        <v>4.883422067192944E-2</v>
      </c>
      <c r="H168">
        <v>27.69</v>
      </c>
      <c r="I168">
        <v>27.51</v>
      </c>
      <c r="J168">
        <f t="shared" si="47"/>
        <v>6.5217391304347718E-3</v>
      </c>
      <c r="K168">
        <v>1475050</v>
      </c>
      <c r="L168">
        <f t="shared" si="48"/>
        <v>367350000</v>
      </c>
      <c r="M168">
        <f t="shared" si="42"/>
        <v>40829384</v>
      </c>
      <c r="N168">
        <f t="shared" si="49"/>
        <v>113870000</v>
      </c>
      <c r="O168">
        <f t="shared" si="43"/>
        <v>1.2953806972863791E-2</v>
      </c>
      <c r="P168">
        <v>69619.990000000005</v>
      </c>
      <c r="Q168" s="8">
        <v>0.216</v>
      </c>
      <c r="R168">
        <f t="shared" si="50"/>
        <v>30319780000</v>
      </c>
      <c r="S168">
        <f t="shared" si="51"/>
        <v>2209750000</v>
      </c>
      <c r="T168">
        <f t="shared" si="52"/>
        <v>1594120000</v>
      </c>
      <c r="U168">
        <f t="shared" si="53"/>
        <v>1134520000</v>
      </c>
      <c r="V168">
        <f t="shared" si="54"/>
        <v>320650000</v>
      </c>
      <c r="W168">
        <f t="shared" si="44"/>
        <v>9.5615057623791242E-10</v>
      </c>
      <c r="X168">
        <f t="shared" si="55"/>
        <v>1.0575604440401612E-2</v>
      </c>
    </row>
    <row r="169" spans="1:24">
      <c r="A169" s="21">
        <v>45386</v>
      </c>
      <c r="B169">
        <v>26.64</v>
      </c>
      <c r="C169" s="29">
        <f t="shared" si="41"/>
        <v>1.408450704225356E-2</v>
      </c>
      <c r="D169">
        <f t="shared" si="45"/>
        <v>2.3612852209094821E-2</v>
      </c>
      <c r="E169">
        <v>26.75</v>
      </c>
      <c r="F169">
        <v>26.1</v>
      </c>
      <c r="G169">
        <f t="shared" si="46"/>
        <v>2.4597918637653683E-2</v>
      </c>
      <c r="H169">
        <v>26.67</v>
      </c>
      <c r="I169">
        <v>26.6</v>
      </c>
      <c r="J169">
        <f t="shared" si="47"/>
        <v>2.6281208935611143E-3</v>
      </c>
      <c r="K169">
        <v>383676</v>
      </c>
      <c r="L169">
        <f t="shared" si="48"/>
        <v>367350000</v>
      </c>
      <c r="M169">
        <f t="shared" si="42"/>
        <v>10221128.640000001</v>
      </c>
      <c r="N169">
        <f t="shared" si="49"/>
        <v>113870000</v>
      </c>
      <c r="O169">
        <f t="shared" si="43"/>
        <v>3.3694212698691492E-3</v>
      </c>
      <c r="P169">
        <v>68416.78</v>
      </c>
      <c r="Q169" s="8">
        <v>0.216</v>
      </c>
      <c r="R169">
        <f t="shared" si="50"/>
        <v>30319780000</v>
      </c>
      <c r="S169">
        <f t="shared" si="51"/>
        <v>2209750000</v>
      </c>
      <c r="T169">
        <f t="shared" si="52"/>
        <v>1594120000</v>
      </c>
      <c r="U169">
        <f t="shared" si="53"/>
        <v>1134520000</v>
      </c>
      <c r="V169">
        <f t="shared" si="54"/>
        <v>320650000</v>
      </c>
      <c r="W169">
        <f t="shared" si="44"/>
        <v>1.3779796281140983E-9</v>
      </c>
      <c r="X169">
        <f t="shared" si="55"/>
        <v>1.0575604440401612E-2</v>
      </c>
    </row>
    <row r="170" spans="1:24">
      <c r="A170" s="21">
        <v>45385</v>
      </c>
      <c r="B170">
        <v>26.27</v>
      </c>
      <c r="C170" s="29">
        <f t="shared" si="41"/>
        <v>3.8080731150030503E-4</v>
      </c>
      <c r="D170">
        <f t="shared" si="45"/>
        <v>2.3612852209094821E-2</v>
      </c>
      <c r="E170">
        <v>26.56</v>
      </c>
      <c r="F170">
        <v>26.2</v>
      </c>
      <c r="G170">
        <f t="shared" si="46"/>
        <v>1.3646702047005285E-2</v>
      </c>
      <c r="H170">
        <v>26.32</v>
      </c>
      <c r="I170">
        <v>26.26</v>
      </c>
      <c r="J170">
        <f t="shared" si="47"/>
        <v>2.2822365918599742E-3</v>
      </c>
      <c r="K170">
        <v>252673</v>
      </c>
      <c r="L170">
        <f t="shared" si="48"/>
        <v>367350000</v>
      </c>
      <c r="M170">
        <f t="shared" si="42"/>
        <v>6637719.71</v>
      </c>
      <c r="N170">
        <f t="shared" si="49"/>
        <v>113870000</v>
      </c>
      <c r="O170">
        <f t="shared" si="43"/>
        <v>2.218960217792219E-3</v>
      </c>
      <c r="P170">
        <v>67756.039999999994</v>
      </c>
      <c r="Q170" s="8">
        <v>0.216</v>
      </c>
      <c r="R170">
        <f t="shared" si="50"/>
        <v>30319780000</v>
      </c>
      <c r="S170">
        <f t="shared" si="51"/>
        <v>2209750000</v>
      </c>
      <c r="T170">
        <f t="shared" si="52"/>
        <v>1594120000</v>
      </c>
      <c r="U170">
        <f t="shared" si="53"/>
        <v>1134520000</v>
      </c>
      <c r="V170">
        <f t="shared" si="54"/>
        <v>320650000</v>
      </c>
      <c r="W170">
        <f t="shared" si="44"/>
        <v>5.7370200631792723E-11</v>
      </c>
      <c r="X170">
        <f t="shared" si="55"/>
        <v>1.0575604440401612E-2</v>
      </c>
    </row>
    <row r="171" spans="1:24">
      <c r="A171" s="21">
        <v>45384</v>
      </c>
      <c r="B171">
        <v>26.26</v>
      </c>
      <c r="C171" s="29">
        <f t="shared" si="41"/>
        <v>2.2900763358779494E-3</v>
      </c>
      <c r="D171">
        <f t="shared" si="45"/>
        <v>2.3612852209094821E-2</v>
      </c>
      <c r="E171">
        <v>26.48</v>
      </c>
      <c r="F171">
        <v>26.02</v>
      </c>
      <c r="G171">
        <f t="shared" si="46"/>
        <v>1.7523809523809556E-2</v>
      </c>
      <c r="H171">
        <v>26.3</v>
      </c>
      <c r="I171">
        <v>26.25</v>
      </c>
      <c r="J171">
        <f t="shared" si="47"/>
        <v>1.9029495718363735E-3</v>
      </c>
      <c r="K171">
        <v>368764</v>
      </c>
      <c r="L171">
        <f t="shared" si="48"/>
        <v>367350000</v>
      </c>
      <c r="M171">
        <f t="shared" si="42"/>
        <v>9683742.6400000006</v>
      </c>
      <c r="N171">
        <f t="shared" si="49"/>
        <v>113870000</v>
      </c>
      <c r="O171">
        <f t="shared" si="43"/>
        <v>3.2384649161324316E-3</v>
      </c>
      <c r="P171">
        <v>66886.259999999995</v>
      </c>
      <c r="Q171" s="8">
        <v>0.216</v>
      </c>
      <c r="R171">
        <f t="shared" si="50"/>
        <v>30319780000</v>
      </c>
      <c r="S171">
        <f t="shared" si="51"/>
        <v>2209750000</v>
      </c>
      <c r="T171">
        <f t="shared" si="52"/>
        <v>1594120000</v>
      </c>
      <c r="U171">
        <f t="shared" si="53"/>
        <v>1134520000</v>
      </c>
      <c r="V171">
        <f t="shared" si="54"/>
        <v>320650000</v>
      </c>
      <c r="W171">
        <f t="shared" si="44"/>
        <v>2.3648669951414048E-10</v>
      </c>
      <c r="X171">
        <f t="shared" si="55"/>
        <v>1.0575604440401612E-2</v>
      </c>
    </row>
    <row r="172" spans="1:24">
      <c r="A172" s="21">
        <v>45383</v>
      </c>
      <c r="B172">
        <v>26.2</v>
      </c>
      <c r="C172" s="29">
        <f t="shared" si="41"/>
        <v>-3.8153376573832749E-4</v>
      </c>
      <c r="D172">
        <f t="shared" si="45"/>
        <v>2.3612852209094821E-2</v>
      </c>
      <c r="E172">
        <v>26.5</v>
      </c>
      <c r="F172">
        <v>26</v>
      </c>
      <c r="G172">
        <f t="shared" si="46"/>
        <v>1.9047619047619049E-2</v>
      </c>
      <c r="H172">
        <v>26.28</v>
      </c>
      <c r="I172">
        <v>26.12</v>
      </c>
      <c r="J172">
        <f t="shared" si="47"/>
        <v>6.1068702290076387E-3</v>
      </c>
      <c r="K172">
        <v>878987</v>
      </c>
      <c r="L172">
        <f t="shared" si="48"/>
        <v>367350000</v>
      </c>
      <c r="M172">
        <f t="shared" si="42"/>
        <v>23029459.399999999</v>
      </c>
      <c r="N172">
        <f t="shared" si="49"/>
        <v>113870000</v>
      </c>
      <c r="O172">
        <f t="shared" si="43"/>
        <v>7.7192148941775708E-3</v>
      </c>
      <c r="P172">
        <v>66796.320000000007</v>
      </c>
      <c r="Q172" s="8">
        <v>0.216</v>
      </c>
      <c r="R172">
        <f t="shared" si="50"/>
        <v>30319780000</v>
      </c>
      <c r="S172">
        <f t="shared" si="51"/>
        <v>2209750000</v>
      </c>
      <c r="T172">
        <f t="shared" si="52"/>
        <v>1594120000</v>
      </c>
      <c r="U172">
        <f t="shared" si="53"/>
        <v>1134520000</v>
      </c>
      <c r="V172">
        <f t="shared" si="54"/>
        <v>320650000</v>
      </c>
      <c r="W172">
        <f t="shared" si="44"/>
        <v>1.6567204601351932E-11</v>
      </c>
      <c r="X172">
        <f t="shared" si="55"/>
        <v>1.0575604440401612E-2</v>
      </c>
    </row>
    <row r="173" spans="1:24">
      <c r="A173" s="21">
        <v>45380</v>
      </c>
      <c r="B173">
        <v>26.21</v>
      </c>
      <c r="C173" s="29">
        <f t="shared" si="41"/>
        <v>-2.663622526636236E-3</v>
      </c>
      <c r="D173">
        <f t="shared" si="45"/>
        <v>2.3612852209094821E-2</v>
      </c>
      <c r="E173">
        <v>26.3</v>
      </c>
      <c r="F173">
        <v>26.05</v>
      </c>
      <c r="G173">
        <f t="shared" si="46"/>
        <v>9.5510983763132766E-3</v>
      </c>
      <c r="H173">
        <v>26.3</v>
      </c>
      <c r="I173">
        <v>26.25</v>
      </c>
      <c r="J173">
        <f t="shared" si="47"/>
        <v>1.9029495718363735E-3</v>
      </c>
      <c r="K173">
        <v>478996</v>
      </c>
      <c r="L173">
        <f t="shared" si="48"/>
        <v>367350000</v>
      </c>
      <c r="M173">
        <f t="shared" si="42"/>
        <v>12554485.16</v>
      </c>
      <c r="N173">
        <f t="shared" si="49"/>
        <v>113870000</v>
      </c>
      <c r="O173">
        <f t="shared" si="43"/>
        <v>4.2065162026872754E-3</v>
      </c>
      <c r="P173">
        <v>67005.11</v>
      </c>
      <c r="Q173" s="8">
        <v>0.216</v>
      </c>
      <c r="R173">
        <f t="shared" si="50"/>
        <v>30319780000</v>
      </c>
      <c r="S173">
        <f t="shared" si="51"/>
        <v>2209750000</v>
      </c>
      <c r="T173">
        <f t="shared" si="52"/>
        <v>1594120000</v>
      </c>
      <c r="U173">
        <f t="shared" si="53"/>
        <v>1134520000</v>
      </c>
      <c r="V173">
        <f t="shared" si="54"/>
        <v>320650000</v>
      </c>
      <c r="W173">
        <f t="shared" si="44"/>
        <v>2.1216501454976717E-10</v>
      </c>
      <c r="X173">
        <f t="shared" si="55"/>
        <v>1.0575604440401612E-2</v>
      </c>
    </row>
    <row r="174" spans="1:24">
      <c r="A174" s="21">
        <v>45379</v>
      </c>
      <c r="B174">
        <v>26.28</v>
      </c>
      <c r="C174" s="29">
        <f t="shared" si="41"/>
        <v>6.8965517241379197E-3</v>
      </c>
      <c r="D174">
        <f t="shared" si="45"/>
        <v>2.3612852209094821E-2</v>
      </c>
      <c r="E174">
        <v>26.4</v>
      </c>
      <c r="F174">
        <v>26</v>
      </c>
      <c r="G174">
        <f t="shared" si="46"/>
        <v>1.526717557251903E-2</v>
      </c>
      <c r="H174">
        <v>26.29</v>
      </c>
      <c r="I174">
        <v>26.2</v>
      </c>
      <c r="J174">
        <f t="shared" si="47"/>
        <v>3.429224614212226E-3</v>
      </c>
      <c r="K174">
        <v>802800</v>
      </c>
      <c r="L174">
        <f t="shared" si="48"/>
        <v>367350000</v>
      </c>
      <c r="M174">
        <f t="shared" si="42"/>
        <v>21097584</v>
      </c>
      <c r="N174">
        <f t="shared" si="49"/>
        <v>113870000</v>
      </c>
      <c r="O174">
        <f t="shared" si="43"/>
        <v>7.0501449020813206E-3</v>
      </c>
      <c r="P174">
        <v>67142.12</v>
      </c>
      <c r="Q174" s="8">
        <v>0.216</v>
      </c>
      <c r="R174">
        <f t="shared" si="50"/>
        <v>30319780000</v>
      </c>
      <c r="S174">
        <f t="shared" si="51"/>
        <v>2209750000</v>
      </c>
      <c r="T174">
        <f t="shared" si="52"/>
        <v>1594120000</v>
      </c>
      <c r="U174">
        <f t="shared" si="53"/>
        <v>1134520000</v>
      </c>
      <c r="V174">
        <f t="shared" si="54"/>
        <v>320650000</v>
      </c>
      <c r="W174">
        <f t="shared" si="44"/>
        <v>3.2688822208921739E-10</v>
      </c>
      <c r="X174">
        <f t="shared" si="55"/>
        <v>1.0575604440401612E-2</v>
      </c>
    </row>
    <row r="175" spans="1:24">
      <c r="A175" s="21">
        <v>45378</v>
      </c>
      <c r="B175">
        <v>26.1</v>
      </c>
      <c r="C175" s="29">
        <f t="shared" si="41"/>
        <v>2.3041474654378756E-3</v>
      </c>
      <c r="D175">
        <f t="shared" si="45"/>
        <v>2.3612852209094821E-2</v>
      </c>
      <c r="E175">
        <v>26.29</v>
      </c>
      <c r="F175">
        <v>25.71</v>
      </c>
      <c r="G175">
        <f t="shared" si="46"/>
        <v>2.2307692307692244E-2</v>
      </c>
      <c r="H175">
        <v>26.15</v>
      </c>
      <c r="I175">
        <v>26.1</v>
      </c>
      <c r="J175">
        <f t="shared" si="47"/>
        <v>1.9138755980860156E-3</v>
      </c>
      <c r="K175">
        <v>229305</v>
      </c>
      <c r="L175">
        <f t="shared" si="48"/>
        <v>367350000</v>
      </c>
      <c r="M175">
        <f t="shared" si="42"/>
        <v>5984860.5</v>
      </c>
      <c r="N175">
        <f t="shared" si="49"/>
        <v>113870000</v>
      </c>
      <c r="O175">
        <f t="shared" si="43"/>
        <v>2.0137437428646701E-3</v>
      </c>
      <c r="P175">
        <v>66547.789999999994</v>
      </c>
      <c r="Q175" s="8">
        <v>0.216</v>
      </c>
      <c r="R175">
        <f t="shared" si="50"/>
        <v>30319780000</v>
      </c>
      <c r="S175">
        <f t="shared" si="51"/>
        <v>2209750000</v>
      </c>
      <c r="T175">
        <f t="shared" si="52"/>
        <v>1594120000</v>
      </c>
      <c r="U175">
        <f t="shared" si="53"/>
        <v>1134520000</v>
      </c>
      <c r="V175">
        <f t="shared" si="54"/>
        <v>320650000</v>
      </c>
      <c r="W175">
        <f t="shared" si="44"/>
        <v>3.8499601877735924E-10</v>
      </c>
      <c r="X175">
        <f t="shared" si="55"/>
        <v>1.0575604440401612E-2</v>
      </c>
    </row>
    <row r="176" spans="1:24">
      <c r="A176" s="21">
        <v>45377</v>
      </c>
      <c r="B176">
        <v>26.04</v>
      </c>
      <c r="C176" s="29">
        <f t="shared" si="41"/>
        <v>-2.2988505747127308E-3</v>
      </c>
      <c r="D176">
        <f t="shared" si="45"/>
        <v>2.3612852209094821E-2</v>
      </c>
      <c r="E176">
        <v>26.4</v>
      </c>
      <c r="F176">
        <v>26</v>
      </c>
      <c r="G176">
        <f t="shared" si="46"/>
        <v>1.526717557251903E-2</v>
      </c>
      <c r="H176">
        <v>26.25</v>
      </c>
      <c r="I176">
        <v>26.02</v>
      </c>
      <c r="J176">
        <f t="shared" si="47"/>
        <v>8.8004591543906809E-3</v>
      </c>
      <c r="K176">
        <v>385365</v>
      </c>
      <c r="L176">
        <f t="shared" si="48"/>
        <v>367350000</v>
      </c>
      <c r="M176">
        <f t="shared" si="42"/>
        <v>10034904.6</v>
      </c>
      <c r="N176">
        <f t="shared" si="49"/>
        <v>113870000</v>
      </c>
      <c r="O176">
        <f t="shared" si="43"/>
        <v>3.3842539738298061E-3</v>
      </c>
      <c r="P176">
        <v>65906.28</v>
      </c>
      <c r="Q176" s="8">
        <v>0.216</v>
      </c>
      <c r="R176">
        <f t="shared" si="50"/>
        <v>30319780000</v>
      </c>
      <c r="S176">
        <f t="shared" si="51"/>
        <v>2209750000</v>
      </c>
      <c r="T176">
        <f t="shared" si="52"/>
        <v>1594120000</v>
      </c>
      <c r="U176">
        <f t="shared" si="53"/>
        <v>1134520000</v>
      </c>
      <c r="V176">
        <f t="shared" si="54"/>
        <v>320650000</v>
      </c>
      <c r="W176">
        <f t="shared" si="44"/>
        <v>2.2908544389278309E-10</v>
      </c>
      <c r="X176">
        <f t="shared" si="55"/>
        <v>1.0575604440401612E-2</v>
      </c>
    </row>
    <row r="177" spans="1:24">
      <c r="A177" s="21">
        <v>45376</v>
      </c>
      <c r="B177">
        <v>26.1</v>
      </c>
      <c r="C177" s="29">
        <f t="shared" si="41"/>
        <v>0</v>
      </c>
      <c r="D177">
        <f t="shared" si="45"/>
        <v>2.3612852209094821E-2</v>
      </c>
      <c r="E177">
        <v>26.6</v>
      </c>
      <c r="F177">
        <v>26.1</v>
      </c>
      <c r="G177">
        <f t="shared" si="46"/>
        <v>1.8975332068311195E-2</v>
      </c>
      <c r="H177">
        <v>26.29</v>
      </c>
      <c r="I177">
        <v>26.25</v>
      </c>
      <c r="J177">
        <f t="shared" si="47"/>
        <v>1.5226494099733212E-3</v>
      </c>
      <c r="K177">
        <v>3613515</v>
      </c>
      <c r="L177">
        <f t="shared" si="48"/>
        <v>367350000</v>
      </c>
      <c r="M177">
        <f t="shared" si="42"/>
        <v>94312741.5</v>
      </c>
      <c r="N177">
        <f t="shared" si="49"/>
        <v>113870000</v>
      </c>
      <c r="O177">
        <f t="shared" si="43"/>
        <v>3.1733687538421006E-2</v>
      </c>
      <c r="P177">
        <v>65525.65</v>
      </c>
      <c r="Q177" s="8">
        <v>0.216</v>
      </c>
      <c r="R177">
        <f t="shared" si="50"/>
        <v>30319780000</v>
      </c>
      <c r="S177">
        <f t="shared" si="51"/>
        <v>2209750000</v>
      </c>
      <c r="T177">
        <f t="shared" si="52"/>
        <v>1594120000</v>
      </c>
      <c r="U177">
        <f t="shared" si="53"/>
        <v>1134520000</v>
      </c>
      <c r="V177">
        <f t="shared" si="54"/>
        <v>320650000</v>
      </c>
      <c r="W177">
        <f t="shared" si="44"/>
        <v>0</v>
      </c>
      <c r="X177">
        <f t="shared" si="55"/>
        <v>1.0575604440401612E-2</v>
      </c>
    </row>
    <row r="180" spans="1:24" ht="15" thickBot="1"/>
    <row r="181" spans="1:24" ht="16" thickBot="1">
      <c r="A181" s="184" t="s">
        <v>38</v>
      </c>
      <c r="B181" s="185"/>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6"/>
    </row>
    <row r="182" spans="1:24" ht="43.5">
      <c r="A182" s="13" t="s">
        <v>14</v>
      </c>
      <c r="B182" s="11" t="s">
        <v>15</v>
      </c>
      <c r="C182" s="12" t="s">
        <v>16</v>
      </c>
      <c r="D182" s="12" t="s">
        <v>17</v>
      </c>
      <c r="E182" s="13" t="s">
        <v>34</v>
      </c>
      <c r="F182" s="13" t="s">
        <v>13</v>
      </c>
      <c r="G182" s="12" t="s">
        <v>18</v>
      </c>
      <c r="H182" s="11" t="s">
        <v>12</v>
      </c>
      <c r="I182" s="13" t="s">
        <v>1</v>
      </c>
      <c r="J182" s="12" t="s">
        <v>19</v>
      </c>
      <c r="K182" s="11" t="s">
        <v>2</v>
      </c>
      <c r="L182" s="11" t="s">
        <v>37</v>
      </c>
      <c r="M182" s="7" t="s">
        <v>20</v>
      </c>
      <c r="N182" s="11" t="s">
        <v>35</v>
      </c>
      <c r="O182" s="7" t="s">
        <v>28</v>
      </c>
      <c r="P182" s="5" t="s">
        <v>5</v>
      </c>
      <c r="Q182" s="11" t="s">
        <v>6</v>
      </c>
      <c r="R182" s="11" t="s">
        <v>7</v>
      </c>
      <c r="S182" s="11" t="s">
        <v>29</v>
      </c>
      <c r="T182" s="11" t="s">
        <v>9</v>
      </c>
      <c r="U182" s="11" t="s">
        <v>10</v>
      </c>
      <c r="V182" s="11" t="s">
        <v>32</v>
      </c>
      <c r="W182" s="7" t="s">
        <v>73</v>
      </c>
      <c r="X182" s="7" t="s">
        <v>72</v>
      </c>
    </row>
    <row r="183" spans="1:24">
      <c r="A183" s="21">
        <v>45436</v>
      </c>
      <c r="B183">
        <v>38.32</v>
      </c>
      <c r="C183" s="29">
        <f t="shared" ref="C183:C222" si="56">IFERROR((B183-B184)/B184,0)</f>
        <v>-3.9598997493734293E-2</v>
      </c>
      <c r="D183">
        <f>_xlfn.STDEV.S($C$183:$C$222)</f>
        <v>2.5451555849038566E-2</v>
      </c>
      <c r="E183">
        <v>40.4</v>
      </c>
      <c r="F183">
        <v>38</v>
      </c>
      <c r="G183">
        <f>(E183-F183)/AVERAGE(E183,F183)</f>
        <v>6.1224489795918324E-2</v>
      </c>
      <c r="H183">
        <v>38.299999999999997</v>
      </c>
      <c r="I183">
        <v>38.25</v>
      </c>
      <c r="J183">
        <f>(H183-I183)/AVERAGE(H183,I183)</f>
        <v>1.3063357282820944E-3</v>
      </c>
      <c r="K183">
        <v>1083169</v>
      </c>
      <c r="L183">
        <f>354.09*1000000</f>
        <v>354090000</v>
      </c>
      <c r="M183">
        <f>B183*K183</f>
        <v>41507036.079999998</v>
      </c>
      <c r="N183">
        <f>173.45*1000000</f>
        <v>173450000</v>
      </c>
      <c r="O183">
        <f t="shared" ref="O183:O222" si="57">K183/N183</f>
        <v>6.2448486595560676E-3</v>
      </c>
      <c r="P183">
        <v>75983.039999999994</v>
      </c>
      <c r="Q183" s="8">
        <v>0.2157</v>
      </c>
      <c r="R183">
        <f>35026.24*1000000</f>
        <v>35026240000</v>
      </c>
      <c r="S183">
        <f>3233.14*1000000</f>
        <v>3233140000</v>
      </c>
      <c r="T183">
        <f>1821.83*1000000</f>
        <v>1821830000</v>
      </c>
      <c r="U183">
        <f>1205.83*1000000</f>
        <v>1205830000</v>
      </c>
      <c r="V183">
        <f>2564.98*1000000</f>
        <v>2564980000</v>
      </c>
      <c r="W183">
        <f t="shared" ref="W183:W222" si="58">IFERROR(ABS(C183)/M183,"0")</f>
        <v>9.5403096037529205E-10</v>
      </c>
      <c r="X183">
        <f>V183/R183</f>
        <v>7.3230241099244447E-2</v>
      </c>
    </row>
    <row r="184" spans="1:24">
      <c r="A184" s="21">
        <v>45435</v>
      </c>
      <c r="B184">
        <v>39.9</v>
      </c>
      <c r="C184" s="29">
        <f t="shared" si="56"/>
        <v>1.6042780748662985E-2</v>
      </c>
      <c r="D184">
        <f t="shared" ref="D184:D222" si="59">_xlfn.STDEV.S($C$183:$C$222)</f>
        <v>2.5451555849038566E-2</v>
      </c>
      <c r="E184">
        <v>41.8</v>
      </c>
      <c r="F184">
        <v>37.619999999999997</v>
      </c>
      <c r="G184">
        <f t="shared" ref="G184:G222" si="60">(E184-F184)/AVERAGE(E184,F184)</f>
        <v>0.10526315789473685</v>
      </c>
      <c r="H184">
        <v>39.75</v>
      </c>
      <c r="I184">
        <v>39.69</v>
      </c>
      <c r="J184">
        <f t="shared" ref="J184:J222" si="61">(H184-I184)/AVERAGE(H184,I184)</f>
        <v>1.5105740181269455E-3</v>
      </c>
      <c r="K184">
        <v>3886444</v>
      </c>
      <c r="L184">
        <f t="shared" ref="L184:L222" si="62">354.09*1000000</f>
        <v>354090000</v>
      </c>
      <c r="M184">
        <f t="shared" ref="M184:M222" si="63">B184*K184</f>
        <v>155069115.59999999</v>
      </c>
      <c r="N184">
        <f t="shared" ref="N184:N222" si="64">173.45*1000000</f>
        <v>173450000</v>
      </c>
      <c r="O184">
        <f t="shared" si="57"/>
        <v>2.2406710867685212E-2</v>
      </c>
      <c r="P184">
        <v>75114.47</v>
      </c>
      <c r="Q184" s="8">
        <v>0.2157</v>
      </c>
      <c r="R184">
        <f t="shared" ref="R184:R222" si="65">35026.24*1000000</f>
        <v>35026240000</v>
      </c>
      <c r="S184">
        <f t="shared" ref="S184:S222" si="66">3233.14*1000000</f>
        <v>3233140000</v>
      </c>
      <c r="T184">
        <f t="shared" ref="T184:T222" si="67">1821.83*1000000</f>
        <v>1821830000</v>
      </c>
      <c r="U184">
        <f t="shared" ref="U184:U222" si="68">1205.83*1000000</f>
        <v>1205830000</v>
      </c>
      <c r="V184">
        <f t="shared" ref="V184:V222" si="69">2564.98*1000000</f>
        <v>2564980000</v>
      </c>
      <c r="W184">
        <f t="shared" si="58"/>
        <v>1.0345567965993473E-10</v>
      </c>
      <c r="X184">
        <f t="shared" ref="X184:X222" si="70">V184/R184</f>
        <v>7.3230241099244447E-2</v>
      </c>
    </row>
    <row r="185" spans="1:24">
      <c r="A185" s="21">
        <v>45434</v>
      </c>
      <c r="B185">
        <v>39.270000000000003</v>
      </c>
      <c r="C185" s="29">
        <f t="shared" si="56"/>
        <v>7.5006843690117758E-2</v>
      </c>
      <c r="D185">
        <f t="shared" si="59"/>
        <v>2.5451555849038566E-2</v>
      </c>
      <c r="E185">
        <v>39.270000000000003</v>
      </c>
      <c r="F185">
        <v>36.700000000000003</v>
      </c>
      <c r="G185">
        <f t="shared" si="60"/>
        <v>6.7658286165591691E-2</v>
      </c>
      <c r="H185">
        <v>0</v>
      </c>
      <c r="I185">
        <v>39.270000000000003</v>
      </c>
      <c r="J185">
        <f t="shared" si="61"/>
        <v>-2</v>
      </c>
      <c r="K185">
        <v>3202406</v>
      </c>
      <c r="L185">
        <f t="shared" si="62"/>
        <v>354090000</v>
      </c>
      <c r="M185">
        <f t="shared" si="63"/>
        <v>125758483.62</v>
      </c>
      <c r="N185">
        <f t="shared" si="64"/>
        <v>173450000</v>
      </c>
      <c r="O185">
        <f t="shared" si="57"/>
        <v>1.846299221677717E-2</v>
      </c>
      <c r="P185">
        <v>74956.67</v>
      </c>
      <c r="Q185" s="8">
        <v>0.2157</v>
      </c>
      <c r="R185">
        <f t="shared" si="65"/>
        <v>35026240000</v>
      </c>
      <c r="S185">
        <f t="shared" si="66"/>
        <v>3233140000</v>
      </c>
      <c r="T185">
        <f t="shared" si="67"/>
        <v>1821830000</v>
      </c>
      <c r="U185">
        <f t="shared" si="68"/>
        <v>1205830000</v>
      </c>
      <c r="V185">
        <f t="shared" si="69"/>
        <v>2564980000</v>
      </c>
      <c r="W185">
        <f t="shared" si="58"/>
        <v>5.9643565611655521E-10</v>
      </c>
      <c r="X185">
        <f t="shared" si="70"/>
        <v>7.3230241099244447E-2</v>
      </c>
    </row>
    <row r="186" spans="1:24">
      <c r="A186" s="21">
        <v>45433</v>
      </c>
      <c r="B186">
        <v>36.53</v>
      </c>
      <c r="C186" s="29">
        <f t="shared" si="56"/>
        <v>7.446221731936104E-3</v>
      </c>
      <c r="D186">
        <f t="shared" si="59"/>
        <v>2.5451555849038566E-2</v>
      </c>
      <c r="E186">
        <v>37</v>
      </c>
      <c r="F186">
        <v>35</v>
      </c>
      <c r="G186">
        <f t="shared" si="60"/>
        <v>5.5555555555555552E-2</v>
      </c>
      <c r="H186">
        <v>37.090000000000003</v>
      </c>
      <c r="I186">
        <v>37</v>
      </c>
      <c r="J186">
        <f t="shared" si="61"/>
        <v>2.4294776623026968E-3</v>
      </c>
      <c r="K186">
        <v>1063362</v>
      </c>
      <c r="L186">
        <f t="shared" si="62"/>
        <v>354090000</v>
      </c>
      <c r="M186">
        <f t="shared" si="63"/>
        <v>38844613.859999999</v>
      </c>
      <c r="N186">
        <f t="shared" si="64"/>
        <v>173450000</v>
      </c>
      <c r="O186">
        <f t="shared" si="57"/>
        <v>6.1306543672528108E-3</v>
      </c>
      <c r="P186">
        <v>75206.77</v>
      </c>
      <c r="Q186" s="8">
        <v>0.2157</v>
      </c>
      <c r="R186">
        <f t="shared" si="65"/>
        <v>35026240000</v>
      </c>
      <c r="S186">
        <f t="shared" si="66"/>
        <v>3233140000</v>
      </c>
      <c r="T186">
        <f t="shared" si="67"/>
        <v>1821830000</v>
      </c>
      <c r="U186">
        <f t="shared" si="68"/>
        <v>1205830000</v>
      </c>
      <c r="V186">
        <f t="shared" si="69"/>
        <v>2564980000</v>
      </c>
      <c r="W186">
        <f t="shared" si="58"/>
        <v>1.9169251517785854E-10</v>
      </c>
      <c r="X186">
        <f t="shared" si="70"/>
        <v>7.3230241099244447E-2</v>
      </c>
    </row>
    <row r="187" spans="1:24">
      <c r="A187" s="21">
        <v>45432</v>
      </c>
      <c r="B187">
        <v>36.26</v>
      </c>
      <c r="C187" s="29">
        <f t="shared" si="56"/>
        <v>5.0709939148073029E-2</v>
      </c>
      <c r="D187">
        <f t="shared" si="59"/>
        <v>2.5451555849038566E-2</v>
      </c>
      <c r="E187">
        <v>36.770000000000003</v>
      </c>
      <c r="F187">
        <v>34.25</v>
      </c>
      <c r="G187">
        <f t="shared" si="60"/>
        <v>7.0965925091523593E-2</v>
      </c>
      <c r="H187">
        <v>36.049999999999997</v>
      </c>
      <c r="I187">
        <v>36.01</v>
      </c>
      <c r="J187">
        <f t="shared" si="61"/>
        <v>1.110185956147631E-3</v>
      </c>
      <c r="K187">
        <v>1455169</v>
      </c>
      <c r="L187">
        <f t="shared" si="62"/>
        <v>354090000</v>
      </c>
      <c r="M187">
        <f t="shared" si="63"/>
        <v>52764427.939999998</v>
      </c>
      <c r="N187">
        <f t="shared" si="64"/>
        <v>173450000</v>
      </c>
      <c r="O187">
        <f t="shared" si="57"/>
        <v>8.3895589507062551E-3</v>
      </c>
      <c r="P187">
        <v>75084</v>
      </c>
      <c r="Q187" s="8">
        <v>0.2157</v>
      </c>
      <c r="R187">
        <f t="shared" si="65"/>
        <v>35026240000</v>
      </c>
      <c r="S187">
        <f t="shared" si="66"/>
        <v>3233140000</v>
      </c>
      <c r="T187">
        <f t="shared" si="67"/>
        <v>1821830000</v>
      </c>
      <c r="U187">
        <f t="shared" si="68"/>
        <v>1205830000</v>
      </c>
      <c r="V187">
        <f t="shared" si="69"/>
        <v>2564980000</v>
      </c>
      <c r="W187">
        <f t="shared" si="58"/>
        <v>9.6106299504918001E-10</v>
      </c>
      <c r="X187">
        <f t="shared" si="70"/>
        <v>7.3230241099244447E-2</v>
      </c>
    </row>
    <row r="188" spans="1:24">
      <c r="A188" s="21">
        <v>45429</v>
      </c>
      <c r="B188">
        <v>34.51</v>
      </c>
      <c r="C188" s="29">
        <f t="shared" si="56"/>
        <v>1.5597410241318457E-2</v>
      </c>
      <c r="D188">
        <f t="shared" si="59"/>
        <v>2.5451555849038566E-2</v>
      </c>
      <c r="E188">
        <v>34.65</v>
      </c>
      <c r="F188">
        <v>33.71</v>
      </c>
      <c r="G188">
        <f t="shared" si="60"/>
        <v>2.7501462843768219E-2</v>
      </c>
      <c r="H188">
        <v>34.549999999999997</v>
      </c>
      <c r="I188">
        <v>34.5</v>
      </c>
      <c r="J188">
        <f t="shared" si="61"/>
        <v>1.4482259232439438E-3</v>
      </c>
      <c r="K188">
        <v>465409</v>
      </c>
      <c r="L188">
        <f t="shared" si="62"/>
        <v>354090000</v>
      </c>
      <c r="M188">
        <f t="shared" si="63"/>
        <v>16061264.59</v>
      </c>
      <c r="N188">
        <f t="shared" si="64"/>
        <v>173450000</v>
      </c>
      <c r="O188">
        <f t="shared" si="57"/>
        <v>2.6832458921879506E-3</v>
      </c>
      <c r="P188">
        <v>75342.350000000006</v>
      </c>
      <c r="Q188" s="8">
        <v>0.2157</v>
      </c>
      <c r="R188">
        <f t="shared" si="65"/>
        <v>35026240000</v>
      </c>
      <c r="S188">
        <f t="shared" si="66"/>
        <v>3233140000</v>
      </c>
      <c r="T188">
        <f t="shared" si="67"/>
        <v>1821830000</v>
      </c>
      <c r="U188">
        <f t="shared" si="68"/>
        <v>1205830000</v>
      </c>
      <c r="V188">
        <f t="shared" si="69"/>
        <v>2564980000</v>
      </c>
      <c r="W188">
        <f t="shared" si="58"/>
        <v>9.7111968699087711E-10</v>
      </c>
      <c r="X188">
        <f t="shared" si="70"/>
        <v>7.3230241099244447E-2</v>
      </c>
    </row>
    <row r="189" spans="1:24">
      <c r="A189" s="21">
        <v>45428</v>
      </c>
      <c r="B189">
        <v>33.979999999999997</v>
      </c>
      <c r="C189" s="29">
        <f t="shared" si="56"/>
        <v>3.8404726735596882E-3</v>
      </c>
      <c r="D189">
        <f t="shared" si="59"/>
        <v>2.5451555849038566E-2</v>
      </c>
      <c r="E189">
        <v>34.1</v>
      </c>
      <c r="F189">
        <v>33.049999999999997</v>
      </c>
      <c r="G189">
        <f t="shared" si="60"/>
        <v>3.1273268801191488E-2</v>
      </c>
      <c r="H189">
        <v>34.08</v>
      </c>
      <c r="I189">
        <v>34</v>
      </c>
      <c r="J189">
        <f t="shared" si="61"/>
        <v>2.3501762632196915E-3</v>
      </c>
      <c r="K189">
        <v>964005</v>
      </c>
      <c r="L189">
        <f t="shared" si="62"/>
        <v>354090000</v>
      </c>
      <c r="M189">
        <f t="shared" si="63"/>
        <v>32756889.899999999</v>
      </c>
      <c r="N189">
        <f t="shared" si="64"/>
        <v>173450000</v>
      </c>
      <c r="O189">
        <f t="shared" si="57"/>
        <v>5.5578264629576246E-3</v>
      </c>
      <c r="P189">
        <v>74930.7</v>
      </c>
      <c r="Q189" s="8">
        <v>0.2157</v>
      </c>
      <c r="R189">
        <f t="shared" si="65"/>
        <v>35026240000</v>
      </c>
      <c r="S189">
        <f t="shared" si="66"/>
        <v>3233140000</v>
      </c>
      <c r="T189">
        <f t="shared" si="67"/>
        <v>1821830000</v>
      </c>
      <c r="U189">
        <f t="shared" si="68"/>
        <v>1205830000</v>
      </c>
      <c r="V189">
        <f t="shared" si="69"/>
        <v>2564980000</v>
      </c>
      <c r="W189">
        <f t="shared" si="58"/>
        <v>1.1724167603468633E-10</v>
      </c>
      <c r="X189">
        <f t="shared" si="70"/>
        <v>7.3230241099244447E-2</v>
      </c>
    </row>
    <row r="190" spans="1:24">
      <c r="A190" s="21">
        <v>45427</v>
      </c>
      <c r="B190">
        <v>33.85</v>
      </c>
      <c r="C190" s="29">
        <f t="shared" si="56"/>
        <v>-1.6274338854983878E-2</v>
      </c>
      <c r="D190">
        <f t="shared" si="59"/>
        <v>2.5451555849038566E-2</v>
      </c>
      <c r="E190">
        <v>35</v>
      </c>
      <c r="F190">
        <v>33.76</v>
      </c>
      <c r="G190">
        <f t="shared" si="60"/>
        <v>3.6067481093659169E-2</v>
      </c>
      <c r="H190">
        <v>33.799999999999997</v>
      </c>
      <c r="I190">
        <v>33.770000000000003</v>
      </c>
      <c r="J190">
        <f t="shared" si="61"/>
        <v>8.8796803315062997E-4</v>
      </c>
      <c r="K190">
        <v>698995</v>
      </c>
      <c r="L190">
        <f t="shared" si="62"/>
        <v>354090000</v>
      </c>
      <c r="M190">
        <f t="shared" si="63"/>
        <v>23660980.75</v>
      </c>
      <c r="N190">
        <f t="shared" si="64"/>
        <v>173450000</v>
      </c>
      <c r="O190">
        <f t="shared" si="57"/>
        <v>4.0299509945229172E-3</v>
      </c>
      <c r="P190">
        <v>74663.98</v>
      </c>
      <c r="Q190" s="8">
        <v>0.2157</v>
      </c>
      <c r="R190">
        <f t="shared" si="65"/>
        <v>35026240000</v>
      </c>
      <c r="S190">
        <f t="shared" si="66"/>
        <v>3233140000</v>
      </c>
      <c r="T190">
        <f t="shared" si="67"/>
        <v>1821830000</v>
      </c>
      <c r="U190">
        <f t="shared" si="68"/>
        <v>1205830000</v>
      </c>
      <c r="V190">
        <f t="shared" si="69"/>
        <v>2564980000</v>
      </c>
      <c r="W190">
        <f t="shared" si="58"/>
        <v>6.8781336779473426E-10</v>
      </c>
      <c r="X190">
        <f t="shared" si="70"/>
        <v>7.3230241099244447E-2</v>
      </c>
    </row>
    <row r="191" spans="1:24">
      <c r="A191" s="21">
        <v>45426</v>
      </c>
      <c r="B191">
        <v>34.409999999999997</v>
      </c>
      <c r="C191" s="29">
        <f t="shared" si="56"/>
        <v>-9.7841726618706024E-3</v>
      </c>
      <c r="D191">
        <f t="shared" si="59"/>
        <v>2.5451555849038566E-2</v>
      </c>
      <c r="E191">
        <v>34.950000000000003</v>
      </c>
      <c r="F191">
        <v>34.200000000000003</v>
      </c>
      <c r="G191">
        <f t="shared" si="60"/>
        <v>2.1691973969631236E-2</v>
      </c>
      <c r="H191">
        <v>34.47</v>
      </c>
      <c r="I191">
        <v>34.26</v>
      </c>
      <c r="J191">
        <f t="shared" si="61"/>
        <v>6.1108686163247744E-3</v>
      </c>
      <c r="K191">
        <v>433620</v>
      </c>
      <c r="L191">
        <f t="shared" si="62"/>
        <v>354090000</v>
      </c>
      <c r="M191">
        <f t="shared" si="63"/>
        <v>14920864.199999999</v>
      </c>
      <c r="N191">
        <f t="shared" si="64"/>
        <v>173450000</v>
      </c>
      <c r="O191">
        <f t="shared" si="57"/>
        <v>2.4999711732487748E-3</v>
      </c>
      <c r="P191">
        <v>74531.19</v>
      </c>
      <c r="Q191" s="8">
        <v>0.21590000000000001</v>
      </c>
      <c r="R191">
        <f t="shared" si="65"/>
        <v>35026240000</v>
      </c>
      <c r="S191">
        <f t="shared" si="66"/>
        <v>3233140000</v>
      </c>
      <c r="T191">
        <f t="shared" si="67"/>
        <v>1821830000</v>
      </c>
      <c r="U191">
        <f t="shared" si="68"/>
        <v>1205830000</v>
      </c>
      <c r="V191">
        <f t="shared" si="69"/>
        <v>2564980000</v>
      </c>
      <c r="W191">
        <f t="shared" si="58"/>
        <v>6.5573766577612867E-10</v>
      </c>
      <c r="X191">
        <f t="shared" si="70"/>
        <v>7.3230241099244447E-2</v>
      </c>
    </row>
    <row r="192" spans="1:24">
      <c r="A192" s="21">
        <v>45425</v>
      </c>
      <c r="B192">
        <v>34.75</v>
      </c>
      <c r="C192" s="29">
        <f t="shared" si="56"/>
        <v>-3.1763722485371987E-2</v>
      </c>
      <c r="D192">
        <f t="shared" si="59"/>
        <v>2.5451555849038566E-2</v>
      </c>
      <c r="E192">
        <v>35.799999999999997</v>
      </c>
      <c r="F192">
        <v>34.5</v>
      </c>
      <c r="G192">
        <f t="shared" si="60"/>
        <v>3.6984352773826376E-2</v>
      </c>
      <c r="H192">
        <v>34.94</v>
      </c>
      <c r="I192">
        <v>34.81</v>
      </c>
      <c r="J192">
        <f t="shared" si="61"/>
        <v>3.7275985663081132E-3</v>
      </c>
      <c r="K192">
        <v>592886</v>
      </c>
      <c r="L192">
        <f t="shared" si="62"/>
        <v>354090000</v>
      </c>
      <c r="M192">
        <f t="shared" si="63"/>
        <v>20602788.5</v>
      </c>
      <c r="N192">
        <f t="shared" si="64"/>
        <v>173450000</v>
      </c>
      <c r="O192">
        <f t="shared" si="57"/>
        <v>3.4181954453733066E-3</v>
      </c>
      <c r="P192">
        <v>73799.11</v>
      </c>
      <c r="Q192" s="8">
        <v>0.21590000000000001</v>
      </c>
      <c r="R192">
        <f t="shared" si="65"/>
        <v>35026240000</v>
      </c>
      <c r="S192">
        <f t="shared" si="66"/>
        <v>3233140000</v>
      </c>
      <c r="T192">
        <f t="shared" si="67"/>
        <v>1821830000</v>
      </c>
      <c r="U192">
        <f t="shared" si="68"/>
        <v>1205830000</v>
      </c>
      <c r="V192">
        <f t="shared" si="69"/>
        <v>2564980000</v>
      </c>
      <c r="W192">
        <f t="shared" si="58"/>
        <v>1.5417195825396152E-9</v>
      </c>
      <c r="X192">
        <f t="shared" si="70"/>
        <v>7.3230241099244447E-2</v>
      </c>
    </row>
    <row r="193" spans="1:24">
      <c r="A193" s="21">
        <v>45422</v>
      </c>
      <c r="B193">
        <v>35.89</v>
      </c>
      <c r="C193" s="29">
        <f t="shared" si="56"/>
        <v>2.6895565092989918E-2</v>
      </c>
      <c r="D193">
        <f t="shared" si="59"/>
        <v>2.5451555849038566E-2</v>
      </c>
      <c r="E193">
        <v>36</v>
      </c>
      <c r="F193">
        <v>34.85</v>
      </c>
      <c r="G193">
        <f t="shared" si="60"/>
        <v>3.2462949894142515E-2</v>
      </c>
      <c r="H193">
        <v>35.69</v>
      </c>
      <c r="I193">
        <v>35.35</v>
      </c>
      <c r="J193">
        <f t="shared" si="61"/>
        <v>9.5720720720719691E-3</v>
      </c>
      <c r="K193">
        <v>1143642</v>
      </c>
      <c r="L193">
        <f t="shared" si="62"/>
        <v>354090000</v>
      </c>
      <c r="M193">
        <f t="shared" si="63"/>
        <v>41045311.380000003</v>
      </c>
      <c r="N193">
        <f t="shared" si="64"/>
        <v>173450000</v>
      </c>
      <c r="O193">
        <f t="shared" si="57"/>
        <v>6.5934966849236091E-3</v>
      </c>
      <c r="P193">
        <v>73085.5</v>
      </c>
      <c r="Q193" s="8">
        <v>0.21590000000000001</v>
      </c>
      <c r="R193">
        <f t="shared" si="65"/>
        <v>35026240000</v>
      </c>
      <c r="S193">
        <f t="shared" si="66"/>
        <v>3233140000</v>
      </c>
      <c r="T193">
        <f t="shared" si="67"/>
        <v>1821830000</v>
      </c>
      <c r="U193">
        <f t="shared" si="68"/>
        <v>1205830000</v>
      </c>
      <c r="V193">
        <f t="shared" si="69"/>
        <v>2564980000</v>
      </c>
      <c r="W193">
        <f t="shared" si="58"/>
        <v>6.552652224754523E-10</v>
      </c>
      <c r="X193">
        <f t="shared" si="70"/>
        <v>7.3230241099244447E-2</v>
      </c>
    </row>
    <row r="194" spans="1:24">
      <c r="A194" s="21">
        <v>45421</v>
      </c>
      <c r="B194">
        <v>34.950000000000003</v>
      </c>
      <c r="C194" s="29">
        <f t="shared" si="56"/>
        <v>5.302802048809898E-2</v>
      </c>
      <c r="D194">
        <f t="shared" si="59"/>
        <v>2.5451555849038566E-2</v>
      </c>
      <c r="E194">
        <v>35.15</v>
      </c>
      <c r="F194">
        <v>33.020000000000003</v>
      </c>
      <c r="G194">
        <f t="shared" si="60"/>
        <v>6.2490831744168855E-2</v>
      </c>
      <c r="H194">
        <v>34.6</v>
      </c>
      <c r="I194">
        <v>34.549999999999997</v>
      </c>
      <c r="J194">
        <f t="shared" si="61"/>
        <v>1.4461315979755389E-3</v>
      </c>
      <c r="K194">
        <v>2210776</v>
      </c>
      <c r="L194">
        <f t="shared" si="62"/>
        <v>354090000</v>
      </c>
      <c r="M194">
        <f t="shared" si="63"/>
        <v>77266621.200000003</v>
      </c>
      <c r="N194">
        <f t="shared" si="64"/>
        <v>173450000</v>
      </c>
      <c r="O194">
        <f t="shared" si="57"/>
        <v>1.2745897953300663E-2</v>
      </c>
      <c r="P194">
        <v>72658.05</v>
      </c>
      <c r="Q194" s="8">
        <v>0.21590000000000001</v>
      </c>
      <c r="R194">
        <f t="shared" si="65"/>
        <v>35026240000</v>
      </c>
      <c r="S194">
        <f t="shared" si="66"/>
        <v>3233140000</v>
      </c>
      <c r="T194">
        <f t="shared" si="67"/>
        <v>1821830000</v>
      </c>
      <c r="U194">
        <f t="shared" si="68"/>
        <v>1205830000</v>
      </c>
      <c r="V194">
        <f t="shared" si="69"/>
        <v>2564980000</v>
      </c>
      <c r="W194">
        <f t="shared" si="58"/>
        <v>6.8629920222393489E-10</v>
      </c>
      <c r="X194">
        <f t="shared" si="70"/>
        <v>7.3230241099244447E-2</v>
      </c>
    </row>
    <row r="195" spans="1:24">
      <c r="A195" s="21">
        <v>45420</v>
      </c>
      <c r="B195">
        <v>33.19</v>
      </c>
      <c r="C195" s="29">
        <f t="shared" si="56"/>
        <v>2.0916641033528138E-2</v>
      </c>
      <c r="D195">
        <f t="shared" si="59"/>
        <v>2.5451555849038566E-2</v>
      </c>
      <c r="E195">
        <v>33.4</v>
      </c>
      <c r="F195">
        <v>32.76</v>
      </c>
      <c r="G195">
        <f t="shared" si="60"/>
        <v>1.9347037484885147E-2</v>
      </c>
      <c r="H195">
        <v>33.39</v>
      </c>
      <c r="I195">
        <v>33.29</v>
      </c>
      <c r="J195">
        <f t="shared" si="61"/>
        <v>2.999400119976047E-3</v>
      </c>
      <c r="K195">
        <v>587694</v>
      </c>
      <c r="L195">
        <f t="shared" si="62"/>
        <v>354090000</v>
      </c>
      <c r="M195">
        <f t="shared" si="63"/>
        <v>19505563.859999999</v>
      </c>
      <c r="N195">
        <f t="shared" si="64"/>
        <v>173450000</v>
      </c>
      <c r="O195">
        <f t="shared" si="57"/>
        <v>3.3882617469011243E-3</v>
      </c>
      <c r="P195">
        <v>72601.820000000007</v>
      </c>
      <c r="Q195" s="8">
        <v>0.21590000000000001</v>
      </c>
      <c r="R195">
        <f t="shared" si="65"/>
        <v>35026240000</v>
      </c>
      <c r="S195">
        <f t="shared" si="66"/>
        <v>3233140000</v>
      </c>
      <c r="T195">
        <f t="shared" si="67"/>
        <v>1821830000</v>
      </c>
      <c r="U195">
        <f t="shared" si="68"/>
        <v>1205830000</v>
      </c>
      <c r="V195">
        <f t="shared" si="69"/>
        <v>2564980000</v>
      </c>
      <c r="W195">
        <f t="shared" si="58"/>
        <v>1.0723422908281996E-9</v>
      </c>
      <c r="X195">
        <f t="shared" si="70"/>
        <v>7.3230241099244447E-2</v>
      </c>
    </row>
    <row r="196" spans="1:24">
      <c r="A196" s="21">
        <v>45419</v>
      </c>
      <c r="B196">
        <v>32.51</v>
      </c>
      <c r="C196" s="29">
        <f t="shared" si="56"/>
        <v>2.4668516805426547E-3</v>
      </c>
      <c r="D196">
        <f t="shared" si="59"/>
        <v>2.5451555849038566E-2</v>
      </c>
      <c r="E196">
        <v>32.75</v>
      </c>
      <c r="F196">
        <v>32</v>
      </c>
      <c r="G196">
        <f t="shared" si="60"/>
        <v>2.3166023166023165E-2</v>
      </c>
      <c r="H196">
        <v>32.5</v>
      </c>
      <c r="I196">
        <v>32.450000000000003</v>
      </c>
      <c r="J196">
        <f t="shared" si="61"/>
        <v>1.5396458814471796E-3</v>
      </c>
      <c r="K196">
        <v>724519</v>
      </c>
      <c r="L196">
        <f t="shared" si="62"/>
        <v>354090000</v>
      </c>
      <c r="M196">
        <f t="shared" si="63"/>
        <v>23554112.689999998</v>
      </c>
      <c r="N196">
        <f t="shared" si="64"/>
        <v>173450000</v>
      </c>
      <c r="O196">
        <f t="shared" si="57"/>
        <v>4.1771057941769963E-3</v>
      </c>
      <c r="P196">
        <v>72761.2</v>
      </c>
      <c r="Q196" s="8">
        <v>0.21590000000000001</v>
      </c>
      <c r="R196">
        <f t="shared" si="65"/>
        <v>35026240000</v>
      </c>
      <c r="S196">
        <f t="shared" si="66"/>
        <v>3233140000</v>
      </c>
      <c r="T196">
        <f t="shared" si="67"/>
        <v>1821830000</v>
      </c>
      <c r="U196">
        <f t="shared" si="68"/>
        <v>1205830000</v>
      </c>
      <c r="V196">
        <f t="shared" si="69"/>
        <v>2564980000</v>
      </c>
      <c r="W196">
        <f t="shared" si="58"/>
        <v>1.0473125067411126E-10</v>
      </c>
      <c r="X196">
        <f t="shared" si="70"/>
        <v>7.3230241099244447E-2</v>
      </c>
    </row>
    <row r="197" spans="1:24">
      <c r="A197" s="21">
        <v>45418</v>
      </c>
      <c r="B197">
        <v>32.43</v>
      </c>
      <c r="C197" s="29">
        <f t="shared" si="56"/>
        <v>2.3674242424242424E-2</v>
      </c>
      <c r="D197">
        <f t="shared" si="59"/>
        <v>2.5451555849038566E-2</v>
      </c>
      <c r="E197">
        <v>32.6</v>
      </c>
      <c r="F197">
        <v>31.72</v>
      </c>
      <c r="G197">
        <f t="shared" si="60"/>
        <v>2.7363184079602074E-2</v>
      </c>
      <c r="H197">
        <v>32.6</v>
      </c>
      <c r="I197">
        <v>32.5</v>
      </c>
      <c r="J197">
        <f t="shared" si="61"/>
        <v>3.0721966205837612E-3</v>
      </c>
      <c r="K197">
        <v>2239632</v>
      </c>
      <c r="L197">
        <f t="shared" si="62"/>
        <v>354090000</v>
      </c>
      <c r="M197">
        <f t="shared" si="63"/>
        <v>72631265.760000005</v>
      </c>
      <c r="N197">
        <f t="shared" si="64"/>
        <v>173450000</v>
      </c>
      <c r="O197">
        <f t="shared" si="57"/>
        <v>1.2912262899971173E-2</v>
      </c>
      <c r="P197">
        <v>72764.240000000005</v>
      </c>
      <c r="Q197" s="8">
        <v>0.21590000000000001</v>
      </c>
      <c r="R197">
        <f t="shared" si="65"/>
        <v>35026240000</v>
      </c>
      <c r="S197">
        <f t="shared" si="66"/>
        <v>3233140000</v>
      </c>
      <c r="T197">
        <f t="shared" si="67"/>
        <v>1821830000</v>
      </c>
      <c r="U197">
        <f t="shared" si="68"/>
        <v>1205830000</v>
      </c>
      <c r="V197">
        <f t="shared" si="69"/>
        <v>2564980000</v>
      </c>
      <c r="W197">
        <f t="shared" si="58"/>
        <v>3.2595112003790061E-10</v>
      </c>
      <c r="X197">
        <f t="shared" si="70"/>
        <v>7.3230241099244447E-2</v>
      </c>
    </row>
    <row r="198" spans="1:24">
      <c r="A198" s="21">
        <v>45415</v>
      </c>
      <c r="B198">
        <v>31.68</v>
      </c>
      <c r="C198" s="29">
        <f t="shared" si="56"/>
        <v>-6.7961165048543756E-2</v>
      </c>
      <c r="D198">
        <f t="shared" si="59"/>
        <v>2.5451555849038566E-2</v>
      </c>
      <c r="E198">
        <v>32.39</v>
      </c>
      <c r="F198">
        <v>31.5</v>
      </c>
      <c r="G198">
        <f t="shared" si="60"/>
        <v>2.7860385036781985E-2</v>
      </c>
      <c r="H198">
        <v>31.75</v>
      </c>
      <c r="I198">
        <v>31.7</v>
      </c>
      <c r="J198">
        <f t="shared" si="61"/>
        <v>1.5760441292356408E-3</v>
      </c>
      <c r="K198">
        <v>2304091</v>
      </c>
      <c r="L198">
        <f t="shared" si="62"/>
        <v>354090000</v>
      </c>
      <c r="M198">
        <f t="shared" si="63"/>
        <v>72993602.879999995</v>
      </c>
      <c r="N198">
        <f t="shared" si="64"/>
        <v>173450000</v>
      </c>
      <c r="O198">
        <f t="shared" si="57"/>
        <v>1.3283891611415393E-2</v>
      </c>
      <c r="P198">
        <v>71902.09</v>
      </c>
      <c r="Q198" s="8">
        <v>0.21590000000000001</v>
      </c>
      <c r="R198">
        <f t="shared" si="65"/>
        <v>35026240000</v>
      </c>
      <c r="S198">
        <f t="shared" si="66"/>
        <v>3233140000</v>
      </c>
      <c r="T198">
        <f t="shared" si="67"/>
        <v>1821830000</v>
      </c>
      <c r="U198">
        <f t="shared" si="68"/>
        <v>1205830000</v>
      </c>
      <c r="V198">
        <f t="shared" si="69"/>
        <v>2564980000</v>
      </c>
      <c r="W198">
        <f t="shared" si="58"/>
        <v>9.3105645381377514E-10</v>
      </c>
      <c r="X198">
        <f t="shared" si="70"/>
        <v>7.3230241099244447E-2</v>
      </c>
    </row>
    <row r="199" spans="1:24">
      <c r="A199" s="21">
        <v>45414</v>
      </c>
      <c r="B199">
        <v>33.99</v>
      </c>
      <c r="C199" s="29">
        <f t="shared" si="56"/>
        <v>1.2812872467222874E-2</v>
      </c>
      <c r="D199">
        <f t="shared" si="59"/>
        <v>2.5451555849038566E-2</v>
      </c>
      <c r="E199">
        <v>34.200000000000003</v>
      </c>
      <c r="F199">
        <v>33.619999999999997</v>
      </c>
      <c r="G199">
        <f t="shared" si="60"/>
        <v>1.7104099085815554E-2</v>
      </c>
      <c r="H199">
        <v>34</v>
      </c>
      <c r="I199">
        <v>33.82</v>
      </c>
      <c r="J199">
        <f t="shared" si="61"/>
        <v>5.3081686818047692E-3</v>
      </c>
      <c r="K199">
        <v>1528223</v>
      </c>
      <c r="L199">
        <f t="shared" si="62"/>
        <v>354090000</v>
      </c>
      <c r="M199">
        <f t="shared" si="63"/>
        <v>51944299.770000003</v>
      </c>
      <c r="N199">
        <f t="shared" si="64"/>
        <v>173450000</v>
      </c>
      <c r="O199">
        <f t="shared" si="57"/>
        <v>8.8107408475064861E-3</v>
      </c>
      <c r="P199">
        <v>70657.64</v>
      </c>
      <c r="Q199" s="8">
        <v>0.21590000000000001</v>
      </c>
      <c r="R199">
        <f t="shared" si="65"/>
        <v>35026240000</v>
      </c>
      <c r="S199">
        <f t="shared" si="66"/>
        <v>3233140000</v>
      </c>
      <c r="T199">
        <f t="shared" si="67"/>
        <v>1821830000</v>
      </c>
      <c r="U199">
        <f t="shared" si="68"/>
        <v>1205830000</v>
      </c>
      <c r="V199">
        <f t="shared" si="69"/>
        <v>2564980000</v>
      </c>
      <c r="W199">
        <f t="shared" si="58"/>
        <v>2.4666561150994363E-10</v>
      </c>
      <c r="X199">
        <f t="shared" si="70"/>
        <v>7.3230241099244447E-2</v>
      </c>
    </row>
    <row r="200" spans="1:24">
      <c r="A200" s="21">
        <v>45412</v>
      </c>
      <c r="B200">
        <v>33.56</v>
      </c>
      <c r="C200" s="29">
        <f t="shared" si="56"/>
        <v>-1.9286966686148353E-2</v>
      </c>
      <c r="D200">
        <f t="shared" si="59"/>
        <v>2.5451555849038566E-2</v>
      </c>
      <c r="E200">
        <v>34.700000000000003</v>
      </c>
      <c r="F200">
        <v>33.5</v>
      </c>
      <c r="G200">
        <f t="shared" si="60"/>
        <v>3.5190615835777206E-2</v>
      </c>
      <c r="H200">
        <v>33.700000000000003</v>
      </c>
      <c r="I200">
        <v>33.65</v>
      </c>
      <c r="J200">
        <f t="shared" si="61"/>
        <v>1.4847809948033933E-3</v>
      </c>
      <c r="K200">
        <v>1616493</v>
      </c>
      <c r="L200">
        <f t="shared" si="62"/>
        <v>354090000</v>
      </c>
      <c r="M200">
        <f t="shared" si="63"/>
        <v>54249505.080000006</v>
      </c>
      <c r="N200">
        <f t="shared" si="64"/>
        <v>173450000</v>
      </c>
      <c r="O200">
        <f t="shared" si="57"/>
        <v>9.3196483136350535E-3</v>
      </c>
      <c r="P200">
        <v>71102.55</v>
      </c>
      <c r="Q200" s="8">
        <v>0.21590000000000001</v>
      </c>
      <c r="R200">
        <f t="shared" si="65"/>
        <v>35026240000</v>
      </c>
      <c r="S200">
        <f t="shared" si="66"/>
        <v>3233140000</v>
      </c>
      <c r="T200">
        <f t="shared" si="67"/>
        <v>1821830000</v>
      </c>
      <c r="U200">
        <f t="shared" si="68"/>
        <v>1205830000</v>
      </c>
      <c r="V200">
        <f t="shared" si="69"/>
        <v>2564980000</v>
      </c>
      <c r="W200">
        <f t="shared" si="58"/>
        <v>3.555233666686264E-10</v>
      </c>
      <c r="X200">
        <f t="shared" si="70"/>
        <v>7.3230241099244447E-2</v>
      </c>
    </row>
    <row r="201" spans="1:24">
      <c r="A201" s="21">
        <v>45411</v>
      </c>
      <c r="B201">
        <v>34.22</v>
      </c>
      <c r="C201" s="29">
        <f t="shared" si="56"/>
        <v>2.0883054892601303E-2</v>
      </c>
      <c r="D201">
        <f t="shared" si="59"/>
        <v>2.5451555849038566E-2</v>
      </c>
      <c r="E201">
        <v>35</v>
      </c>
      <c r="F201">
        <v>33.770000000000003</v>
      </c>
      <c r="G201">
        <f t="shared" si="60"/>
        <v>3.5771411952886335E-2</v>
      </c>
      <c r="H201">
        <v>34.28</v>
      </c>
      <c r="I201">
        <v>34.11</v>
      </c>
      <c r="J201">
        <f t="shared" si="61"/>
        <v>4.9714870595116744E-3</v>
      </c>
      <c r="K201">
        <v>3838497</v>
      </c>
      <c r="L201">
        <f t="shared" si="62"/>
        <v>354090000</v>
      </c>
      <c r="M201">
        <f t="shared" si="63"/>
        <v>131353367.33999999</v>
      </c>
      <c r="N201">
        <f t="shared" si="64"/>
        <v>173450000</v>
      </c>
      <c r="O201">
        <f t="shared" si="57"/>
        <v>2.2130279619486885E-2</v>
      </c>
      <c r="P201">
        <v>71695.03</v>
      </c>
      <c r="Q201" s="8">
        <v>0.21640000000000001</v>
      </c>
      <c r="R201">
        <f t="shared" si="65"/>
        <v>35026240000</v>
      </c>
      <c r="S201">
        <f t="shared" si="66"/>
        <v>3233140000</v>
      </c>
      <c r="T201">
        <f t="shared" si="67"/>
        <v>1821830000</v>
      </c>
      <c r="U201">
        <f t="shared" si="68"/>
        <v>1205830000</v>
      </c>
      <c r="V201">
        <f t="shared" si="69"/>
        <v>2564980000</v>
      </c>
      <c r="W201">
        <f t="shared" si="58"/>
        <v>1.5898378028289767E-10</v>
      </c>
      <c r="X201">
        <f t="shared" si="70"/>
        <v>7.3230241099244447E-2</v>
      </c>
    </row>
    <row r="202" spans="1:24">
      <c r="A202" s="21">
        <v>45408</v>
      </c>
      <c r="B202">
        <v>33.520000000000003</v>
      </c>
      <c r="C202" s="29">
        <f t="shared" si="56"/>
        <v>3.520691785052503E-2</v>
      </c>
      <c r="D202">
        <f t="shared" si="59"/>
        <v>2.5451555849038566E-2</v>
      </c>
      <c r="E202">
        <v>33.799999999999997</v>
      </c>
      <c r="F202">
        <v>32.15</v>
      </c>
      <c r="G202">
        <f t="shared" si="60"/>
        <v>5.003790750568609E-2</v>
      </c>
      <c r="H202">
        <v>33.590000000000003</v>
      </c>
      <c r="I202">
        <v>33.5</v>
      </c>
      <c r="J202">
        <f t="shared" si="61"/>
        <v>2.6829631837830795E-3</v>
      </c>
      <c r="K202">
        <v>3219322</v>
      </c>
      <c r="L202">
        <f t="shared" si="62"/>
        <v>354090000</v>
      </c>
      <c r="M202">
        <f t="shared" si="63"/>
        <v>107911673.44000001</v>
      </c>
      <c r="N202">
        <f t="shared" si="64"/>
        <v>173450000</v>
      </c>
      <c r="O202">
        <f t="shared" si="57"/>
        <v>1.8560518881522051E-2</v>
      </c>
      <c r="P202">
        <v>72742.75</v>
      </c>
      <c r="Q202" s="8">
        <v>0.21640000000000001</v>
      </c>
      <c r="R202">
        <f t="shared" si="65"/>
        <v>35026240000</v>
      </c>
      <c r="S202">
        <f t="shared" si="66"/>
        <v>3233140000</v>
      </c>
      <c r="T202">
        <f t="shared" si="67"/>
        <v>1821830000</v>
      </c>
      <c r="U202">
        <f t="shared" si="68"/>
        <v>1205830000</v>
      </c>
      <c r="V202">
        <f t="shared" si="69"/>
        <v>2564980000</v>
      </c>
      <c r="W202">
        <f t="shared" si="58"/>
        <v>3.2625680547990419E-10</v>
      </c>
      <c r="X202">
        <f t="shared" si="70"/>
        <v>7.3230241099244447E-2</v>
      </c>
    </row>
    <row r="203" spans="1:24">
      <c r="A203" s="21">
        <v>45407</v>
      </c>
      <c r="B203">
        <v>32.380000000000003</v>
      </c>
      <c r="C203" s="29">
        <f t="shared" si="56"/>
        <v>2.0163831127914436E-2</v>
      </c>
      <c r="D203">
        <f t="shared" si="59"/>
        <v>2.5451555849038566E-2</v>
      </c>
      <c r="E203">
        <v>32.99</v>
      </c>
      <c r="F203">
        <v>30.99</v>
      </c>
      <c r="G203">
        <f t="shared" si="60"/>
        <v>6.2519537355423677E-2</v>
      </c>
      <c r="H203">
        <v>32.4</v>
      </c>
      <c r="I203">
        <v>32.35</v>
      </c>
      <c r="J203">
        <f t="shared" si="61"/>
        <v>1.5444015444014566E-3</v>
      </c>
      <c r="K203">
        <v>4549474</v>
      </c>
      <c r="L203">
        <f t="shared" si="62"/>
        <v>354090000</v>
      </c>
      <c r="M203">
        <f t="shared" si="63"/>
        <v>147311968.12</v>
      </c>
      <c r="N203">
        <f t="shared" si="64"/>
        <v>173450000</v>
      </c>
      <c r="O203">
        <f t="shared" si="57"/>
        <v>2.6229311040645718E-2</v>
      </c>
      <c r="P203">
        <v>71971.399999999994</v>
      </c>
      <c r="Q203" s="8">
        <v>0.21640000000000001</v>
      </c>
      <c r="R203">
        <f t="shared" si="65"/>
        <v>35026240000</v>
      </c>
      <c r="S203">
        <f t="shared" si="66"/>
        <v>3233140000</v>
      </c>
      <c r="T203">
        <f t="shared" si="67"/>
        <v>1821830000</v>
      </c>
      <c r="U203">
        <f t="shared" si="68"/>
        <v>1205830000</v>
      </c>
      <c r="V203">
        <f t="shared" si="69"/>
        <v>2564980000</v>
      </c>
      <c r="W203">
        <f t="shared" si="58"/>
        <v>1.36878431435313E-10</v>
      </c>
      <c r="X203">
        <f t="shared" si="70"/>
        <v>7.3230241099244447E-2</v>
      </c>
    </row>
    <row r="204" spans="1:24">
      <c r="A204" s="21">
        <v>45406</v>
      </c>
      <c r="B204">
        <v>31.74</v>
      </c>
      <c r="C204" s="29">
        <f t="shared" si="56"/>
        <v>-7.5046904315197623E-3</v>
      </c>
      <c r="D204">
        <f t="shared" si="59"/>
        <v>2.5451555849038566E-2</v>
      </c>
      <c r="E204">
        <v>32.69</v>
      </c>
      <c r="F204">
        <v>31.7</v>
      </c>
      <c r="G204">
        <f t="shared" si="60"/>
        <v>3.0750116477713883E-2</v>
      </c>
      <c r="H204">
        <v>31.8</v>
      </c>
      <c r="I204">
        <v>31.75</v>
      </c>
      <c r="J204">
        <f t="shared" si="61"/>
        <v>1.5735641227380239E-3</v>
      </c>
      <c r="K204">
        <v>2359097</v>
      </c>
      <c r="L204">
        <f t="shared" si="62"/>
        <v>354090000</v>
      </c>
      <c r="M204">
        <f t="shared" si="63"/>
        <v>74877738.780000001</v>
      </c>
      <c r="N204">
        <f t="shared" si="64"/>
        <v>173450000</v>
      </c>
      <c r="O204">
        <f t="shared" si="57"/>
        <v>1.3601020466993369E-2</v>
      </c>
      <c r="P204">
        <v>72051.89</v>
      </c>
      <c r="Q204" s="8">
        <v>0.21640000000000001</v>
      </c>
      <c r="R204">
        <f t="shared" si="65"/>
        <v>35026240000</v>
      </c>
      <c r="S204">
        <f t="shared" si="66"/>
        <v>3233140000</v>
      </c>
      <c r="T204">
        <f t="shared" si="67"/>
        <v>1821830000</v>
      </c>
      <c r="U204">
        <f t="shared" si="68"/>
        <v>1205830000</v>
      </c>
      <c r="V204">
        <f t="shared" si="69"/>
        <v>2564980000</v>
      </c>
      <c r="W204">
        <f t="shared" si="58"/>
        <v>1.0022592233413278E-10</v>
      </c>
      <c r="X204">
        <f t="shared" si="70"/>
        <v>7.3230241099244447E-2</v>
      </c>
    </row>
    <row r="205" spans="1:24">
      <c r="A205" s="21">
        <v>45405</v>
      </c>
      <c r="B205">
        <v>31.98</v>
      </c>
      <c r="C205" s="29">
        <f t="shared" si="56"/>
        <v>-9.2936802973977908E-3</v>
      </c>
      <c r="D205">
        <f t="shared" si="59"/>
        <v>2.5451555849038566E-2</v>
      </c>
      <c r="E205">
        <v>32.9</v>
      </c>
      <c r="F205">
        <v>31.7</v>
      </c>
      <c r="G205">
        <f t="shared" si="60"/>
        <v>3.7151702786377687E-2</v>
      </c>
      <c r="H205">
        <v>31.99</v>
      </c>
      <c r="I205">
        <v>31.82</v>
      </c>
      <c r="J205">
        <f t="shared" si="61"/>
        <v>5.3283184453846782E-3</v>
      </c>
      <c r="K205">
        <v>1789773</v>
      </c>
      <c r="L205">
        <f t="shared" si="62"/>
        <v>354090000</v>
      </c>
      <c r="M205">
        <f t="shared" si="63"/>
        <v>57236940.539999999</v>
      </c>
      <c r="N205">
        <f t="shared" si="64"/>
        <v>173450000</v>
      </c>
      <c r="O205">
        <f t="shared" si="57"/>
        <v>1.0318668204093398E-2</v>
      </c>
      <c r="P205">
        <v>71359.41</v>
      </c>
      <c r="Q205" s="8">
        <v>0.21640000000000001</v>
      </c>
      <c r="R205">
        <f t="shared" si="65"/>
        <v>35026240000</v>
      </c>
      <c r="S205">
        <f t="shared" si="66"/>
        <v>3233140000</v>
      </c>
      <c r="T205">
        <f t="shared" si="67"/>
        <v>1821830000</v>
      </c>
      <c r="U205">
        <f t="shared" si="68"/>
        <v>1205830000</v>
      </c>
      <c r="V205">
        <f t="shared" si="69"/>
        <v>2564980000</v>
      </c>
      <c r="W205">
        <f t="shared" si="58"/>
        <v>1.623720661816805E-10</v>
      </c>
      <c r="X205">
        <f t="shared" si="70"/>
        <v>7.3230241099244447E-2</v>
      </c>
    </row>
    <row r="206" spans="1:24">
      <c r="A206" s="21">
        <v>45404</v>
      </c>
      <c r="B206">
        <v>32.28</v>
      </c>
      <c r="C206" s="29">
        <f t="shared" si="56"/>
        <v>6.1996280223196299E-4</v>
      </c>
      <c r="D206">
        <f t="shared" si="59"/>
        <v>2.5451555849038566E-2</v>
      </c>
      <c r="E206">
        <v>33.49</v>
      </c>
      <c r="F206">
        <v>32.08</v>
      </c>
      <c r="G206">
        <f t="shared" si="60"/>
        <v>4.3007472929693577E-2</v>
      </c>
      <c r="H206">
        <v>32.340000000000003</v>
      </c>
      <c r="I206">
        <v>32.28</v>
      </c>
      <c r="J206">
        <f t="shared" si="61"/>
        <v>1.8570102135562448E-3</v>
      </c>
      <c r="K206">
        <v>3609175</v>
      </c>
      <c r="L206">
        <f t="shared" si="62"/>
        <v>354090000</v>
      </c>
      <c r="M206">
        <f t="shared" si="63"/>
        <v>116504169</v>
      </c>
      <c r="N206">
        <f t="shared" si="64"/>
        <v>173450000</v>
      </c>
      <c r="O206">
        <f t="shared" si="57"/>
        <v>2.0808157970596715E-2</v>
      </c>
      <c r="P206">
        <v>71433.460000000006</v>
      </c>
      <c r="Q206" s="8">
        <v>0.21640000000000001</v>
      </c>
      <c r="R206">
        <f t="shared" si="65"/>
        <v>35026240000</v>
      </c>
      <c r="S206">
        <f t="shared" si="66"/>
        <v>3233140000</v>
      </c>
      <c r="T206">
        <f t="shared" si="67"/>
        <v>1821830000</v>
      </c>
      <c r="U206">
        <f t="shared" si="68"/>
        <v>1205830000</v>
      </c>
      <c r="V206">
        <f t="shared" si="69"/>
        <v>2564980000</v>
      </c>
      <c r="W206">
        <f t="shared" si="58"/>
        <v>5.3213786901648388E-12</v>
      </c>
      <c r="X206">
        <f t="shared" si="70"/>
        <v>7.3230241099244447E-2</v>
      </c>
    </row>
    <row r="207" spans="1:24">
      <c r="A207" s="21">
        <v>45401</v>
      </c>
      <c r="B207">
        <v>32.26</v>
      </c>
      <c r="C207" s="29">
        <f t="shared" si="56"/>
        <v>-9.2908021059154961E-4</v>
      </c>
      <c r="D207">
        <f t="shared" si="59"/>
        <v>2.5451555849038566E-2</v>
      </c>
      <c r="E207">
        <v>32.4</v>
      </c>
      <c r="F207">
        <v>32.06</v>
      </c>
      <c r="G207">
        <f t="shared" si="60"/>
        <v>1.0549177784672549E-2</v>
      </c>
      <c r="H207">
        <v>32.29</v>
      </c>
      <c r="I207">
        <v>32.21</v>
      </c>
      <c r="J207">
        <f t="shared" si="61"/>
        <v>2.4806201550387069E-3</v>
      </c>
      <c r="K207">
        <v>295720</v>
      </c>
      <c r="L207">
        <f t="shared" si="62"/>
        <v>354090000</v>
      </c>
      <c r="M207">
        <f t="shared" si="63"/>
        <v>9539927.1999999993</v>
      </c>
      <c r="N207">
        <f t="shared" si="64"/>
        <v>173450000</v>
      </c>
      <c r="O207">
        <f t="shared" si="57"/>
        <v>1.7049293744594983E-3</v>
      </c>
      <c r="P207">
        <v>70909.899999999994</v>
      </c>
      <c r="Q207" s="8">
        <v>0.21640000000000001</v>
      </c>
      <c r="R207">
        <f t="shared" si="65"/>
        <v>35026240000</v>
      </c>
      <c r="S207">
        <f t="shared" si="66"/>
        <v>3233140000</v>
      </c>
      <c r="T207">
        <f t="shared" si="67"/>
        <v>1821830000</v>
      </c>
      <c r="U207">
        <f t="shared" si="68"/>
        <v>1205830000</v>
      </c>
      <c r="V207">
        <f t="shared" si="69"/>
        <v>2564980000</v>
      </c>
      <c r="W207">
        <f t="shared" si="58"/>
        <v>9.7388605920551431E-11</v>
      </c>
      <c r="X207">
        <f t="shared" si="70"/>
        <v>7.3230241099244447E-2</v>
      </c>
    </row>
    <row r="208" spans="1:24">
      <c r="A208" s="21">
        <v>45400</v>
      </c>
      <c r="B208">
        <v>32.29</v>
      </c>
      <c r="C208" s="29">
        <f t="shared" si="56"/>
        <v>5.2926525529265788E-3</v>
      </c>
      <c r="D208">
        <f t="shared" si="59"/>
        <v>2.5451555849038566E-2</v>
      </c>
      <c r="E208">
        <v>32.6</v>
      </c>
      <c r="F208">
        <v>31.7</v>
      </c>
      <c r="G208">
        <f t="shared" si="60"/>
        <v>2.7993779160186694E-2</v>
      </c>
      <c r="H208">
        <v>32.29</v>
      </c>
      <c r="I208">
        <v>32.28</v>
      </c>
      <c r="J208">
        <f t="shared" si="61"/>
        <v>3.097413659593623E-4</v>
      </c>
      <c r="K208">
        <v>463920</v>
      </c>
      <c r="L208">
        <f t="shared" si="62"/>
        <v>354090000</v>
      </c>
      <c r="M208">
        <f t="shared" si="63"/>
        <v>14979976.799999999</v>
      </c>
      <c r="N208">
        <f t="shared" si="64"/>
        <v>173450000</v>
      </c>
      <c r="O208">
        <f t="shared" si="57"/>
        <v>2.6746612856731046E-3</v>
      </c>
      <c r="P208">
        <v>70290.12</v>
      </c>
      <c r="Q208" s="8">
        <v>0.21640000000000001</v>
      </c>
      <c r="R208">
        <f t="shared" si="65"/>
        <v>35026240000</v>
      </c>
      <c r="S208">
        <f t="shared" si="66"/>
        <v>3233140000</v>
      </c>
      <c r="T208">
        <f t="shared" si="67"/>
        <v>1821830000</v>
      </c>
      <c r="U208">
        <f t="shared" si="68"/>
        <v>1205830000</v>
      </c>
      <c r="V208">
        <f t="shared" si="69"/>
        <v>2564980000</v>
      </c>
      <c r="W208">
        <f t="shared" si="58"/>
        <v>3.5331513683830134E-10</v>
      </c>
      <c r="X208">
        <f t="shared" si="70"/>
        <v>7.3230241099244447E-2</v>
      </c>
    </row>
    <row r="209" spans="1:24">
      <c r="A209" s="21">
        <v>45399</v>
      </c>
      <c r="B209">
        <v>32.119999999999997</v>
      </c>
      <c r="C209" s="29">
        <f t="shared" si="56"/>
        <v>8.160703075957251E-3</v>
      </c>
      <c r="D209">
        <f t="shared" si="59"/>
        <v>2.5451555849038566E-2</v>
      </c>
      <c r="E209">
        <v>32.75</v>
      </c>
      <c r="F209">
        <v>31.65</v>
      </c>
      <c r="G209">
        <f t="shared" si="60"/>
        <v>3.4161490683229857E-2</v>
      </c>
      <c r="H209">
        <v>32.19</v>
      </c>
      <c r="I209">
        <v>32.020000000000003</v>
      </c>
      <c r="J209">
        <f t="shared" si="61"/>
        <v>5.2951253698799118E-3</v>
      </c>
      <c r="K209">
        <v>469869</v>
      </c>
      <c r="L209">
        <f t="shared" si="62"/>
        <v>354090000</v>
      </c>
      <c r="M209">
        <f t="shared" si="63"/>
        <v>15092192.279999999</v>
      </c>
      <c r="N209">
        <f t="shared" si="64"/>
        <v>173450000</v>
      </c>
      <c r="O209">
        <f t="shared" si="57"/>
        <v>2.7089593542807726E-3</v>
      </c>
      <c r="P209">
        <v>70333.320000000007</v>
      </c>
      <c r="Q209" s="8">
        <v>0.21640000000000001</v>
      </c>
      <c r="R209">
        <f t="shared" si="65"/>
        <v>35026240000</v>
      </c>
      <c r="S209">
        <f t="shared" si="66"/>
        <v>3233140000</v>
      </c>
      <c r="T209">
        <f t="shared" si="67"/>
        <v>1821830000</v>
      </c>
      <c r="U209">
        <f t="shared" si="68"/>
        <v>1205830000</v>
      </c>
      <c r="V209">
        <f t="shared" si="69"/>
        <v>2564980000</v>
      </c>
      <c r="W209">
        <f t="shared" si="58"/>
        <v>5.4072350289173838E-10</v>
      </c>
      <c r="X209">
        <f t="shared" si="70"/>
        <v>7.3230241099244447E-2</v>
      </c>
    </row>
    <row r="210" spans="1:24">
      <c r="A210" s="21">
        <v>45398</v>
      </c>
      <c r="B210">
        <v>31.86</v>
      </c>
      <c r="C210" s="29">
        <f t="shared" si="56"/>
        <v>-1.8181818181818285E-2</v>
      </c>
      <c r="D210">
        <f t="shared" si="59"/>
        <v>2.5451555849038566E-2</v>
      </c>
      <c r="E210">
        <v>32.65</v>
      </c>
      <c r="F210">
        <v>31.71</v>
      </c>
      <c r="G210">
        <f t="shared" si="60"/>
        <v>2.921068986948408E-2</v>
      </c>
      <c r="H210">
        <v>31.9</v>
      </c>
      <c r="I210">
        <v>31.8</v>
      </c>
      <c r="J210">
        <f t="shared" si="61"/>
        <v>3.1397174254316441E-3</v>
      </c>
      <c r="K210">
        <v>1003959</v>
      </c>
      <c r="L210">
        <f t="shared" si="62"/>
        <v>354090000</v>
      </c>
      <c r="M210">
        <f t="shared" si="63"/>
        <v>31986133.739999998</v>
      </c>
      <c r="N210">
        <f t="shared" si="64"/>
        <v>173450000</v>
      </c>
      <c r="O210">
        <f t="shared" si="57"/>
        <v>5.7881752666474485E-3</v>
      </c>
      <c r="P210">
        <v>70483.66</v>
      </c>
      <c r="Q210" s="8">
        <v>0.216</v>
      </c>
      <c r="R210">
        <f t="shared" si="65"/>
        <v>35026240000</v>
      </c>
      <c r="S210">
        <f t="shared" si="66"/>
        <v>3233140000</v>
      </c>
      <c r="T210">
        <f t="shared" si="67"/>
        <v>1821830000</v>
      </c>
      <c r="U210">
        <f t="shared" si="68"/>
        <v>1205830000</v>
      </c>
      <c r="V210">
        <f t="shared" si="69"/>
        <v>2564980000</v>
      </c>
      <c r="W210">
        <f t="shared" si="58"/>
        <v>5.6842812981430014E-10</v>
      </c>
      <c r="X210">
        <f t="shared" si="70"/>
        <v>7.3230241099244447E-2</v>
      </c>
    </row>
    <row r="211" spans="1:24">
      <c r="A211" s="21">
        <v>45397</v>
      </c>
      <c r="B211">
        <v>32.450000000000003</v>
      </c>
      <c r="C211" s="29">
        <f t="shared" si="56"/>
        <v>1.6922594797869093E-2</v>
      </c>
      <c r="D211">
        <f t="shared" si="59"/>
        <v>2.5451555849038566E-2</v>
      </c>
      <c r="E211">
        <v>32.99</v>
      </c>
      <c r="F211">
        <v>31.51</v>
      </c>
      <c r="G211">
        <f t="shared" si="60"/>
        <v>4.589147286821707E-2</v>
      </c>
      <c r="H211">
        <v>32.49</v>
      </c>
      <c r="I211">
        <v>32.31</v>
      </c>
      <c r="J211">
        <f t="shared" si="61"/>
        <v>5.5555555555555462E-3</v>
      </c>
      <c r="K211">
        <v>701992</v>
      </c>
      <c r="L211">
        <f t="shared" si="62"/>
        <v>354090000</v>
      </c>
      <c r="M211">
        <f t="shared" si="63"/>
        <v>22779640.400000002</v>
      </c>
      <c r="N211">
        <f t="shared" si="64"/>
        <v>173450000</v>
      </c>
      <c r="O211">
        <f t="shared" si="57"/>
        <v>4.0472297492072642E-3</v>
      </c>
      <c r="P211">
        <v>70544.58</v>
      </c>
      <c r="Q211" s="8">
        <v>0.216</v>
      </c>
      <c r="R211">
        <f t="shared" si="65"/>
        <v>35026240000</v>
      </c>
      <c r="S211">
        <f t="shared" si="66"/>
        <v>3233140000</v>
      </c>
      <c r="T211">
        <f t="shared" si="67"/>
        <v>1821830000</v>
      </c>
      <c r="U211">
        <f t="shared" si="68"/>
        <v>1205830000</v>
      </c>
      <c r="V211">
        <f t="shared" si="69"/>
        <v>2564980000</v>
      </c>
      <c r="W211">
        <f t="shared" si="58"/>
        <v>7.4288243803309079E-10</v>
      </c>
      <c r="X211">
        <f t="shared" si="70"/>
        <v>7.3230241099244447E-2</v>
      </c>
    </row>
    <row r="212" spans="1:24">
      <c r="A212" s="21">
        <v>45391</v>
      </c>
      <c r="B212">
        <v>31.91</v>
      </c>
      <c r="C212" s="29">
        <f t="shared" si="56"/>
        <v>8.5335018963337405E-3</v>
      </c>
      <c r="D212">
        <f t="shared" si="59"/>
        <v>2.5451555849038566E-2</v>
      </c>
      <c r="E212">
        <v>32.01</v>
      </c>
      <c r="F212">
        <v>31.2</v>
      </c>
      <c r="G212">
        <f t="shared" si="60"/>
        <v>2.562885619364021E-2</v>
      </c>
      <c r="H212">
        <v>32</v>
      </c>
      <c r="I212">
        <v>31.76</v>
      </c>
      <c r="J212">
        <f t="shared" si="61"/>
        <v>7.5282308657465E-3</v>
      </c>
      <c r="K212">
        <v>407522</v>
      </c>
      <c r="L212">
        <f t="shared" si="62"/>
        <v>354090000</v>
      </c>
      <c r="M212">
        <f t="shared" si="63"/>
        <v>13004027.02</v>
      </c>
      <c r="N212">
        <f t="shared" si="64"/>
        <v>173450000</v>
      </c>
      <c r="O212">
        <f t="shared" si="57"/>
        <v>2.3495070625540503E-3</v>
      </c>
      <c r="P212">
        <v>70314.720000000001</v>
      </c>
      <c r="Q212" s="8">
        <v>0.216</v>
      </c>
      <c r="R212">
        <f t="shared" si="65"/>
        <v>35026240000</v>
      </c>
      <c r="S212">
        <f t="shared" si="66"/>
        <v>3233140000</v>
      </c>
      <c r="T212">
        <f t="shared" si="67"/>
        <v>1821830000</v>
      </c>
      <c r="U212">
        <f t="shared" si="68"/>
        <v>1205830000</v>
      </c>
      <c r="V212">
        <f t="shared" si="69"/>
        <v>2564980000</v>
      </c>
      <c r="W212">
        <f t="shared" si="58"/>
        <v>6.5621994503774425E-10</v>
      </c>
      <c r="X212">
        <f t="shared" si="70"/>
        <v>7.3230241099244447E-2</v>
      </c>
    </row>
    <row r="213" spans="1:24">
      <c r="A213" s="21">
        <v>45390</v>
      </c>
      <c r="B213">
        <v>31.64</v>
      </c>
      <c r="C213" s="29">
        <f t="shared" si="56"/>
        <v>4.2160737812911762E-2</v>
      </c>
      <c r="D213">
        <f t="shared" si="59"/>
        <v>2.5451555849038566E-2</v>
      </c>
      <c r="E213">
        <v>32.200000000000003</v>
      </c>
      <c r="F213">
        <v>30</v>
      </c>
      <c r="G213">
        <f t="shared" si="60"/>
        <v>7.073954983922838E-2</v>
      </c>
      <c r="H213">
        <v>31.8</v>
      </c>
      <c r="I213">
        <v>31.72</v>
      </c>
      <c r="J213">
        <f t="shared" si="61"/>
        <v>2.5188916876574892E-3</v>
      </c>
      <c r="K213">
        <v>1496698</v>
      </c>
      <c r="L213">
        <f t="shared" si="62"/>
        <v>354090000</v>
      </c>
      <c r="M213">
        <f t="shared" si="63"/>
        <v>47355524.719999999</v>
      </c>
      <c r="N213">
        <f t="shared" si="64"/>
        <v>173450000</v>
      </c>
      <c r="O213">
        <f t="shared" si="57"/>
        <v>8.6289881810319973E-3</v>
      </c>
      <c r="P213">
        <v>69619.990000000005</v>
      </c>
      <c r="Q213" s="8">
        <v>0.216</v>
      </c>
      <c r="R213">
        <f t="shared" si="65"/>
        <v>35026240000</v>
      </c>
      <c r="S213">
        <f t="shared" si="66"/>
        <v>3233140000</v>
      </c>
      <c r="T213">
        <f t="shared" si="67"/>
        <v>1821830000</v>
      </c>
      <c r="U213">
        <f t="shared" si="68"/>
        <v>1205830000</v>
      </c>
      <c r="V213">
        <f t="shared" si="69"/>
        <v>2564980000</v>
      </c>
      <c r="W213">
        <f t="shared" si="58"/>
        <v>8.9030241058876317E-10</v>
      </c>
      <c r="X213">
        <f t="shared" si="70"/>
        <v>7.3230241099244447E-2</v>
      </c>
    </row>
    <row r="214" spans="1:24">
      <c r="A214" s="21">
        <v>45386</v>
      </c>
      <c r="B214">
        <v>30.36</v>
      </c>
      <c r="C214" s="29">
        <f t="shared" si="56"/>
        <v>2.0847343644922696E-2</v>
      </c>
      <c r="D214">
        <f t="shared" si="59"/>
        <v>2.5451555849038566E-2</v>
      </c>
      <c r="E214">
        <v>30.49</v>
      </c>
      <c r="F214">
        <v>29.75</v>
      </c>
      <c r="G214">
        <f t="shared" si="60"/>
        <v>2.4568393094289459E-2</v>
      </c>
      <c r="H214">
        <v>30.35</v>
      </c>
      <c r="I214">
        <v>30.3</v>
      </c>
      <c r="J214">
        <f t="shared" si="61"/>
        <v>1.6488046166529499E-3</v>
      </c>
      <c r="K214">
        <v>246231</v>
      </c>
      <c r="L214">
        <f t="shared" si="62"/>
        <v>354090000</v>
      </c>
      <c r="M214">
        <f t="shared" si="63"/>
        <v>7475573.1600000001</v>
      </c>
      <c r="N214">
        <f t="shared" si="64"/>
        <v>173450000</v>
      </c>
      <c r="O214">
        <f t="shared" si="57"/>
        <v>1.4196079561833381E-3</v>
      </c>
      <c r="P214">
        <v>68416.78</v>
      </c>
      <c r="Q214" s="8">
        <v>0.216</v>
      </c>
      <c r="R214">
        <f t="shared" si="65"/>
        <v>35026240000</v>
      </c>
      <c r="S214">
        <f t="shared" si="66"/>
        <v>3233140000</v>
      </c>
      <c r="T214">
        <f t="shared" si="67"/>
        <v>1821830000</v>
      </c>
      <c r="U214">
        <f t="shared" si="68"/>
        <v>1205830000</v>
      </c>
      <c r="V214">
        <f t="shared" si="69"/>
        <v>2564980000</v>
      </c>
      <c r="W214">
        <f t="shared" si="58"/>
        <v>2.7887284625173405E-9</v>
      </c>
      <c r="X214">
        <f t="shared" si="70"/>
        <v>7.3230241099244447E-2</v>
      </c>
    </row>
    <row r="215" spans="1:24">
      <c r="A215" s="21">
        <v>45385</v>
      </c>
      <c r="B215">
        <v>29.74</v>
      </c>
      <c r="C215" s="29">
        <f t="shared" si="56"/>
        <v>5.749070003381743E-3</v>
      </c>
      <c r="D215">
        <f t="shared" si="59"/>
        <v>2.5451555849038566E-2</v>
      </c>
      <c r="E215">
        <v>29.89</v>
      </c>
      <c r="F215">
        <v>29.5</v>
      </c>
      <c r="G215">
        <f t="shared" si="60"/>
        <v>1.3133524162316907E-2</v>
      </c>
      <c r="H215">
        <v>29.76</v>
      </c>
      <c r="I215">
        <v>29.75</v>
      </c>
      <c r="J215">
        <f t="shared" si="61"/>
        <v>3.3607797008911315E-4</v>
      </c>
      <c r="K215">
        <v>100639</v>
      </c>
      <c r="L215">
        <f t="shared" si="62"/>
        <v>354090000</v>
      </c>
      <c r="M215">
        <f t="shared" si="63"/>
        <v>2993003.86</v>
      </c>
      <c r="N215">
        <f t="shared" si="64"/>
        <v>173450000</v>
      </c>
      <c r="O215">
        <f t="shared" si="57"/>
        <v>5.8021908330931104E-4</v>
      </c>
      <c r="P215">
        <v>67756.039999999994</v>
      </c>
      <c r="Q215" s="8">
        <v>0.216</v>
      </c>
      <c r="R215">
        <f t="shared" si="65"/>
        <v>35026240000</v>
      </c>
      <c r="S215">
        <f t="shared" si="66"/>
        <v>3233140000</v>
      </c>
      <c r="T215">
        <f t="shared" si="67"/>
        <v>1821830000</v>
      </c>
      <c r="U215">
        <f t="shared" si="68"/>
        <v>1205830000</v>
      </c>
      <c r="V215">
        <f t="shared" si="69"/>
        <v>2564980000</v>
      </c>
      <c r="W215">
        <f t="shared" si="58"/>
        <v>1.9208361473285046E-9</v>
      </c>
      <c r="X215">
        <f t="shared" si="70"/>
        <v>7.3230241099244447E-2</v>
      </c>
    </row>
    <row r="216" spans="1:24">
      <c r="A216" s="21">
        <v>45384</v>
      </c>
      <c r="B216">
        <v>29.57</v>
      </c>
      <c r="C216" s="29">
        <f t="shared" si="56"/>
        <v>-7.0517125587642995E-3</v>
      </c>
      <c r="D216">
        <f t="shared" si="59"/>
        <v>2.5451555849038566E-2</v>
      </c>
      <c r="E216">
        <v>30</v>
      </c>
      <c r="F216">
        <v>29.51</v>
      </c>
      <c r="G216">
        <f t="shared" si="60"/>
        <v>1.6467820534363919E-2</v>
      </c>
      <c r="H216">
        <v>29.72</v>
      </c>
      <c r="I216">
        <v>29.69</v>
      </c>
      <c r="J216">
        <f t="shared" si="61"/>
        <v>1.0099309880490688E-3</v>
      </c>
      <c r="K216">
        <v>146816</v>
      </c>
      <c r="L216">
        <f t="shared" si="62"/>
        <v>354090000</v>
      </c>
      <c r="M216">
        <f t="shared" si="63"/>
        <v>4341349.12</v>
      </c>
      <c r="N216">
        <f t="shared" si="64"/>
        <v>173450000</v>
      </c>
      <c r="O216">
        <f t="shared" si="57"/>
        <v>8.4644566157394063E-4</v>
      </c>
      <c r="P216">
        <v>66886.259999999995</v>
      </c>
      <c r="Q216" s="8">
        <v>0.216</v>
      </c>
      <c r="R216">
        <f t="shared" si="65"/>
        <v>35026240000</v>
      </c>
      <c r="S216">
        <f t="shared" si="66"/>
        <v>3233140000</v>
      </c>
      <c r="T216">
        <f t="shared" si="67"/>
        <v>1821830000</v>
      </c>
      <c r="U216">
        <f t="shared" si="68"/>
        <v>1205830000</v>
      </c>
      <c r="V216">
        <f t="shared" si="69"/>
        <v>2564980000</v>
      </c>
      <c r="W216">
        <f t="shared" si="58"/>
        <v>1.6243136324323761E-9</v>
      </c>
      <c r="X216">
        <f t="shared" si="70"/>
        <v>7.3230241099244447E-2</v>
      </c>
    </row>
    <row r="217" spans="1:24">
      <c r="A217" s="21">
        <v>45383</v>
      </c>
      <c r="B217">
        <v>29.78</v>
      </c>
      <c r="C217" s="29">
        <f t="shared" si="56"/>
        <v>9.4915254237288513E-3</v>
      </c>
      <c r="D217">
        <f t="shared" si="59"/>
        <v>2.5451555849038566E-2</v>
      </c>
      <c r="E217">
        <v>29.95</v>
      </c>
      <c r="F217">
        <v>29.41</v>
      </c>
      <c r="G217">
        <f t="shared" si="60"/>
        <v>1.8194070080862504E-2</v>
      </c>
      <c r="H217">
        <v>29.85</v>
      </c>
      <c r="I217">
        <v>29.72</v>
      </c>
      <c r="J217">
        <f t="shared" si="61"/>
        <v>4.3646130602653203E-3</v>
      </c>
      <c r="K217">
        <v>182584</v>
      </c>
      <c r="L217">
        <f t="shared" si="62"/>
        <v>354090000</v>
      </c>
      <c r="M217">
        <f t="shared" si="63"/>
        <v>5437351.5200000005</v>
      </c>
      <c r="N217">
        <f t="shared" si="64"/>
        <v>173450000</v>
      </c>
      <c r="O217">
        <f t="shared" si="57"/>
        <v>1.05266070913808E-3</v>
      </c>
      <c r="P217">
        <v>66796.320000000007</v>
      </c>
      <c r="Q217" s="8">
        <v>0.216</v>
      </c>
      <c r="R217">
        <f t="shared" si="65"/>
        <v>35026240000</v>
      </c>
      <c r="S217">
        <f t="shared" si="66"/>
        <v>3233140000</v>
      </c>
      <c r="T217">
        <f t="shared" si="67"/>
        <v>1821830000</v>
      </c>
      <c r="U217">
        <f t="shared" si="68"/>
        <v>1205830000</v>
      </c>
      <c r="V217">
        <f t="shared" si="69"/>
        <v>2564980000</v>
      </c>
      <c r="W217">
        <f t="shared" si="58"/>
        <v>1.7456155609613502E-9</v>
      </c>
      <c r="X217">
        <f t="shared" si="70"/>
        <v>7.3230241099244447E-2</v>
      </c>
    </row>
    <row r="218" spans="1:24">
      <c r="A218" s="21">
        <v>45380</v>
      </c>
      <c r="B218">
        <v>29.5</v>
      </c>
      <c r="C218" s="29">
        <f t="shared" si="56"/>
        <v>5.1107325383304451E-3</v>
      </c>
      <c r="D218">
        <f t="shared" si="59"/>
        <v>2.5451555849038566E-2</v>
      </c>
      <c r="E218">
        <v>29.75</v>
      </c>
      <c r="F218">
        <v>29.4</v>
      </c>
      <c r="G218">
        <f t="shared" si="60"/>
        <v>1.1834319526627267E-2</v>
      </c>
      <c r="H218">
        <v>29.45</v>
      </c>
      <c r="I218">
        <v>29.41</v>
      </c>
      <c r="J218">
        <f t="shared" si="61"/>
        <v>1.3591573224600458E-3</v>
      </c>
      <c r="K218">
        <v>315455</v>
      </c>
      <c r="L218">
        <f t="shared" si="62"/>
        <v>354090000</v>
      </c>
      <c r="M218">
        <f t="shared" si="63"/>
        <v>9305922.5</v>
      </c>
      <c r="N218">
        <f t="shared" si="64"/>
        <v>173450000</v>
      </c>
      <c r="O218">
        <f t="shared" si="57"/>
        <v>1.8187085615451138E-3</v>
      </c>
      <c r="P218">
        <v>67005.11</v>
      </c>
      <c r="Q218" s="8">
        <v>0.216</v>
      </c>
      <c r="R218">
        <f t="shared" si="65"/>
        <v>35026240000</v>
      </c>
      <c r="S218">
        <f t="shared" si="66"/>
        <v>3233140000</v>
      </c>
      <c r="T218">
        <f t="shared" si="67"/>
        <v>1821830000</v>
      </c>
      <c r="U218">
        <f t="shared" si="68"/>
        <v>1205830000</v>
      </c>
      <c r="V218">
        <f t="shared" si="69"/>
        <v>2564980000</v>
      </c>
      <c r="W218">
        <f t="shared" si="58"/>
        <v>5.491913927211886E-10</v>
      </c>
      <c r="X218">
        <f t="shared" si="70"/>
        <v>7.3230241099244447E-2</v>
      </c>
    </row>
    <row r="219" spans="1:24">
      <c r="A219" s="21">
        <v>45379</v>
      </c>
      <c r="B219">
        <v>29.35</v>
      </c>
      <c r="C219" s="29">
        <f t="shared" si="56"/>
        <v>0</v>
      </c>
      <c r="D219">
        <f t="shared" si="59"/>
        <v>2.5451555849038566E-2</v>
      </c>
      <c r="E219">
        <v>29.95</v>
      </c>
      <c r="F219">
        <v>29.25</v>
      </c>
      <c r="G219">
        <f t="shared" si="60"/>
        <v>2.3648648648648622E-2</v>
      </c>
      <c r="H219">
        <v>29.45</v>
      </c>
      <c r="I219">
        <v>29.31</v>
      </c>
      <c r="J219">
        <f t="shared" si="61"/>
        <v>4.7651463580667313E-3</v>
      </c>
      <c r="K219">
        <v>499117</v>
      </c>
      <c r="L219">
        <f t="shared" si="62"/>
        <v>354090000</v>
      </c>
      <c r="M219">
        <f t="shared" si="63"/>
        <v>14649083.950000001</v>
      </c>
      <c r="N219">
        <f t="shared" si="64"/>
        <v>173450000</v>
      </c>
      <c r="O219">
        <f t="shared" si="57"/>
        <v>2.8775843182473337E-3</v>
      </c>
      <c r="P219">
        <v>67142.12</v>
      </c>
      <c r="Q219" s="8">
        <v>0.216</v>
      </c>
      <c r="R219">
        <f t="shared" si="65"/>
        <v>35026240000</v>
      </c>
      <c r="S219">
        <f t="shared" si="66"/>
        <v>3233140000</v>
      </c>
      <c r="T219">
        <f t="shared" si="67"/>
        <v>1821830000</v>
      </c>
      <c r="U219">
        <f t="shared" si="68"/>
        <v>1205830000</v>
      </c>
      <c r="V219">
        <f t="shared" si="69"/>
        <v>2564980000</v>
      </c>
      <c r="W219">
        <f t="shared" si="58"/>
        <v>0</v>
      </c>
      <c r="X219">
        <f t="shared" si="70"/>
        <v>7.3230241099244447E-2</v>
      </c>
    </row>
    <row r="220" spans="1:24">
      <c r="A220" s="21">
        <v>45378</v>
      </c>
      <c r="B220">
        <v>29.35</v>
      </c>
      <c r="C220" s="29">
        <f t="shared" si="56"/>
        <v>9.2847317744155135E-3</v>
      </c>
      <c r="D220">
        <f t="shared" si="59"/>
        <v>2.5451555849038566E-2</v>
      </c>
      <c r="E220">
        <v>29.9</v>
      </c>
      <c r="F220">
        <v>29.1</v>
      </c>
      <c r="G220">
        <f t="shared" si="60"/>
        <v>2.7118644067796512E-2</v>
      </c>
      <c r="H220">
        <v>29.39</v>
      </c>
      <c r="I220">
        <v>29.25</v>
      </c>
      <c r="J220">
        <f t="shared" si="61"/>
        <v>4.7748976807640026E-3</v>
      </c>
      <c r="K220">
        <v>1458861</v>
      </c>
      <c r="L220">
        <f t="shared" si="62"/>
        <v>354090000</v>
      </c>
      <c r="M220">
        <f t="shared" si="63"/>
        <v>42817570.350000001</v>
      </c>
      <c r="N220">
        <f t="shared" si="64"/>
        <v>173450000</v>
      </c>
      <c r="O220">
        <f t="shared" si="57"/>
        <v>8.410844623810896E-3</v>
      </c>
      <c r="P220">
        <v>66547.789999999994</v>
      </c>
      <c r="Q220" s="8">
        <v>0.216</v>
      </c>
      <c r="R220">
        <f t="shared" si="65"/>
        <v>35026240000</v>
      </c>
      <c r="S220">
        <f t="shared" si="66"/>
        <v>3233140000</v>
      </c>
      <c r="T220">
        <f t="shared" si="67"/>
        <v>1821830000</v>
      </c>
      <c r="U220">
        <f t="shared" si="68"/>
        <v>1205830000</v>
      </c>
      <c r="V220">
        <f t="shared" si="69"/>
        <v>2564980000</v>
      </c>
      <c r="W220">
        <f t="shared" si="58"/>
        <v>2.168439661223214E-10</v>
      </c>
      <c r="X220">
        <f t="shared" si="70"/>
        <v>7.3230241099244447E-2</v>
      </c>
    </row>
    <row r="221" spans="1:24">
      <c r="A221" s="21">
        <v>45377</v>
      </c>
      <c r="B221">
        <v>29.08</v>
      </c>
      <c r="C221" s="29">
        <f t="shared" si="56"/>
        <v>-1.523874026413826E-2</v>
      </c>
      <c r="D221">
        <f t="shared" si="59"/>
        <v>2.5451555849038566E-2</v>
      </c>
      <c r="E221">
        <v>29.7</v>
      </c>
      <c r="F221">
        <v>29</v>
      </c>
      <c r="G221">
        <f t="shared" si="60"/>
        <v>2.3850085178875612E-2</v>
      </c>
      <c r="H221">
        <v>29</v>
      </c>
      <c r="I221">
        <v>28.98</v>
      </c>
      <c r="J221">
        <f t="shared" si="61"/>
        <v>6.8989306657466615E-4</v>
      </c>
      <c r="K221">
        <v>961663</v>
      </c>
      <c r="L221">
        <f t="shared" si="62"/>
        <v>354090000</v>
      </c>
      <c r="M221">
        <f t="shared" si="63"/>
        <v>27965160.039999999</v>
      </c>
      <c r="N221">
        <f t="shared" si="64"/>
        <v>173450000</v>
      </c>
      <c r="O221">
        <f t="shared" si="57"/>
        <v>5.5443240126837705E-3</v>
      </c>
      <c r="P221">
        <v>65906.28</v>
      </c>
      <c r="Q221" s="8">
        <v>0.216</v>
      </c>
      <c r="R221">
        <f t="shared" si="65"/>
        <v>35026240000</v>
      </c>
      <c r="S221">
        <f t="shared" si="66"/>
        <v>3233140000</v>
      </c>
      <c r="T221">
        <f t="shared" si="67"/>
        <v>1821830000</v>
      </c>
      <c r="U221">
        <f t="shared" si="68"/>
        <v>1205830000</v>
      </c>
      <c r="V221">
        <f t="shared" si="69"/>
        <v>2564980000</v>
      </c>
      <c r="W221">
        <f t="shared" si="58"/>
        <v>5.4491875756625429E-10</v>
      </c>
      <c r="X221">
        <f t="shared" si="70"/>
        <v>7.3230241099244447E-2</v>
      </c>
    </row>
    <row r="222" spans="1:24">
      <c r="A222" s="21">
        <v>45376</v>
      </c>
      <c r="B222">
        <v>29.53</v>
      </c>
      <c r="C222" s="29">
        <f t="shared" si="56"/>
        <v>0</v>
      </c>
      <c r="D222">
        <f t="shared" si="59"/>
        <v>2.5451555849038566E-2</v>
      </c>
      <c r="E222">
        <v>29.98</v>
      </c>
      <c r="F222">
        <v>29.5</v>
      </c>
      <c r="G222">
        <f t="shared" si="60"/>
        <v>1.613987895090788E-2</v>
      </c>
      <c r="H222">
        <v>29.79</v>
      </c>
      <c r="I222">
        <v>29.51</v>
      </c>
      <c r="J222">
        <f t="shared" si="61"/>
        <v>9.4435075885328026E-3</v>
      </c>
      <c r="K222">
        <v>513612</v>
      </c>
      <c r="L222">
        <f t="shared" si="62"/>
        <v>354090000</v>
      </c>
      <c r="M222">
        <f t="shared" si="63"/>
        <v>15166962.360000001</v>
      </c>
      <c r="N222">
        <f t="shared" si="64"/>
        <v>173450000</v>
      </c>
      <c r="O222">
        <f t="shared" si="57"/>
        <v>2.9611530700490054E-3</v>
      </c>
      <c r="P222">
        <v>65525.65</v>
      </c>
      <c r="Q222" s="8">
        <v>0.216</v>
      </c>
      <c r="R222">
        <f t="shared" si="65"/>
        <v>35026240000</v>
      </c>
      <c r="S222">
        <f t="shared" si="66"/>
        <v>3233140000</v>
      </c>
      <c r="T222">
        <f t="shared" si="67"/>
        <v>1821830000</v>
      </c>
      <c r="U222">
        <f t="shared" si="68"/>
        <v>1205830000</v>
      </c>
      <c r="V222">
        <f t="shared" si="69"/>
        <v>2564980000</v>
      </c>
      <c r="W222">
        <f t="shared" si="58"/>
        <v>0</v>
      </c>
      <c r="X222">
        <f t="shared" si="70"/>
        <v>7.3230241099244447E-2</v>
      </c>
    </row>
    <row r="225" spans="1:24" ht="15" thickBot="1"/>
    <row r="226" spans="1:24" ht="16" thickBot="1">
      <c r="A226" s="184" t="s">
        <v>41</v>
      </c>
      <c r="B226" s="185"/>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6"/>
    </row>
    <row r="227" spans="1:24" ht="43.5">
      <c r="A227" s="11" t="s">
        <v>14</v>
      </c>
      <c r="B227" s="11" t="s">
        <v>15</v>
      </c>
      <c r="C227" s="12" t="s">
        <v>16</v>
      </c>
      <c r="D227" s="12" t="s">
        <v>17</v>
      </c>
      <c r="E227" s="13" t="s">
        <v>34</v>
      </c>
      <c r="F227" s="13" t="s">
        <v>13</v>
      </c>
      <c r="G227" s="12" t="s">
        <v>18</v>
      </c>
      <c r="H227" s="11" t="s">
        <v>12</v>
      </c>
      <c r="I227" s="13" t="s">
        <v>1</v>
      </c>
      <c r="J227" s="12" t="s">
        <v>19</v>
      </c>
      <c r="K227" s="11" t="s">
        <v>2</v>
      </c>
      <c r="L227" s="32" t="s">
        <v>37</v>
      </c>
      <c r="M227" s="7" t="s">
        <v>39</v>
      </c>
      <c r="N227" s="5" t="s">
        <v>22</v>
      </c>
      <c r="O227" s="7" t="s">
        <v>28</v>
      </c>
      <c r="P227" s="5" t="s">
        <v>5</v>
      </c>
      <c r="Q227" s="11" t="s">
        <v>6</v>
      </c>
      <c r="R227" s="11" t="s">
        <v>40</v>
      </c>
      <c r="S227" s="11" t="s">
        <v>29</v>
      </c>
      <c r="T227" s="11" t="s">
        <v>9</v>
      </c>
      <c r="U227" s="11" t="s">
        <v>10</v>
      </c>
      <c r="V227" s="11" t="s">
        <v>32</v>
      </c>
      <c r="W227" s="7" t="s">
        <v>73</v>
      </c>
      <c r="X227" s="7" t="s">
        <v>72</v>
      </c>
    </row>
    <row r="228" spans="1:24">
      <c r="A228" s="33">
        <v>45436</v>
      </c>
      <c r="B228" s="34">
        <v>88.11</v>
      </c>
      <c r="C228" s="29">
        <f t="shared" ref="C228:C267" si="71">IFERROR((B228-B229)/B229,0)</f>
        <v>7.5036603221083534E-2</v>
      </c>
      <c r="D228">
        <f>_xlfn.STDEV.S($C$228:$C$267)</f>
        <v>0.16305596417137128</v>
      </c>
      <c r="E228" s="34">
        <v>88.11</v>
      </c>
      <c r="F228" s="34">
        <v>83.51</v>
      </c>
      <c r="G228">
        <f>(E228-F228)/AVERAGE(E228,F228)</f>
        <v>5.3606805733597412E-2</v>
      </c>
      <c r="H228" s="34">
        <v>89.21</v>
      </c>
      <c r="I228" s="34">
        <v>88.11</v>
      </c>
      <c r="J228">
        <f>(H228-I228)/AVERAGE(H228,I228)</f>
        <v>1.2406947890818795E-2</v>
      </c>
      <c r="K228" s="35">
        <v>399000</v>
      </c>
      <c r="L228" s="37">
        <f>372.08*1000000</f>
        <v>372080000</v>
      </c>
      <c r="M228">
        <f t="shared" ref="M228:M267" si="72">K228*B228</f>
        <v>35155890</v>
      </c>
      <c r="N228" s="37">
        <f>145.57*1000000</f>
        <v>145570000</v>
      </c>
      <c r="O228">
        <f t="shared" ref="O228:O267" si="73">K228/N228</f>
        <v>2.7409493714364223E-3</v>
      </c>
      <c r="P228" s="36">
        <v>75983.039999999994</v>
      </c>
      <c r="Q228" s="8">
        <v>0.2157</v>
      </c>
      <c r="R228" s="37">
        <f>31184.71*1000000</f>
        <v>31184710000</v>
      </c>
      <c r="S228" s="37">
        <f>4643.53*1000000</f>
        <v>4643530000</v>
      </c>
      <c r="T228" s="37">
        <f>2160.08*1000000</f>
        <v>2160080000</v>
      </c>
      <c r="U228" s="37">
        <f>205.22*1000000</f>
        <v>205220000</v>
      </c>
      <c r="V228" s="37">
        <f>3779.96*1000000</f>
        <v>3779960000</v>
      </c>
      <c r="W228">
        <f t="shared" ref="W228:W267" si="74">IFERROR(ABS(C228)/M228,0)</f>
        <v>2.1343963478405334E-9</v>
      </c>
      <c r="X228">
        <f>V228/R228</f>
        <v>0.12121196573577243</v>
      </c>
    </row>
    <row r="229" spans="1:24">
      <c r="A229" s="33">
        <v>45435</v>
      </c>
      <c r="B229" s="34">
        <v>81.96</v>
      </c>
      <c r="C229" s="29">
        <f t="shared" si="71"/>
        <v>7.5026232948583405E-2</v>
      </c>
      <c r="D229">
        <f t="shared" ref="D229:D267" si="75">_xlfn.STDEV.S($C$228:$C$267)</f>
        <v>0.16305596417137128</v>
      </c>
      <c r="E229" s="34">
        <v>81.96</v>
      </c>
      <c r="F229" s="34">
        <v>81.96</v>
      </c>
      <c r="G229">
        <f t="shared" ref="G229:G266" si="76">(E229-F229)/AVERAGE(E229,F229)</f>
        <v>0</v>
      </c>
      <c r="H229" s="34">
        <v>82.25</v>
      </c>
      <c r="I229" s="34">
        <v>81.96</v>
      </c>
      <c r="J229">
        <f t="shared" ref="J229:J267" si="77">(H229-I229)/AVERAGE(H229,I229)</f>
        <v>3.5320626027648292E-3</v>
      </c>
      <c r="K229" s="35">
        <v>171000</v>
      </c>
      <c r="L229" s="37">
        <f t="shared" ref="L229:L267" si="78">372.08*1000000</f>
        <v>372080000</v>
      </c>
      <c r="M229">
        <f t="shared" si="72"/>
        <v>14015159.999999998</v>
      </c>
      <c r="N229" s="37">
        <f t="shared" ref="N229:N267" si="79">145.57*1000000</f>
        <v>145570000</v>
      </c>
      <c r="O229">
        <f t="shared" si="73"/>
        <v>1.1746925877584666E-3</v>
      </c>
      <c r="P229" s="36">
        <v>75114.47</v>
      </c>
      <c r="Q229" s="8">
        <v>0.2157</v>
      </c>
      <c r="R229" s="37">
        <f t="shared" ref="R229:R267" si="80">31184.71*1000000</f>
        <v>31184710000</v>
      </c>
      <c r="S229" s="37">
        <f t="shared" ref="S229:S267" si="81">4643.53*1000000</f>
        <v>4643530000</v>
      </c>
      <c r="T229" s="37">
        <f t="shared" ref="T229:T267" si="82">2160.08*1000000</f>
        <v>2160080000</v>
      </c>
      <c r="U229" s="37">
        <f t="shared" ref="U229:U267" si="83">205.22*1000000</f>
        <v>205220000</v>
      </c>
      <c r="V229" s="37">
        <f t="shared" ref="V229:V267" si="84">3779.96*1000000</f>
        <v>3779960000</v>
      </c>
      <c r="W229">
        <f t="shared" si="74"/>
        <v>5.3532198668144649E-9</v>
      </c>
      <c r="X229">
        <f t="shared" ref="X229:X267" si="85">V229/R229</f>
        <v>0.12121196573577243</v>
      </c>
    </row>
    <row r="230" spans="1:24">
      <c r="A230" s="33">
        <v>45434</v>
      </c>
      <c r="B230" s="34">
        <v>76.239999999999995</v>
      </c>
      <c r="C230" s="29">
        <f t="shared" si="71"/>
        <v>7.5014100394810962E-2</v>
      </c>
      <c r="D230">
        <f t="shared" si="75"/>
        <v>0.16305596417137128</v>
      </c>
      <c r="E230" s="34">
        <v>76.239999999999995</v>
      </c>
      <c r="F230" s="34">
        <v>76.239999999999995</v>
      </c>
      <c r="G230">
        <f t="shared" si="76"/>
        <v>0</v>
      </c>
      <c r="H230" s="34">
        <v>77.5</v>
      </c>
      <c r="I230" s="34">
        <v>76.239999999999995</v>
      </c>
      <c r="J230">
        <f t="shared" si="77"/>
        <v>1.6391310003902759E-2</v>
      </c>
      <c r="K230" s="35">
        <v>21500</v>
      </c>
      <c r="L230" s="37">
        <f t="shared" si="78"/>
        <v>372080000</v>
      </c>
      <c r="M230">
        <f t="shared" si="72"/>
        <v>1639160</v>
      </c>
      <c r="N230" s="37">
        <f t="shared" si="79"/>
        <v>145570000</v>
      </c>
      <c r="O230">
        <f t="shared" si="73"/>
        <v>1.4769526688191247E-4</v>
      </c>
      <c r="P230" s="36">
        <v>74956.67</v>
      </c>
      <c r="Q230" s="8">
        <v>0.2157</v>
      </c>
      <c r="R230" s="37">
        <f t="shared" si="80"/>
        <v>31184710000</v>
      </c>
      <c r="S230" s="37">
        <f t="shared" si="81"/>
        <v>4643530000</v>
      </c>
      <c r="T230" s="37">
        <f t="shared" si="82"/>
        <v>2160080000</v>
      </c>
      <c r="U230" s="37">
        <f t="shared" si="83"/>
        <v>205220000</v>
      </c>
      <c r="V230" s="37">
        <f t="shared" si="84"/>
        <v>3779960000</v>
      </c>
      <c r="W230">
        <f t="shared" si="74"/>
        <v>4.5763745085782329E-8</v>
      </c>
      <c r="X230">
        <f t="shared" si="85"/>
        <v>0.12121196573577243</v>
      </c>
    </row>
    <row r="231" spans="1:24">
      <c r="A231" s="33">
        <v>45433</v>
      </c>
      <c r="B231" s="34">
        <v>70.92</v>
      </c>
      <c r="C231" s="29">
        <f t="shared" si="71"/>
        <v>7.5034106412005502E-2</v>
      </c>
      <c r="D231">
        <f t="shared" si="75"/>
        <v>0.16305596417137128</v>
      </c>
      <c r="E231" s="34">
        <v>70.92</v>
      </c>
      <c r="F231" s="34">
        <v>70.92</v>
      </c>
      <c r="G231">
        <f t="shared" si="76"/>
        <v>0</v>
      </c>
      <c r="H231" s="34">
        <v>70.98</v>
      </c>
      <c r="I231" s="34">
        <v>70.92</v>
      </c>
      <c r="J231">
        <f t="shared" si="77"/>
        <v>8.4566596194506375E-4</v>
      </c>
      <c r="K231" s="35">
        <v>5500</v>
      </c>
      <c r="L231" s="37">
        <f t="shared" si="78"/>
        <v>372080000</v>
      </c>
      <c r="M231">
        <f t="shared" si="72"/>
        <v>390060</v>
      </c>
      <c r="N231" s="37">
        <f t="shared" si="79"/>
        <v>145570000</v>
      </c>
      <c r="O231">
        <f t="shared" si="73"/>
        <v>3.7782510132582266E-5</v>
      </c>
      <c r="P231" s="36">
        <v>75206.77</v>
      </c>
      <c r="Q231" s="8">
        <v>0.2157</v>
      </c>
      <c r="R231" s="37">
        <f t="shared" si="80"/>
        <v>31184710000</v>
      </c>
      <c r="S231" s="37">
        <f t="shared" si="81"/>
        <v>4643530000</v>
      </c>
      <c r="T231" s="37">
        <f t="shared" si="82"/>
        <v>2160080000</v>
      </c>
      <c r="U231" s="37">
        <f t="shared" si="83"/>
        <v>205220000</v>
      </c>
      <c r="V231" s="37">
        <f t="shared" si="84"/>
        <v>3779960000</v>
      </c>
      <c r="W231">
        <f t="shared" si="74"/>
        <v>1.9236554994617624E-7</v>
      </c>
      <c r="X231">
        <f t="shared" si="85"/>
        <v>0.12121196573577243</v>
      </c>
    </row>
    <row r="232" spans="1:24">
      <c r="A232" s="33">
        <v>45432</v>
      </c>
      <c r="B232" s="34">
        <v>65.97</v>
      </c>
      <c r="C232" s="29">
        <f t="shared" si="71"/>
        <v>7.4955189832165578E-2</v>
      </c>
      <c r="D232">
        <f t="shared" si="75"/>
        <v>0.16305596417137128</v>
      </c>
      <c r="E232" s="34">
        <v>65.97</v>
      </c>
      <c r="F232" s="34">
        <v>65.97</v>
      </c>
      <c r="G232">
        <f t="shared" si="76"/>
        <v>0</v>
      </c>
      <c r="H232" s="34">
        <v>66.099999999999994</v>
      </c>
      <c r="I232" s="34">
        <v>65.97</v>
      </c>
      <c r="J232">
        <f t="shared" si="77"/>
        <v>1.968652987052252E-3</v>
      </c>
      <c r="K232" s="35">
        <v>27500</v>
      </c>
      <c r="L232" s="37">
        <f t="shared" si="78"/>
        <v>372080000</v>
      </c>
      <c r="M232">
        <f t="shared" si="72"/>
        <v>1814175</v>
      </c>
      <c r="N232" s="37">
        <f t="shared" si="79"/>
        <v>145570000</v>
      </c>
      <c r="O232">
        <f t="shared" si="73"/>
        <v>1.889125506629113E-4</v>
      </c>
      <c r="P232" s="36">
        <v>75084</v>
      </c>
      <c r="Q232" s="8">
        <v>0.2157</v>
      </c>
      <c r="R232" s="37">
        <f t="shared" si="80"/>
        <v>31184710000</v>
      </c>
      <c r="S232" s="37">
        <f t="shared" si="81"/>
        <v>4643530000</v>
      </c>
      <c r="T232" s="37">
        <f t="shared" si="82"/>
        <v>2160080000</v>
      </c>
      <c r="U232" s="37">
        <f t="shared" si="83"/>
        <v>205220000</v>
      </c>
      <c r="V232" s="37">
        <f t="shared" si="84"/>
        <v>3779960000</v>
      </c>
      <c r="W232">
        <f t="shared" si="74"/>
        <v>4.1316405436171031E-8</v>
      </c>
      <c r="X232">
        <f t="shared" si="85"/>
        <v>0.12121196573577243</v>
      </c>
    </row>
    <row r="233" spans="1:24">
      <c r="A233" s="33">
        <v>45429</v>
      </c>
      <c r="B233" s="34">
        <v>61.37</v>
      </c>
      <c r="C233" s="29">
        <f t="shared" si="71"/>
        <v>7.4969346645647111E-2</v>
      </c>
      <c r="D233">
        <f t="shared" si="75"/>
        <v>0.16305596417137128</v>
      </c>
      <c r="E233" s="34">
        <v>61.37</v>
      </c>
      <c r="F233" s="34">
        <v>54.5</v>
      </c>
      <c r="G233">
        <f t="shared" si="76"/>
        <v>0.11858116855096223</v>
      </c>
      <c r="H233" s="34">
        <v>61.5</v>
      </c>
      <c r="I233" s="34">
        <v>61.37</v>
      </c>
      <c r="J233">
        <f t="shared" si="77"/>
        <v>2.1160576218768219E-3</v>
      </c>
      <c r="K233" s="35">
        <v>66500</v>
      </c>
      <c r="L233" s="37">
        <f t="shared" si="78"/>
        <v>372080000</v>
      </c>
      <c r="M233">
        <f t="shared" si="72"/>
        <v>4081105</v>
      </c>
      <c r="N233" s="37">
        <f t="shared" si="79"/>
        <v>145570000</v>
      </c>
      <c r="O233">
        <f t="shared" si="73"/>
        <v>4.568248952394037E-4</v>
      </c>
      <c r="P233" s="36">
        <v>75342.350000000006</v>
      </c>
      <c r="Q233" s="8">
        <v>0.2157</v>
      </c>
      <c r="R233" s="37">
        <f t="shared" si="80"/>
        <v>31184710000</v>
      </c>
      <c r="S233" s="37">
        <f t="shared" si="81"/>
        <v>4643530000</v>
      </c>
      <c r="T233" s="37">
        <f t="shared" si="82"/>
        <v>2160080000</v>
      </c>
      <c r="U233" s="37">
        <f t="shared" si="83"/>
        <v>205220000</v>
      </c>
      <c r="V233" s="37">
        <f t="shared" si="84"/>
        <v>3779960000</v>
      </c>
      <c r="W233">
        <f t="shared" si="74"/>
        <v>1.8369864692441657E-8</v>
      </c>
      <c r="X233">
        <f t="shared" si="85"/>
        <v>0.12121196573577243</v>
      </c>
    </row>
    <row r="234" spans="1:24">
      <c r="A234" s="33">
        <v>45428</v>
      </c>
      <c r="B234" s="34">
        <v>57.09</v>
      </c>
      <c r="C234" s="29">
        <f t="shared" si="71"/>
        <v>3.8000000000000062E-2</v>
      </c>
      <c r="D234">
        <f t="shared" si="75"/>
        <v>0.16305596417137128</v>
      </c>
      <c r="E234" s="34">
        <v>58</v>
      </c>
      <c r="F234" s="34">
        <v>54.5</v>
      </c>
      <c r="G234">
        <f t="shared" si="76"/>
        <v>6.222222222222222E-2</v>
      </c>
      <c r="H234" s="34">
        <v>59</v>
      </c>
      <c r="I234" s="34">
        <v>56.01</v>
      </c>
      <c r="J234">
        <f t="shared" si="77"/>
        <v>5.1995478654030126E-2</v>
      </c>
      <c r="K234" s="35">
        <v>12500</v>
      </c>
      <c r="L234" s="37">
        <f t="shared" si="78"/>
        <v>372080000</v>
      </c>
      <c r="M234">
        <f t="shared" si="72"/>
        <v>713625</v>
      </c>
      <c r="N234" s="37">
        <f t="shared" si="79"/>
        <v>145570000</v>
      </c>
      <c r="O234">
        <f t="shared" si="73"/>
        <v>8.586934121041424E-5</v>
      </c>
      <c r="P234" s="36">
        <v>74930.7</v>
      </c>
      <c r="Q234" s="8">
        <v>0.2157</v>
      </c>
      <c r="R234" s="37">
        <f t="shared" si="80"/>
        <v>31184710000</v>
      </c>
      <c r="S234" s="37">
        <f t="shared" si="81"/>
        <v>4643530000</v>
      </c>
      <c r="T234" s="37">
        <f t="shared" si="82"/>
        <v>2160080000</v>
      </c>
      <c r="U234" s="37">
        <f t="shared" si="83"/>
        <v>205220000</v>
      </c>
      <c r="V234" s="37">
        <f t="shared" si="84"/>
        <v>3779960000</v>
      </c>
      <c r="W234">
        <f t="shared" si="74"/>
        <v>5.3249255561394374E-8</v>
      </c>
      <c r="X234">
        <f t="shared" si="85"/>
        <v>0.12121196573577243</v>
      </c>
    </row>
    <row r="235" spans="1:24">
      <c r="A235" s="33">
        <v>45427</v>
      </c>
      <c r="B235" s="34">
        <v>55</v>
      </c>
      <c r="C235" s="29">
        <f t="shared" si="71"/>
        <v>1.8185124568099672E-4</v>
      </c>
      <c r="D235">
        <f t="shared" si="75"/>
        <v>0.16305596417137128</v>
      </c>
      <c r="E235" s="34">
        <v>55</v>
      </c>
      <c r="F235" s="34">
        <v>52.5</v>
      </c>
      <c r="G235">
        <f t="shared" si="76"/>
        <v>4.6511627906976744E-2</v>
      </c>
      <c r="H235" s="34">
        <v>55.3</v>
      </c>
      <c r="I235" s="34">
        <v>54</v>
      </c>
      <c r="J235">
        <f t="shared" si="77"/>
        <v>2.3787740164684303E-2</v>
      </c>
      <c r="K235" s="35">
        <v>17000</v>
      </c>
      <c r="L235" s="37">
        <f t="shared" si="78"/>
        <v>372080000</v>
      </c>
      <c r="M235">
        <f t="shared" si="72"/>
        <v>935000</v>
      </c>
      <c r="N235" s="37">
        <f t="shared" si="79"/>
        <v>145570000</v>
      </c>
      <c r="O235">
        <f t="shared" si="73"/>
        <v>1.1678230404616336E-4</v>
      </c>
      <c r="P235" s="36">
        <v>74663.98</v>
      </c>
      <c r="Q235" s="8">
        <v>0.2157</v>
      </c>
      <c r="R235" s="37">
        <f t="shared" si="80"/>
        <v>31184710000</v>
      </c>
      <c r="S235" s="37">
        <f t="shared" si="81"/>
        <v>4643530000</v>
      </c>
      <c r="T235" s="37">
        <f t="shared" si="82"/>
        <v>2160080000</v>
      </c>
      <c r="U235" s="37">
        <f t="shared" si="83"/>
        <v>205220000</v>
      </c>
      <c r="V235" s="37">
        <f t="shared" si="84"/>
        <v>3779960000</v>
      </c>
      <c r="W235">
        <f t="shared" si="74"/>
        <v>1.9449331088876654E-10</v>
      </c>
      <c r="X235">
        <f t="shared" si="85"/>
        <v>0.12121196573577243</v>
      </c>
    </row>
    <row r="236" spans="1:24">
      <c r="A236" s="33">
        <v>45426</v>
      </c>
      <c r="B236" s="34">
        <v>54.99</v>
      </c>
      <c r="C236" s="29">
        <f t="shared" si="71"/>
        <v>0</v>
      </c>
      <c r="D236">
        <f t="shared" si="75"/>
        <v>0.16305596417137128</v>
      </c>
      <c r="E236" s="34">
        <v>55</v>
      </c>
      <c r="F236" s="34">
        <v>54.99</v>
      </c>
      <c r="G236">
        <f t="shared" si="76"/>
        <v>1.8183471224653169E-4</v>
      </c>
      <c r="H236" s="34">
        <v>55.4</v>
      </c>
      <c r="I236" s="34">
        <v>53.01</v>
      </c>
      <c r="J236">
        <f t="shared" si="77"/>
        <v>4.4091873443409292E-2</v>
      </c>
      <c r="K236" s="35">
        <v>23500</v>
      </c>
      <c r="L236" s="37">
        <f t="shared" si="78"/>
        <v>372080000</v>
      </c>
      <c r="M236">
        <f t="shared" si="72"/>
        <v>1292265</v>
      </c>
      <c r="N236" s="37">
        <f t="shared" si="79"/>
        <v>145570000</v>
      </c>
      <c r="O236">
        <f t="shared" si="73"/>
        <v>1.6143436147557876E-4</v>
      </c>
      <c r="P236" s="36">
        <v>74531.19</v>
      </c>
      <c r="Q236" s="8">
        <v>0.21590000000000001</v>
      </c>
      <c r="R236" s="37">
        <f t="shared" si="80"/>
        <v>31184710000</v>
      </c>
      <c r="S236" s="37">
        <f t="shared" si="81"/>
        <v>4643530000</v>
      </c>
      <c r="T236" s="37">
        <f t="shared" si="82"/>
        <v>2160080000</v>
      </c>
      <c r="U236" s="37">
        <f t="shared" si="83"/>
        <v>205220000</v>
      </c>
      <c r="V236" s="37">
        <f t="shared" si="84"/>
        <v>3779960000</v>
      </c>
      <c r="W236">
        <f t="shared" si="74"/>
        <v>0</v>
      </c>
      <c r="X236">
        <f t="shared" si="85"/>
        <v>0.12121196573577243</v>
      </c>
    </row>
    <row r="237" spans="1:24">
      <c r="A237" s="33">
        <v>45425</v>
      </c>
      <c r="B237" s="34">
        <v>0</v>
      </c>
      <c r="C237" s="29">
        <f t="shared" si="71"/>
        <v>-1</v>
      </c>
      <c r="D237">
        <f t="shared" si="75"/>
        <v>0.16305596417137128</v>
      </c>
      <c r="E237" s="34">
        <v>0</v>
      </c>
      <c r="F237" s="34">
        <v>0</v>
      </c>
      <c r="G237">
        <v>0</v>
      </c>
      <c r="H237" s="34">
        <v>54.79</v>
      </c>
      <c r="I237" s="34">
        <v>52.05</v>
      </c>
      <c r="J237">
        <f t="shared" si="77"/>
        <v>5.1291651067016136E-2</v>
      </c>
      <c r="K237" s="35">
        <v>0</v>
      </c>
      <c r="L237" s="37">
        <f t="shared" si="78"/>
        <v>372080000</v>
      </c>
      <c r="M237">
        <f t="shared" si="72"/>
        <v>0</v>
      </c>
      <c r="N237" s="37">
        <f t="shared" si="79"/>
        <v>145570000</v>
      </c>
      <c r="O237">
        <f t="shared" si="73"/>
        <v>0</v>
      </c>
      <c r="P237" s="36">
        <v>73799.11</v>
      </c>
      <c r="Q237" s="8">
        <v>0.21590000000000001</v>
      </c>
      <c r="R237" s="37">
        <f t="shared" si="80"/>
        <v>31184710000</v>
      </c>
      <c r="S237" s="37">
        <f t="shared" si="81"/>
        <v>4643530000</v>
      </c>
      <c r="T237" s="37">
        <f t="shared" si="82"/>
        <v>2160080000</v>
      </c>
      <c r="U237" s="37">
        <f t="shared" si="83"/>
        <v>205220000</v>
      </c>
      <c r="V237" s="37">
        <f t="shared" si="84"/>
        <v>3779960000</v>
      </c>
      <c r="W237">
        <f t="shared" si="74"/>
        <v>0</v>
      </c>
      <c r="X237">
        <f t="shared" si="85"/>
        <v>0.12121196573577243</v>
      </c>
    </row>
    <row r="238" spans="1:24">
      <c r="A238" s="33">
        <v>45422</v>
      </c>
      <c r="B238" s="34">
        <v>54.25</v>
      </c>
      <c r="C238" s="29">
        <f t="shared" si="71"/>
        <v>4.6296296296296294E-3</v>
      </c>
      <c r="D238">
        <f t="shared" si="75"/>
        <v>0.16305596417137128</v>
      </c>
      <c r="E238" s="34">
        <v>54.25</v>
      </c>
      <c r="F238" s="34">
        <v>54</v>
      </c>
      <c r="G238">
        <f t="shared" si="76"/>
        <v>4.6189376443418013E-3</v>
      </c>
      <c r="H238" s="34">
        <v>54.7</v>
      </c>
      <c r="I238" s="34">
        <v>52.1</v>
      </c>
      <c r="J238">
        <f t="shared" si="77"/>
        <v>4.8689138576779048E-2</v>
      </c>
      <c r="K238" s="35">
        <v>4500</v>
      </c>
      <c r="L238" s="37">
        <f t="shared" si="78"/>
        <v>372080000</v>
      </c>
      <c r="M238">
        <f t="shared" si="72"/>
        <v>244125</v>
      </c>
      <c r="N238" s="37">
        <f t="shared" si="79"/>
        <v>145570000</v>
      </c>
      <c r="O238">
        <f t="shared" si="73"/>
        <v>3.0912962835749123E-5</v>
      </c>
      <c r="P238" s="36">
        <v>73085.5</v>
      </c>
      <c r="Q238" s="8">
        <v>0.21590000000000001</v>
      </c>
      <c r="R238" s="37">
        <f t="shared" si="80"/>
        <v>31184710000</v>
      </c>
      <c r="S238" s="37">
        <f t="shared" si="81"/>
        <v>4643530000</v>
      </c>
      <c r="T238" s="37">
        <f t="shared" si="82"/>
        <v>2160080000</v>
      </c>
      <c r="U238" s="37">
        <f t="shared" si="83"/>
        <v>205220000</v>
      </c>
      <c r="V238" s="37">
        <f t="shared" si="84"/>
        <v>3779960000</v>
      </c>
      <c r="W238">
        <f t="shared" si="74"/>
        <v>1.896417667026986E-8</v>
      </c>
      <c r="X238">
        <f t="shared" si="85"/>
        <v>0.12121196573577243</v>
      </c>
    </row>
    <row r="239" spans="1:24">
      <c r="A239" s="33">
        <v>45421</v>
      </c>
      <c r="B239" s="34">
        <v>54</v>
      </c>
      <c r="C239" s="29">
        <f t="shared" si="71"/>
        <v>0</v>
      </c>
      <c r="D239">
        <f t="shared" si="75"/>
        <v>0.16305596417137128</v>
      </c>
      <c r="E239" s="34">
        <v>54.6</v>
      </c>
      <c r="F239" s="34">
        <v>54.6</v>
      </c>
      <c r="G239">
        <f t="shared" si="76"/>
        <v>0</v>
      </c>
      <c r="H239" s="34">
        <v>54.5</v>
      </c>
      <c r="I239" s="34">
        <v>52.74</v>
      </c>
      <c r="J239">
        <f t="shared" si="77"/>
        <v>3.2823573293547147E-2</v>
      </c>
      <c r="K239" s="35">
        <v>0</v>
      </c>
      <c r="L239" s="37">
        <f t="shared" si="78"/>
        <v>372080000</v>
      </c>
      <c r="M239">
        <f t="shared" si="72"/>
        <v>0</v>
      </c>
      <c r="N239" s="37">
        <f t="shared" si="79"/>
        <v>145570000</v>
      </c>
      <c r="O239">
        <f t="shared" si="73"/>
        <v>0</v>
      </c>
      <c r="P239" s="36">
        <v>72658.05</v>
      </c>
      <c r="Q239" s="8">
        <v>0.21590000000000001</v>
      </c>
      <c r="R239" s="37">
        <f t="shared" si="80"/>
        <v>31184710000</v>
      </c>
      <c r="S239" s="37">
        <f t="shared" si="81"/>
        <v>4643530000</v>
      </c>
      <c r="T239" s="37">
        <f t="shared" si="82"/>
        <v>2160080000</v>
      </c>
      <c r="U239" s="37">
        <f t="shared" si="83"/>
        <v>205220000</v>
      </c>
      <c r="V239" s="37">
        <f t="shared" si="84"/>
        <v>3779960000</v>
      </c>
      <c r="W239">
        <f t="shared" si="74"/>
        <v>0</v>
      </c>
      <c r="X239">
        <f t="shared" si="85"/>
        <v>0.12121196573577243</v>
      </c>
    </row>
    <row r="240" spans="1:24">
      <c r="A240" s="33">
        <v>45420</v>
      </c>
      <c r="B240" s="34">
        <v>54</v>
      </c>
      <c r="C240" s="29">
        <f t="shared" si="71"/>
        <v>2.3890784982935113E-2</v>
      </c>
      <c r="D240">
        <f t="shared" si="75"/>
        <v>0.16305596417137128</v>
      </c>
      <c r="E240" s="34">
        <v>54.1</v>
      </c>
      <c r="F240" s="34">
        <v>52.74</v>
      </c>
      <c r="G240">
        <f t="shared" si="76"/>
        <v>2.5458629726694111E-2</v>
      </c>
      <c r="H240" s="34">
        <v>54.2</v>
      </c>
      <c r="I240" s="34">
        <v>52.32</v>
      </c>
      <c r="J240">
        <f t="shared" si="77"/>
        <v>3.5298535486293699E-2</v>
      </c>
      <c r="K240" s="35">
        <v>11000</v>
      </c>
      <c r="L240" s="37">
        <f t="shared" si="78"/>
        <v>372080000</v>
      </c>
      <c r="M240">
        <f t="shared" si="72"/>
        <v>594000</v>
      </c>
      <c r="N240" s="37">
        <f t="shared" si="79"/>
        <v>145570000</v>
      </c>
      <c r="O240">
        <f t="shared" si="73"/>
        <v>7.5565020265164532E-5</v>
      </c>
      <c r="P240" s="36">
        <v>72601.820000000007</v>
      </c>
      <c r="Q240" s="8">
        <v>0.21590000000000001</v>
      </c>
      <c r="R240" s="37">
        <f t="shared" si="80"/>
        <v>31184710000</v>
      </c>
      <c r="S240" s="37">
        <f t="shared" si="81"/>
        <v>4643530000</v>
      </c>
      <c r="T240" s="37">
        <f t="shared" si="82"/>
        <v>2160080000</v>
      </c>
      <c r="U240" s="37">
        <f t="shared" si="83"/>
        <v>205220000</v>
      </c>
      <c r="V240" s="37">
        <f t="shared" si="84"/>
        <v>3779960000</v>
      </c>
      <c r="W240">
        <f t="shared" si="74"/>
        <v>4.0220176738948005E-8</v>
      </c>
      <c r="X240">
        <f t="shared" si="85"/>
        <v>0.12121196573577243</v>
      </c>
    </row>
    <row r="241" spans="1:24">
      <c r="A241" s="33">
        <v>45419</v>
      </c>
      <c r="B241" s="34">
        <v>52.74</v>
      </c>
      <c r="C241" s="29">
        <f t="shared" si="71"/>
        <v>-3.7907505686118312E-4</v>
      </c>
      <c r="D241">
        <f t="shared" si="75"/>
        <v>0.16305596417137128</v>
      </c>
      <c r="E241" s="34">
        <v>53.99</v>
      </c>
      <c r="F241" s="34">
        <v>52.74</v>
      </c>
      <c r="G241">
        <f t="shared" si="76"/>
        <v>2.3423592242106248E-2</v>
      </c>
      <c r="H241" s="34">
        <v>53</v>
      </c>
      <c r="I241" s="34">
        <v>52.74</v>
      </c>
      <c r="J241">
        <f t="shared" si="77"/>
        <v>4.9177227160960464E-3</v>
      </c>
      <c r="K241" s="35">
        <v>4000</v>
      </c>
      <c r="L241" s="37">
        <f t="shared" si="78"/>
        <v>372080000</v>
      </c>
      <c r="M241">
        <f t="shared" si="72"/>
        <v>210960</v>
      </c>
      <c r="N241" s="37">
        <f t="shared" si="79"/>
        <v>145570000</v>
      </c>
      <c r="O241">
        <f t="shared" si="73"/>
        <v>2.7478189187332555E-5</v>
      </c>
      <c r="P241" s="36">
        <v>72761.2</v>
      </c>
      <c r="Q241" s="8">
        <v>0.21590000000000001</v>
      </c>
      <c r="R241" s="37">
        <f t="shared" si="80"/>
        <v>31184710000</v>
      </c>
      <c r="S241" s="37">
        <f t="shared" si="81"/>
        <v>4643530000</v>
      </c>
      <c r="T241" s="37">
        <f t="shared" si="82"/>
        <v>2160080000</v>
      </c>
      <c r="U241" s="37">
        <f t="shared" si="83"/>
        <v>205220000</v>
      </c>
      <c r="V241" s="37">
        <f t="shared" si="84"/>
        <v>3779960000</v>
      </c>
      <c r="W241">
        <f t="shared" si="74"/>
        <v>1.7969048960048498E-9</v>
      </c>
      <c r="X241">
        <f t="shared" si="85"/>
        <v>0.12121196573577243</v>
      </c>
    </row>
    <row r="242" spans="1:24">
      <c r="A242" s="33">
        <v>45418</v>
      </c>
      <c r="B242" s="34">
        <v>52.76</v>
      </c>
      <c r="C242" s="29">
        <f t="shared" si="71"/>
        <v>-2.3324694557571364E-2</v>
      </c>
      <c r="D242">
        <f t="shared" si="75"/>
        <v>0.16305596417137128</v>
      </c>
      <c r="E242" s="34">
        <v>53.6</v>
      </c>
      <c r="F242" s="34">
        <v>52.05</v>
      </c>
      <c r="G242">
        <f t="shared" si="76"/>
        <v>2.9342167534311486E-2</v>
      </c>
      <c r="H242" s="34">
        <v>54</v>
      </c>
      <c r="I242" s="34">
        <v>52.05</v>
      </c>
      <c r="J242">
        <f t="shared" si="77"/>
        <v>3.6775106082036831E-2</v>
      </c>
      <c r="K242" s="35">
        <v>2500</v>
      </c>
      <c r="L242" s="37">
        <f t="shared" si="78"/>
        <v>372080000</v>
      </c>
      <c r="M242">
        <f t="shared" si="72"/>
        <v>131900</v>
      </c>
      <c r="N242" s="37">
        <f t="shared" si="79"/>
        <v>145570000</v>
      </c>
      <c r="O242">
        <f t="shared" si="73"/>
        <v>1.7173868242082847E-5</v>
      </c>
      <c r="P242" s="36">
        <v>72764.240000000005</v>
      </c>
      <c r="Q242" s="8">
        <v>0.21590000000000001</v>
      </c>
      <c r="R242" s="37">
        <f t="shared" si="80"/>
        <v>31184710000</v>
      </c>
      <c r="S242" s="37">
        <f t="shared" si="81"/>
        <v>4643530000</v>
      </c>
      <c r="T242" s="37">
        <f t="shared" si="82"/>
        <v>2160080000</v>
      </c>
      <c r="U242" s="37">
        <f t="shared" si="83"/>
        <v>205220000</v>
      </c>
      <c r="V242" s="37">
        <f t="shared" si="84"/>
        <v>3779960000</v>
      </c>
      <c r="W242">
        <f t="shared" si="74"/>
        <v>1.7683619831365705E-7</v>
      </c>
      <c r="X242">
        <f t="shared" si="85"/>
        <v>0.12121196573577243</v>
      </c>
    </row>
    <row r="243" spans="1:24">
      <c r="A243" s="33">
        <v>45415</v>
      </c>
      <c r="B243" s="34">
        <v>54.02</v>
      </c>
      <c r="C243" s="29">
        <f t="shared" si="71"/>
        <v>2.0400453343407735E-2</v>
      </c>
      <c r="D243">
        <f t="shared" si="75"/>
        <v>0.16305596417137128</v>
      </c>
      <c r="E243" s="34">
        <v>55</v>
      </c>
      <c r="F243" s="34">
        <v>52.51</v>
      </c>
      <c r="G243">
        <f t="shared" si="76"/>
        <v>4.6321272439773083E-2</v>
      </c>
      <c r="H243" s="34">
        <v>54.85</v>
      </c>
      <c r="I243" s="34">
        <v>54.01</v>
      </c>
      <c r="J243">
        <f t="shared" si="77"/>
        <v>1.5432665809296406E-2</v>
      </c>
      <c r="K243" s="35">
        <v>31000</v>
      </c>
      <c r="L243" s="37">
        <f t="shared" si="78"/>
        <v>372080000</v>
      </c>
      <c r="M243">
        <f t="shared" si="72"/>
        <v>1674620</v>
      </c>
      <c r="N243" s="37">
        <f t="shared" si="79"/>
        <v>145570000</v>
      </c>
      <c r="O243">
        <f t="shared" si="73"/>
        <v>2.1295596620182731E-4</v>
      </c>
      <c r="P243" s="36">
        <v>71902.09</v>
      </c>
      <c r="Q243" s="8">
        <v>0.21590000000000001</v>
      </c>
      <c r="R243" s="37">
        <f t="shared" si="80"/>
        <v>31184710000</v>
      </c>
      <c r="S243" s="37">
        <f t="shared" si="81"/>
        <v>4643530000</v>
      </c>
      <c r="T243" s="37">
        <f t="shared" si="82"/>
        <v>2160080000</v>
      </c>
      <c r="U243" s="37">
        <f t="shared" si="83"/>
        <v>205220000</v>
      </c>
      <c r="V243" s="37">
        <f t="shared" si="84"/>
        <v>3779960000</v>
      </c>
      <c r="W243">
        <f t="shared" si="74"/>
        <v>1.2182138839502535E-8</v>
      </c>
      <c r="X243">
        <f t="shared" si="85"/>
        <v>0.12121196573577243</v>
      </c>
    </row>
    <row r="244" spans="1:24">
      <c r="A244" s="33">
        <v>45414</v>
      </c>
      <c r="B244" s="34">
        <v>52.94</v>
      </c>
      <c r="C244" s="29">
        <f t="shared" si="71"/>
        <v>8.3809523809523379E-3</v>
      </c>
      <c r="D244">
        <f t="shared" si="75"/>
        <v>0.16305596417137128</v>
      </c>
      <c r="E244" s="34">
        <v>52.94</v>
      </c>
      <c r="F244" s="34">
        <v>52.4</v>
      </c>
      <c r="G244">
        <f t="shared" si="76"/>
        <v>1.0252515663565581E-2</v>
      </c>
      <c r="H244" s="34">
        <v>53.9</v>
      </c>
      <c r="I244" s="34">
        <v>52.55</v>
      </c>
      <c r="J244">
        <f t="shared" si="77"/>
        <v>2.5364020666979833E-2</v>
      </c>
      <c r="K244" s="35">
        <v>10500</v>
      </c>
      <c r="L244" s="37">
        <f t="shared" si="78"/>
        <v>372080000</v>
      </c>
      <c r="M244">
        <f t="shared" si="72"/>
        <v>555870</v>
      </c>
      <c r="N244" s="37">
        <f t="shared" si="79"/>
        <v>145570000</v>
      </c>
      <c r="O244">
        <f t="shared" si="73"/>
        <v>7.2130246616747954E-5</v>
      </c>
      <c r="P244" s="36">
        <v>70657.64</v>
      </c>
      <c r="Q244" s="8">
        <v>0.21590000000000001</v>
      </c>
      <c r="R244" s="37">
        <f t="shared" si="80"/>
        <v>31184710000</v>
      </c>
      <c r="S244" s="37">
        <f t="shared" si="81"/>
        <v>4643530000</v>
      </c>
      <c r="T244" s="37">
        <f t="shared" si="82"/>
        <v>2160080000</v>
      </c>
      <c r="U244" s="37">
        <f t="shared" si="83"/>
        <v>205220000</v>
      </c>
      <c r="V244" s="37">
        <f t="shared" si="84"/>
        <v>3779960000</v>
      </c>
      <c r="W244">
        <f t="shared" si="74"/>
        <v>1.5077180601493764E-8</v>
      </c>
      <c r="X244">
        <f t="shared" si="85"/>
        <v>0.12121196573577243</v>
      </c>
    </row>
    <row r="245" spans="1:24">
      <c r="A245" s="33">
        <v>45412</v>
      </c>
      <c r="B245" s="34">
        <v>52.5</v>
      </c>
      <c r="C245" s="29">
        <f t="shared" si="71"/>
        <v>-8.498583569405152E-3</v>
      </c>
      <c r="D245">
        <f t="shared" si="75"/>
        <v>0.16305596417137128</v>
      </c>
      <c r="E245" s="34">
        <v>53</v>
      </c>
      <c r="F245" s="34">
        <v>52.5</v>
      </c>
      <c r="G245">
        <f t="shared" si="76"/>
        <v>9.4786729857819912E-3</v>
      </c>
      <c r="H245" s="34">
        <v>53.5</v>
      </c>
      <c r="I245" s="34">
        <v>52.53</v>
      </c>
      <c r="J245">
        <f t="shared" si="77"/>
        <v>1.8296708478732413E-2</v>
      </c>
      <c r="K245" s="35">
        <v>12000</v>
      </c>
      <c r="L245" s="37">
        <f t="shared" si="78"/>
        <v>372080000</v>
      </c>
      <c r="M245">
        <f t="shared" si="72"/>
        <v>630000</v>
      </c>
      <c r="N245" s="37">
        <f t="shared" si="79"/>
        <v>145570000</v>
      </c>
      <c r="O245">
        <f t="shared" si="73"/>
        <v>8.2434567561997661E-5</v>
      </c>
      <c r="P245" s="36">
        <v>71102.55</v>
      </c>
      <c r="Q245" s="8">
        <v>0.21590000000000001</v>
      </c>
      <c r="R245" s="37">
        <f t="shared" si="80"/>
        <v>31184710000</v>
      </c>
      <c r="S245" s="37">
        <f t="shared" si="81"/>
        <v>4643530000</v>
      </c>
      <c r="T245" s="37">
        <f t="shared" si="82"/>
        <v>2160080000</v>
      </c>
      <c r="U245" s="37">
        <f t="shared" si="83"/>
        <v>205220000</v>
      </c>
      <c r="V245" s="37">
        <f t="shared" si="84"/>
        <v>3779960000</v>
      </c>
      <c r="W245">
        <f t="shared" si="74"/>
        <v>1.3489815189531987E-8</v>
      </c>
      <c r="X245">
        <f t="shared" si="85"/>
        <v>0.12121196573577243</v>
      </c>
    </row>
    <row r="246" spans="1:24">
      <c r="A246" s="33">
        <v>45411</v>
      </c>
      <c r="B246" s="34">
        <v>52.95</v>
      </c>
      <c r="C246" s="29">
        <f t="shared" si="71"/>
        <v>-7.54859407435349E-4</v>
      </c>
      <c r="D246">
        <f t="shared" si="75"/>
        <v>0.16305596417137128</v>
      </c>
      <c r="E246" s="34">
        <v>54</v>
      </c>
      <c r="F246" s="34">
        <v>52.01</v>
      </c>
      <c r="G246">
        <f t="shared" si="76"/>
        <v>3.7543627959626492E-2</v>
      </c>
      <c r="H246" s="34">
        <v>53.85</v>
      </c>
      <c r="I246" s="34">
        <v>52.73</v>
      </c>
      <c r="J246">
        <f t="shared" si="77"/>
        <v>2.1017076374554411E-2</v>
      </c>
      <c r="K246" s="35">
        <v>7000</v>
      </c>
      <c r="L246" s="37">
        <f t="shared" si="78"/>
        <v>372080000</v>
      </c>
      <c r="M246">
        <f t="shared" si="72"/>
        <v>370650</v>
      </c>
      <c r="N246" s="37">
        <f t="shared" si="79"/>
        <v>145570000</v>
      </c>
      <c r="O246">
        <f t="shared" si="73"/>
        <v>4.8086831077831974E-5</v>
      </c>
      <c r="P246" s="36">
        <v>71695.03</v>
      </c>
      <c r="Q246" s="8">
        <v>0.21640000000000001</v>
      </c>
      <c r="R246" s="37">
        <f t="shared" si="80"/>
        <v>31184710000</v>
      </c>
      <c r="S246" s="37">
        <f t="shared" si="81"/>
        <v>4643530000</v>
      </c>
      <c r="T246" s="37">
        <f t="shared" si="82"/>
        <v>2160080000</v>
      </c>
      <c r="U246" s="37">
        <f t="shared" si="83"/>
        <v>205220000</v>
      </c>
      <c r="V246" s="37">
        <f t="shared" si="84"/>
        <v>3779960000</v>
      </c>
      <c r="W246">
        <f t="shared" si="74"/>
        <v>2.0365827800764844E-9</v>
      </c>
      <c r="X246">
        <f t="shared" si="85"/>
        <v>0.12121196573577243</v>
      </c>
    </row>
    <row r="247" spans="1:24">
      <c r="A247" s="33">
        <v>45408</v>
      </c>
      <c r="B247" s="34">
        <v>52.99</v>
      </c>
      <c r="C247" s="29">
        <f t="shared" si="71"/>
        <v>1.9038461538461577E-2</v>
      </c>
      <c r="D247">
        <f t="shared" si="75"/>
        <v>0.16305596417137128</v>
      </c>
      <c r="E247" s="34">
        <v>53</v>
      </c>
      <c r="F247" s="34">
        <v>52</v>
      </c>
      <c r="G247">
        <f t="shared" si="76"/>
        <v>1.9047619047619049E-2</v>
      </c>
      <c r="H247" s="34">
        <v>53.5</v>
      </c>
      <c r="I247" s="34">
        <v>53.05</v>
      </c>
      <c r="J247">
        <f t="shared" si="77"/>
        <v>8.4467386203660785E-3</v>
      </c>
      <c r="K247" s="35">
        <v>25500</v>
      </c>
      <c r="L247" s="37">
        <f t="shared" si="78"/>
        <v>372080000</v>
      </c>
      <c r="M247">
        <f t="shared" si="72"/>
        <v>1351245</v>
      </c>
      <c r="N247" s="37">
        <f t="shared" si="79"/>
        <v>145570000</v>
      </c>
      <c r="O247">
        <f t="shared" si="73"/>
        <v>1.7517345606924504E-4</v>
      </c>
      <c r="P247" s="36">
        <v>72742.75</v>
      </c>
      <c r="Q247" s="8">
        <v>0.21640000000000001</v>
      </c>
      <c r="R247" s="37">
        <f t="shared" si="80"/>
        <v>31184710000</v>
      </c>
      <c r="S247" s="37">
        <f t="shared" si="81"/>
        <v>4643530000</v>
      </c>
      <c r="T247" s="37">
        <f t="shared" si="82"/>
        <v>2160080000</v>
      </c>
      <c r="U247" s="37">
        <f t="shared" si="83"/>
        <v>205220000</v>
      </c>
      <c r="V247" s="37">
        <f t="shared" si="84"/>
        <v>3779960000</v>
      </c>
      <c r="W247">
        <f t="shared" si="74"/>
        <v>1.4089570387651075E-8</v>
      </c>
      <c r="X247">
        <f t="shared" si="85"/>
        <v>0.12121196573577243</v>
      </c>
    </row>
    <row r="248" spans="1:24">
      <c r="A248" s="33">
        <v>45407</v>
      </c>
      <c r="B248" s="34">
        <v>52</v>
      </c>
      <c r="C248" s="29">
        <f t="shared" si="71"/>
        <v>9.7087378640776691E-3</v>
      </c>
      <c r="D248">
        <f t="shared" si="75"/>
        <v>0.16305596417137128</v>
      </c>
      <c r="E248" s="34">
        <v>52.5</v>
      </c>
      <c r="F248" s="34">
        <v>52</v>
      </c>
      <c r="G248">
        <f t="shared" si="76"/>
        <v>9.5693779904306216E-3</v>
      </c>
      <c r="H248" s="34">
        <v>53</v>
      </c>
      <c r="I248" s="34">
        <v>52.01</v>
      </c>
      <c r="J248">
        <f t="shared" si="77"/>
        <v>1.8855347109799105E-2</v>
      </c>
      <c r="K248" s="35">
        <v>64500</v>
      </c>
      <c r="L248" s="37">
        <f t="shared" si="78"/>
        <v>372080000</v>
      </c>
      <c r="M248">
        <f t="shared" si="72"/>
        <v>3354000</v>
      </c>
      <c r="N248" s="37">
        <f t="shared" si="79"/>
        <v>145570000</v>
      </c>
      <c r="O248">
        <f t="shared" si="73"/>
        <v>4.4308580064573744E-4</v>
      </c>
      <c r="P248" s="36">
        <v>71971.399999999994</v>
      </c>
      <c r="Q248" s="8">
        <v>0.21640000000000001</v>
      </c>
      <c r="R248" s="37">
        <f t="shared" si="80"/>
        <v>31184710000</v>
      </c>
      <c r="S248" s="37">
        <f t="shared" si="81"/>
        <v>4643530000</v>
      </c>
      <c r="T248" s="37">
        <f t="shared" si="82"/>
        <v>2160080000</v>
      </c>
      <c r="U248" s="37">
        <f t="shared" si="83"/>
        <v>205220000</v>
      </c>
      <c r="V248" s="37">
        <f t="shared" si="84"/>
        <v>3779960000</v>
      </c>
      <c r="W248">
        <f t="shared" si="74"/>
        <v>2.8946743780792097E-9</v>
      </c>
      <c r="X248">
        <f t="shared" si="85"/>
        <v>0.12121196573577243</v>
      </c>
    </row>
    <row r="249" spans="1:24">
      <c r="A249" s="33">
        <v>45406</v>
      </c>
      <c r="B249" s="34">
        <v>51.5</v>
      </c>
      <c r="C249" s="29">
        <f t="shared" si="71"/>
        <v>2.569209320852418E-2</v>
      </c>
      <c r="D249">
        <f t="shared" si="75"/>
        <v>0.16305596417137128</v>
      </c>
      <c r="E249" s="34">
        <v>51.5</v>
      </c>
      <c r="F249" s="34">
        <v>50.3</v>
      </c>
      <c r="G249">
        <f t="shared" si="76"/>
        <v>2.3575638506876283E-2</v>
      </c>
      <c r="H249" s="34">
        <v>52.44</v>
      </c>
      <c r="I249" s="34">
        <v>51.35</v>
      </c>
      <c r="J249">
        <f t="shared" si="77"/>
        <v>2.1003950284227697E-2</v>
      </c>
      <c r="K249" s="35">
        <v>8000</v>
      </c>
      <c r="L249" s="37">
        <f t="shared" si="78"/>
        <v>372080000</v>
      </c>
      <c r="M249">
        <f t="shared" si="72"/>
        <v>412000</v>
      </c>
      <c r="N249" s="37">
        <f t="shared" si="79"/>
        <v>145570000</v>
      </c>
      <c r="O249">
        <f t="shared" si="73"/>
        <v>5.495637837466511E-5</v>
      </c>
      <c r="P249" s="36">
        <v>72051.89</v>
      </c>
      <c r="Q249" s="8">
        <v>0.21640000000000001</v>
      </c>
      <c r="R249" s="37">
        <f t="shared" si="80"/>
        <v>31184710000</v>
      </c>
      <c r="S249" s="37">
        <f t="shared" si="81"/>
        <v>4643530000</v>
      </c>
      <c r="T249" s="37">
        <f t="shared" si="82"/>
        <v>2160080000</v>
      </c>
      <c r="U249" s="37">
        <f t="shared" si="83"/>
        <v>205220000</v>
      </c>
      <c r="V249" s="37">
        <f t="shared" si="84"/>
        <v>3779960000</v>
      </c>
      <c r="W249">
        <f t="shared" si="74"/>
        <v>6.2359449535252862E-8</v>
      </c>
      <c r="X249">
        <f t="shared" si="85"/>
        <v>0.12121196573577243</v>
      </c>
    </row>
    <row r="250" spans="1:24">
      <c r="A250" s="33">
        <v>45405</v>
      </c>
      <c r="B250" s="34">
        <v>50.21</v>
      </c>
      <c r="C250" s="29">
        <f t="shared" si="71"/>
        <v>-3.4423076923076903E-2</v>
      </c>
      <c r="D250">
        <f t="shared" si="75"/>
        <v>0.16305596417137128</v>
      </c>
      <c r="E250" s="34">
        <v>51</v>
      </c>
      <c r="F250" s="34">
        <v>50.21</v>
      </c>
      <c r="G250">
        <f t="shared" si="76"/>
        <v>1.5611105621974096E-2</v>
      </c>
      <c r="H250" s="34">
        <v>51.2</v>
      </c>
      <c r="I250" s="34">
        <v>50.21</v>
      </c>
      <c r="J250">
        <f t="shared" si="77"/>
        <v>1.9524701705946199E-2</v>
      </c>
      <c r="K250" s="35">
        <v>7500</v>
      </c>
      <c r="L250" s="37">
        <f t="shared" si="78"/>
        <v>372080000</v>
      </c>
      <c r="M250">
        <f t="shared" si="72"/>
        <v>376575</v>
      </c>
      <c r="N250" s="37">
        <f t="shared" si="79"/>
        <v>145570000</v>
      </c>
      <c r="O250">
        <f t="shared" si="73"/>
        <v>5.1521604726248538E-5</v>
      </c>
      <c r="P250" s="36">
        <v>71359.41</v>
      </c>
      <c r="Q250" s="8">
        <v>0.21640000000000001</v>
      </c>
      <c r="R250" s="37">
        <f t="shared" si="80"/>
        <v>31184710000</v>
      </c>
      <c r="S250" s="37">
        <f t="shared" si="81"/>
        <v>4643530000</v>
      </c>
      <c r="T250" s="37">
        <f t="shared" si="82"/>
        <v>2160080000</v>
      </c>
      <c r="U250" s="37">
        <f t="shared" si="83"/>
        <v>205220000</v>
      </c>
      <c r="V250" s="37">
        <f t="shared" si="84"/>
        <v>3779960000</v>
      </c>
      <c r="W250">
        <f t="shared" si="74"/>
        <v>9.1410945822417584E-8</v>
      </c>
      <c r="X250">
        <f t="shared" si="85"/>
        <v>0.12121196573577243</v>
      </c>
    </row>
    <row r="251" spans="1:24">
      <c r="A251" s="33">
        <v>45404</v>
      </c>
      <c r="B251" s="34">
        <v>52</v>
      </c>
      <c r="C251" s="29">
        <f t="shared" si="71"/>
        <v>4.830917874396135E-3</v>
      </c>
      <c r="D251">
        <f t="shared" si="75"/>
        <v>0.16305596417137128</v>
      </c>
      <c r="E251" s="34">
        <v>52</v>
      </c>
      <c r="F251" s="34">
        <v>52</v>
      </c>
      <c r="G251">
        <f t="shared" si="76"/>
        <v>0</v>
      </c>
      <c r="H251" s="34">
        <v>52</v>
      </c>
      <c r="I251" s="34">
        <v>50.11</v>
      </c>
      <c r="J251">
        <f t="shared" si="77"/>
        <v>3.701890118499658E-2</v>
      </c>
      <c r="K251" s="35">
        <v>1000</v>
      </c>
      <c r="L251" s="37">
        <f t="shared" si="78"/>
        <v>372080000</v>
      </c>
      <c r="M251">
        <f t="shared" si="72"/>
        <v>52000</v>
      </c>
      <c r="N251" s="37">
        <f t="shared" si="79"/>
        <v>145570000</v>
      </c>
      <c r="O251">
        <f t="shared" si="73"/>
        <v>6.8695472968331387E-6</v>
      </c>
      <c r="P251" s="36">
        <v>71433.460000000006</v>
      </c>
      <c r="Q251" s="8">
        <v>0.21640000000000001</v>
      </c>
      <c r="R251" s="37">
        <f t="shared" si="80"/>
        <v>31184710000</v>
      </c>
      <c r="S251" s="37">
        <f t="shared" si="81"/>
        <v>4643530000</v>
      </c>
      <c r="T251" s="37">
        <f t="shared" si="82"/>
        <v>2160080000</v>
      </c>
      <c r="U251" s="37">
        <f t="shared" si="83"/>
        <v>205220000</v>
      </c>
      <c r="V251" s="37">
        <f t="shared" si="84"/>
        <v>3779960000</v>
      </c>
      <c r="W251">
        <f t="shared" si="74"/>
        <v>9.2902266815310285E-8</v>
      </c>
      <c r="X251">
        <f t="shared" si="85"/>
        <v>0.12121196573577243</v>
      </c>
    </row>
    <row r="252" spans="1:24">
      <c r="A252" s="33">
        <v>45401</v>
      </c>
      <c r="B252" s="34">
        <v>51.75</v>
      </c>
      <c r="C252" s="29">
        <f t="shared" si="71"/>
        <v>1.4705882352941176E-2</v>
      </c>
      <c r="D252">
        <f t="shared" si="75"/>
        <v>0.16305596417137128</v>
      </c>
      <c r="E252" s="34">
        <v>51.75</v>
      </c>
      <c r="F252" s="34">
        <v>50.05</v>
      </c>
      <c r="G252">
        <f t="shared" si="76"/>
        <v>3.3398821218074713E-2</v>
      </c>
      <c r="H252" s="34">
        <v>51.75</v>
      </c>
      <c r="I252" s="34">
        <v>51.5</v>
      </c>
      <c r="J252">
        <f t="shared" si="77"/>
        <v>4.8426150121065378E-3</v>
      </c>
      <c r="K252" s="35">
        <v>25500</v>
      </c>
      <c r="L252" s="37">
        <f t="shared" si="78"/>
        <v>372080000</v>
      </c>
      <c r="M252">
        <f t="shared" si="72"/>
        <v>1319625</v>
      </c>
      <c r="N252" s="37">
        <f t="shared" si="79"/>
        <v>145570000</v>
      </c>
      <c r="O252">
        <f t="shared" si="73"/>
        <v>1.7517345606924504E-4</v>
      </c>
      <c r="P252" s="36">
        <v>70909.899999999994</v>
      </c>
      <c r="Q252" s="8">
        <v>0.21640000000000001</v>
      </c>
      <c r="R252" s="37">
        <f t="shared" si="80"/>
        <v>31184710000</v>
      </c>
      <c r="S252" s="37">
        <f t="shared" si="81"/>
        <v>4643530000</v>
      </c>
      <c r="T252" s="37">
        <f t="shared" si="82"/>
        <v>2160080000</v>
      </c>
      <c r="U252" s="37">
        <f t="shared" si="83"/>
        <v>205220000</v>
      </c>
      <c r="V252" s="37">
        <f t="shared" si="84"/>
        <v>3779960000</v>
      </c>
      <c r="W252">
        <f t="shared" si="74"/>
        <v>1.1143985869425918E-8</v>
      </c>
      <c r="X252">
        <f t="shared" si="85"/>
        <v>0.12121196573577243</v>
      </c>
    </row>
    <row r="253" spans="1:24">
      <c r="A253" s="33">
        <v>45400</v>
      </c>
      <c r="B253" s="34">
        <v>51</v>
      </c>
      <c r="C253" s="29">
        <f t="shared" si="71"/>
        <v>1.8981018981019039E-2</v>
      </c>
      <c r="D253">
        <f t="shared" si="75"/>
        <v>0.16305596417137128</v>
      </c>
      <c r="E253" s="34">
        <v>51</v>
      </c>
      <c r="F253" s="34">
        <v>50.07</v>
      </c>
      <c r="G253">
        <f t="shared" si="76"/>
        <v>1.8403086969427124E-2</v>
      </c>
      <c r="H253" s="34">
        <v>51.5</v>
      </c>
      <c r="I253" s="34">
        <v>50.1</v>
      </c>
      <c r="J253">
        <f t="shared" si="77"/>
        <v>2.7559055118110208E-2</v>
      </c>
      <c r="K253" s="35">
        <v>3500</v>
      </c>
      <c r="L253" s="37">
        <f t="shared" si="78"/>
        <v>372080000</v>
      </c>
      <c r="M253">
        <f t="shared" si="72"/>
        <v>178500</v>
      </c>
      <c r="N253" s="37">
        <f t="shared" si="79"/>
        <v>145570000</v>
      </c>
      <c r="O253">
        <f t="shared" si="73"/>
        <v>2.4043415538915987E-5</v>
      </c>
      <c r="P253" s="36">
        <v>70290.12</v>
      </c>
      <c r="Q253" s="8">
        <v>0.21640000000000001</v>
      </c>
      <c r="R253" s="37">
        <f t="shared" si="80"/>
        <v>31184710000</v>
      </c>
      <c r="S253" s="37">
        <f t="shared" si="81"/>
        <v>4643530000</v>
      </c>
      <c r="T253" s="37">
        <f t="shared" si="82"/>
        <v>2160080000</v>
      </c>
      <c r="U253" s="37">
        <f t="shared" si="83"/>
        <v>205220000</v>
      </c>
      <c r="V253" s="37">
        <f t="shared" si="84"/>
        <v>3779960000</v>
      </c>
      <c r="W253">
        <f t="shared" si="74"/>
        <v>1.0633624079002263E-7</v>
      </c>
      <c r="X253">
        <f t="shared" si="85"/>
        <v>0.12121196573577243</v>
      </c>
    </row>
    <row r="254" spans="1:24">
      <c r="A254" s="33">
        <v>45399</v>
      </c>
      <c r="B254" s="34">
        <v>50.05</v>
      </c>
      <c r="C254" s="29">
        <f t="shared" si="71"/>
        <v>9.9999999999994321E-4</v>
      </c>
      <c r="D254">
        <f t="shared" si="75"/>
        <v>0.16305596417137128</v>
      </c>
      <c r="E254" s="34">
        <v>50.06</v>
      </c>
      <c r="F254" s="34">
        <v>50</v>
      </c>
      <c r="G254">
        <f t="shared" si="76"/>
        <v>1.1992804317410009E-3</v>
      </c>
      <c r="H254" s="34">
        <v>51.34</v>
      </c>
      <c r="I254" s="34">
        <v>50.1</v>
      </c>
      <c r="J254">
        <f t="shared" si="77"/>
        <v>2.4447949526813919E-2</v>
      </c>
      <c r="K254" s="35">
        <v>28500</v>
      </c>
      <c r="L254" s="37">
        <f t="shared" si="78"/>
        <v>372080000</v>
      </c>
      <c r="M254">
        <f t="shared" si="72"/>
        <v>1426425</v>
      </c>
      <c r="N254" s="37">
        <f t="shared" si="79"/>
        <v>145570000</v>
      </c>
      <c r="O254">
        <f t="shared" si="73"/>
        <v>1.9578209795974446E-4</v>
      </c>
      <c r="P254" s="36">
        <v>70333.320000000007</v>
      </c>
      <c r="Q254" s="8">
        <v>0.21640000000000001</v>
      </c>
      <c r="R254" s="37">
        <f t="shared" si="80"/>
        <v>31184710000</v>
      </c>
      <c r="S254" s="37">
        <f t="shared" si="81"/>
        <v>4643530000</v>
      </c>
      <c r="T254" s="37">
        <f t="shared" si="82"/>
        <v>2160080000</v>
      </c>
      <c r="U254" s="37">
        <f t="shared" si="83"/>
        <v>205220000</v>
      </c>
      <c r="V254" s="37">
        <f t="shared" si="84"/>
        <v>3779960000</v>
      </c>
      <c r="W254">
        <f t="shared" si="74"/>
        <v>7.0105333263224021E-10</v>
      </c>
      <c r="X254">
        <f t="shared" si="85"/>
        <v>0.12121196573577243</v>
      </c>
    </row>
    <row r="255" spans="1:24">
      <c r="A255" s="33">
        <v>45398</v>
      </c>
      <c r="B255" s="34">
        <v>50</v>
      </c>
      <c r="C255" s="29">
        <f t="shared" si="71"/>
        <v>0</v>
      </c>
      <c r="D255">
        <f t="shared" si="75"/>
        <v>0.16305596417137128</v>
      </c>
      <c r="E255" s="34">
        <v>51.98</v>
      </c>
      <c r="F255" s="34">
        <v>47.21</v>
      </c>
      <c r="G255">
        <f t="shared" si="76"/>
        <v>9.6179050307490591E-2</v>
      </c>
      <c r="H255" s="34">
        <v>51</v>
      </c>
      <c r="I255" s="34">
        <v>50.07</v>
      </c>
      <c r="J255">
        <f t="shared" si="77"/>
        <v>1.8403086969427124E-2</v>
      </c>
      <c r="K255" s="35">
        <v>0</v>
      </c>
      <c r="L255" s="37">
        <f t="shared" si="78"/>
        <v>372080000</v>
      </c>
      <c r="M255">
        <f t="shared" si="72"/>
        <v>0</v>
      </c>
      <c r="N255" s="37">
        <f t="shared" si="79"/>
        <v>145570000</v>
      </c>
      <c r="O255">
        <f t="shared" si="73"/>
        <v>0</v>
      </c>
      <c r="P255" s="36">
        <v>70483.66</v>
      </c>
      <c r="Q255" s="8">
        <v>0.216</v>
      </c>
      <c r="R255" s="37">
        <f t="shared" si="80"/>
        <v>31184710000</v>
      </c>
      <c r="S255" s="37">
        <f t="shared" si="81"/>
        <v>4643530000</v>
      </c>
      <c r="T255" s="37">
        <f t="shared" si="82"/>
        <v>2160080000</v>
      </c>
      <c r="U255" s="37">
        <f t="shared" si="83"/>
        <v>205220000</v>
      </c>
      <c r="V255" s="37">
        <f t="shared" si="84"/>
        <v>3779960000</v>
      </c>
      <c r="W255">
        <f t="shared" si="74"/>
        <v>0</v>
      </c>
      <c r="X255">
        <f t="shared" si="85"/>
        <v>0.12121196573577243</v>
      </c>
    </row>
    <row r="256" spans="1:24">
      <c r="A256" s="33">
        <v>45397</v>
      </c>
      <c r="B256" s="34">
        <v>50</v>
      </c>
      <c r="C256" s="29">
        <f t="shared" si="71"/>
        <v>-3.9840637450199766E-3</v>
      </c>
      <c r="D256">
        <f t="shared" si="75"/>
        <v>0.16305596417137128</v>
      </c>
      <c r="E256" s="34">
        <v>50</v>
      </c>
      <c r="F256" s="34">
        <v>50</v>
      </c>
      <c r="G256">
        <f t="shared" si="76"/>
        <v>0</v>
      </c>
      <c r="H256" s="34">
        <v>52.4</v>
      </c>
      <c r="I256" s="34">
        <v>49.5</v>
      </c>
      <c r="J256">
        <f t="shared" si="77"/>
        <v>5.6918547595682011E-2</v>
      </c>
      <c r="K256" s="35">
        <v>500</v>
      </c>
      <c r="L256" s="37">
        <f t="shared" si="78"/>
        <v>372080000</v>
      </c>
      <c r="M256">
        <f t="shared" si="72"/>
        <v>25000</v>
      </c>
      <c r="N256" s="37">
        <f t="shared" si="79"/>
        <v>145570000</v>
      </c>
      <c r="O256">
        <f t="shared" si="73"/>
        <v>3.4347736484165694E-6</v>
      </c>
      <c r="P256" s="36">
        <v>70544.58</v>
      </c>
      <c r="Q256" s="8">
        <v>0.216</v>
      </c>
      <c r="R256" s="37">
        <f t="shared" si="80"/>
        <v>31184710000</v>
      </c>
      <c r="S256" s="37">
        <f t="shared" si="81"/>
        <v>4643530000</v>
      </c>
      <c r="T256" s="37">
        <f t="shared" si="82"/>
        <v>2160080000</v>
      </c>
      <c r="U256" s="37">
        <f t="shared" si="83"/>
        <v>205220000</v>
      </c>
      <c r="V256" s="37">
        <f t="shared" si="84"/>
        <v>3779960000</v>
      </c>
      <c r="W256">
        <f t="shared" si="74"/>
        <v>1.5936254980079906E-7</v>
      </c>
      <c r="X256">
        <f t="shared" si="85"/>
        <v>0.12121196573577243</v>
      </c>
    </row>
    <row r="257" spans="1:24">
      <c r="A257" s="33">
        <v>45391</v>
      </c>
      <c r="B257" s="34">
        <v>50.2</v>
      </c>
      <c r="C257" s="29">
        <f t="shared" si="71"/>
        <v>-2.7697075343792361E-2</v>
      </c>
      <c r="D257">
        <f t="shared" si="75"/>
        <v>0.16305596417137128</v>
      </c>
      <c r="E257" s="34">
        <v>51.5</v>
      </c>
      <c r="F257" s="34">
        <v>50.2</v>
      </c>
      <c r="G257">
        <f t="shared" si="76"/>
        <v>2.5565388397246747E-2</v>
      </c>
      <c r="H257" s="34">
        <v>51.5</v>
      </c>
      <c r="I257" s="34">
        <v>50.2</v>
      </c>
      <c r="J257">
        <f t="shared" si="77"/>
        <v>2.5565388397246747E-2</v>
      </c>
      <c r="K257" s="35">
        <v>2500</v>
      </c>
      <c r="L257" s="37">
        <f t="shared" si="78"/>
        <v>372080000</v>
      </c>
      <c r="M257">
        <f t="shared" si="72"/>
        <v>125500</v>
      </c>
      <c r="N257" s="37">
        <f t="shared" si="79"/>
        <v>145570000</v>
      </c>
      <c r="O257">
        <f t="shared" si="73"/>
        <v>1.7173868242082847E-5</v>
      </c>
      <c r="P257" s="36">
        <v>70314.720000000001</v>
      </c>
      <c r="Q257" s="8">
        <v>0.216</v>
      </c>
      <c r="R257" s="37">
        <f t="shared" si="80"/>
        <v>31184710000</v>
      </c>
      <c r="S257" s="37">
        <f t="shared" si="81"/>
        <v>4643530000</v>
      </c>
      <c r="T257" s="37">
        <f t="shared" si="82"/>
        <v>2160080000</v>
      </c>
      <c r="U257" s="37">
        <f t="shared" si="83"/>
        <v>205220000</v>
      </c>
      <c r="V257" s="37">
        <f t="shared" si="84"/>
        <v>3779960000</v>
      </c>
      <c r="W257">
        <f t="shared" si="74"/>
        <v>2.2069382744057658E-7</v>
      </c>
      <c r="X257">
        <f t="shared" si="85"/>
        <v>0.12121196573577243</v>
      </c>
    </row>
    <row r="258" spans="1:24">
      <c r="A258" s="33">
        <v>45390</v>
      </c>
      <c r="B258" s="34">
        <v>51.63</v>
      </c>
      <c r="C258" s="29">
        <f t="shared" si="71"/>
        <v>3.0538922155688646E-2</v>
      </c>
      <c r="D258">
        <f t="shared" si="75"/>
        <v>0.16305596417137128</v>
      </c>
      <c r="E258" s="34">
        <v>52</v>
      </c>
      <c r="F258" s="34">
        <v>50.02</v>
      </c>
      <c r="G258">
        <f t="shared" si="76"/>
        <v>3.88159184473632E-2</v>
      </c>
      <c r="H258" s="34">
        <v>53.75</v>
      </c>
      <c r="I258" s="34">
        <v>50.07</v>
      </c>
      <c r="J258">
        <f t="shared" si="77"/>
        <v>7.0891928337507223E-2</v>
      </c>
      <c r="K258" s="35">
        <v>7000</v>
      </c>
      <c r="L258" s="37">
        <f t="shared" si="78"/>
        <v>372080000</v>
      </c>
      <c r="M258">
        <f t="shared" si="72"/>
        <v>361410</v>
      </c>
      <c r="N258" s="37">
        <f t="shared" si="79"/>
        <v>145570000</v>
      </c>
      <c r="O258">
        <f t="shared" si="73"/>
        <v>4.8086831077831974E-5</v>
      </c>
      <c r="P258" s="36">
        <v>69619.990000000005</v>
      </c>
      <c r="Q258" s="8">
        <v>0.216</v>
      </c>
      <c r="R258" s="37">
        <f t="shared" si="80"/>
        <v>31184710000</v>
      </c>
      <c r="S258" s="37">
        <f t="shared" si="81"/>
        <v>4643530000</v>
      </c>
      <c r="T258" s="37">
        <f t="shared" si="82"/>
        <v>2160080000</v>
      </c>
      <c r="U258" s="37">
        <f t="shared" si="83"/>
        <v>205220000</v>
      </c>
      <c r="V258" s="37">
        <f t="shared" si="84"/>
        <v>3779960000</v>
      </c>
      <c r="W258">
        <f t="shared" si="74"/>
        <v>8.4499383403028819E-8</v>
      </c>
      <c r="X258">
        <f t="shared" si="85"/>
        <v>0.12121196573577243</v>
      </c>
    </row>
    <row r="259" spans="1:24">
      <c r="A259" s="33">
        <v>45386</v>
      </c>
      <c r="B259" s="34">
        <v>50.1</v>
      </c>
      <c r="C259" s="29">
        <f t="shared" si="71"/>
        <v>0</v>
      </c>
      <c r="D259">
        <f t="shared" si="75"/>
        <v>0.16305596417137128</v>
      </c>
      <c r="E259" s="34">
        <v>50</v>
      </c>
      <c r="F259" s="34">
        <v>47</v>
      </c>
      <c r="G259">
        <f t="shared" si="76"/>
        <v>6.1855670103092786E-2</v>
      </c>
      <c r="H259" s="34">
        <v>50.84</v>
      </c>
      <c r="I259" s="34">
        <v>50.05</v>
      </c>
      <c r="J259">
        <f t="shared" si="77"/>
        <v>1.5660620477748168E-2</v>
      </c>
      <c r="K259" s="35">
        <v>0</v>
      </c>
      <c r="L259" s="37">
        <f t="shared" si="78"/>
        <v>372080000</v>
      </c>
      <c r="M259">
        <f t="shared" si="72"/>
        <v>0</v>
      </c>
      <c r="N259" s="37">
        <f t="shared" si="79"/>
        <v>145570000</v>
      </c>
      <c r="O259">
        <f t="shared" si="73"/>
        <v>0</v>
      </c>
      <c r="P259" s="36">
        <v>68416.78</v>
      </c>
      <c r="Q259" s="8">
        <v>0.216</v>
      </c>
      <c r="R259" s="37">
        <f t="shared" si="80"/>
        <v>31184710000</v>
      </c>
      <c r="S259" s="37">
        <f t="shared" si="81"/>
        <v>4643530000</v>
      </c>
      <c r="T259" s="37">
        <f t="shared" si="82"/>
        <v>2160080000</v>
      </c>
      <c r="U259" s="37">
        <f t="shared" si="83"/>
        <v>205220000</v>
      </c>
      <c r="V259" s="37">
        <f t="shared" si="84"/>
        <v>3779960000</v>
      </c>
      <c r="W259">
        <f t="shared" si="74"/>
        <v>0</v>
      </c>
      <c r="X259">
        <f t="shared" si="85"/>
        <v>0.12121196573577243</v>
      </c>
    </row>
    <row r="260" spans="1:24">
      <c r="A260" s="33">
        <v>45385</v>
      </c>
      <c r="B260" s="34">
        <v>50.1</v>
      </c>
      <c r="C260" s="29">
        <f t="shared" si="71"/>
        <v>1.7996400719856713E-3</v>
      </c>
      <c r="D260">
        <f t="shared" si="75"/>
        <v>0.16305596417137128</v>
      </c>
      <c r="E260" s="34">
        <v>50.1</v>
      </c>
      <c r="F260" s="34">
        <v>50.01</v>
      </c>
      <c r="G260">
        <f t="shared" si="76"/>
        <v>1.7980221756069006E-3</v>
      </c>
      <c r="H260" s="34">
        <v>50.95</v>
      </c>
      <c r="I260" s="34">
        <v>50.07</v>
      </c>
      <c r="J260">
        <f t="shared" si="77"/>
        <v>1.7422292615323746E-2</v>
      </c>
      <c r="K260" s="35">
        <v>23500</v>
      </c>
      <c r="L260" s="37">
        <f t="shared" si="78"/>
        <v>372080000</v>
      </c>
      <c r="M260">
        <f t="shared" si="72"/>
        <v>1177350</v>
      </c>
      <c r="N260" s="37">
        <f t="shared" si="79"/>
        <v>145570000</v>
      </c>
      <c r="O260">
        <f t="shared" si="73"/>
        <v>1.6143436147557876E-4</v>
      </c>
      <c r="P260" s="36">
        <v>67756.039999999994</v>
      </c>
      <c r="Q260" s="8">
        <v>0.216</v>
      </c>
      <c r="R260" s="37">
        <f t="shared" si="80"/>
        <v>31184710000</v>
      </c>
      <c r="S260" s="37">
        <f t="shared" si="81"/>
        <v>4643530000</v>
      </c>
      <c r="T260" s="37">
        <f t="shared" si="82"/>
        <v>2160080000</v>
      </c>
      <c r="U260" s="37">
        <f t="shared" si="83"/>
        <v>205220000</v>
      </c>
      <c r="V260" s="37">
        <f t="shared" si="84"/>
        <v>3779960000</v>
      </c>
      <c r="W260">
        <f t="shared" si="74"/>
        <v>1.5285514689647694E-9</v>
      </c>
      <c r="X260">
        <f t="shared" si="85"/>
        <v>0.12121196573577243</v>
      </c>
    </row>
    <row r="261" spans="1:24">
      <c r="A261" s="33">
        <v>45384</v>
      </c>
      <c r="B261" s="34">
        <v>50.01</v>
      </c>
      <c r="C261" s="29">
        <f t="shared" si="71"/>
        <v>1.9999999999996022E-4</v>
      </c>
      <c r="D261">
        <f t="shared" si="75"/>
        <v>0.16305596417137128</v>
      </c>
      <c r="E261" s="34">
        <v>50.75</v>
      </c>
      <c r="F261" s="34">
        <v>50</v>
      </c>
      <c r="G261">
        <f t="shared" si="76"/>
        <v>1.488833746898263E-2</v>
      </c>
      <c r="H261" s="34">
        <v>50.75</v>
      </c>
      <c r="I261" s="34">
        <v>50.02</v>
      </c>
      <c r="J261">
        <f t="shared" si="77"/>
        <v>1.4488439019549406E-2</v>
      </c>
      <c r="K261" s="35">
        <v>22000</v>
      </c>
      <c r="L261" s="37">
        <f t="shared" si="78"/>
        <v>372080000</v>
      </c>
      <c r="M261">
        <f t="shared" si="72"/>
        <v>1100220</v>
      </c>
      <c r="N261" s="37">
        <f t="shared" si="79"/>
        <v>145570000</v>
      </c>
      <c r="O261">
        <f t="shared" si="73"/>
        <v>1.5113004053032906E-4</v>
      </c>
      <c r="P261" s="36">
        <v>66886.259999999995</v>
      </c>
      <c r="Q261" s="8">
        <v>0.216</v>
      </c>
      <c r="R261" s="37">
        <f t="shared" si="80"/>
        <v>31184710000</v>
      </c>
      <c r="S261" s="37">
        <f t="shared" si="81"/>
        <v>4643530000</v>
      </c>
      <c r="T261" s="37">
        <f t="shared" si="82"/>
        <v>2160080000</v>
      </c>
      <c r="U261" s="37">
        <f t="shared" si="83"/>
        <v>205220000</v>
      </c>
      <c r="V261" s="37">
        <f t="shared" si="84"/>
        <v>3779960000</v>
      </c>
      <c r="W261">
        <f t="shared" si="74"/>
        <v>1.8178182545305505E-10</v>
      </c>
      <c r="X261">
        <f t="shared" si="85"/>
        <v>0.12121196573577243</v>
      </c>
    </row>
    <row r="262" spans="1:24">
      <c r="A262" s="33">
        <v>45383</v>
      </c>
      <c r="B262" s="34">
        <v>50</v>
      </c>
      <c r="C262" s="29">
        <f t="shared" si="71"/>
        <v>-1.9996000799836055E-4</v>
      </c>
      <c r="D262">
        <f t="shared" si="75"/>
        <v>0.16305596417137128</v>
      </c>
      <c r="E262" s="34">
        <v>51</v>
      </c>
      <c r="F262" s="34">
        <v>50</v>
      </c>
      <c r="G262">
        <f t="shared" si="76"/>
        <v>1.9801980198019802E-2</v>
      </c>
      <c r="H262" s="34">
        <v>51</v>
      </c>
      <c r="I262" s="34">
        <v>50</v>
      </c>
      <c r="J262">
        <f t="shared" si="77"/>
        <v>1.9801980198019802E-2</v>
      </c>
      <c r="K262" s="35">
        <v>14500</v>
      </c>
      <c r="L262" s="37">
        <f t="shared" si="78"/>
        <v>372080000</v>
      </c>
      <c r="M262">
        <f t="shared" si="72"/>
        <v>725000</v>
      </c>
      <c r="N262" s="37">
        <f t="shared" si="79"/>
        <v>145570000</v>
      </c>
      <c r="O262">
        <f t="shared" si="73"/>
        <v>9.9608435804080512E-5</v>
      </c>
      <c r="P262" s="36">
        <v>66796.320000000007</v>
      </c>
      <c r="Q262" s="8">
        <v>0.216</v>
      </c>
      <c r="R262" s="37">
        <f t="shared" si="80"/>
        <v>31184710000</v>
      </c>
      <c r="S262" s="37">
        <f t="shared" si="81"/>
        <v>4643530000</v>
      </c>
      <c r="T262" s="37">
        <f t="shared" si="82"/>
        <v>2160080000</v>
      </c>
      <c r="U262" s="37">
        <f t="shared" si="83"/>
        <v>205220000</v>
      </c>
      <c r="V262" s="37">
        <f t="shared" si="84"/>
        <v>3779960000</v>
      </c>
      <c r="W262">
        <f t="shared" si="74"/>
        <v>2.7580690758394558E-10</v>
      </c>
      <c r="X262">
        <f t="shared" si="85"/>
        <v>0.12121196573577243</v>
      </c>
    </row>
    <row r="263" spans="1:24">
      <c r="A263" s="33">
        <v>45380</v>
      </c>
      <c r="B263" s="34">
        <v>50.01</v>
      </c>
      <c r="C263" s="29">
        <f t="shared" si="71"/>
        <v>0</v>
      </c>
      <c r="D263">
        <f t="shared" si="75"/>
        <v>0.16305596417137128</v>
      </c>
      <c r="E263" s="34">
        <v>50.01</v>
      </c>
      <c r="F263" s="34">
        <v>50.01</v>
      </c>
      <c r="G263">
        <f t="shared" si="76"/>
        <v>0</v>
      </c>
      <c r="H263" s="34">
        <v>50.99</v>
      </c>
      <c r="I263" s="34">
        <v>50</v>
      </c>
      <c r="J263">
        <f t="shared" si="77"/>
        <v>1.9605901574413345E-2</v>
      </c>
      <c r="K263" s="35">
        <v>4000</v>
      </c>
      <c r="L263" s="37">
        <f t="shared" si="78"/>
        <v>372080000</v>
      </c>
      <c r="M263">
        <f t="shared" si="72"/>
        <v>200040</v>
      </c>
      <c r="N263" s="37">
        <f t="shared" si="79"/>
        <v>145570000</v>
      </c>
      <c r="O263">
        <f t="shared" si="73"/>
        <v>2.7478189187332555E-5</v>
      </c>
      <c r="P263" s="36">
        <v>67005.11</v>
      </c>
      <c r="Q263" s="8">
        <v>0.216</v>
      </c>
      <c r="R263" s="37">
        <f t="shared" si="80"/>
        <v>31184710000</v>
      </c>
      <c r="S263" s="37">
        <f t="shared" si="81"/>
        <v>4643530000</v>
      </c>
      <c r="T263" s="37">
        <f t="shared" si="82"/>
        <v>2160080000</v>
      </c>
      <c r="U263" s="37">
        <f t="shared" si="83"/>
        <v>205220000</v>
      </c>
      <c r="V263" s="37">
        <f t="shared" si="84"/>
        <v>3779960000</v>
      </c>
      <c r="W263">
        <f t="shared" si="74"/>
        <v>0</v>
      </c>
      <c r="X263">
        <f t="shared" si="85"/>
        <v>0.12121196573577243</v>
      </c>
    </row>
    <row r="264" spans="1:24">
      <c r="A264" s="33">
        <v>45379</v>
      </c>
      <c r="B264" s="34">
        <v>50.01</v>
      </c>
      <c r="C264" s="29">
        <f t="shared" si="71"/>
        <v>-1.9219454795057933E-2</v>
      </c>
      <c r="D264">
        <f t="shared" si="75"/>
        <v>0.16305596417137128</v>
      </c>
      <c r="E264" s="34">
        <v>50.01</v>
      </c>
      <c r="F264" s="34">
        <v>50</v>
      </c>
      <c r="G264">
        <f t="shared" si="76"/>
        <v>1.9998000199976024E-4</v>
      </c>
      <c r="H264" s="34">
        <v>50.99</v>
      </c>
      <c r="I264" s="34">
        <v>50.01</v>
      </c>
      <c r="J264">
        <f t="shared" si="77"/>
        <v>1.9405940594059486E-2</v>
      </c>
      <c r="K264" s="35">
        <v>65000</v>
      </c>
      <c r="L264" s="37">
        <f t="shared" si="78"/>
        <v>372080000</v>
      </c>
      <c r="M264">
        <f t="shared" si="72"/>
        <v>3250650</v>
      </c>
      <c r="N264" s="37">
        <f t="shared" si="79"/>
        <v>145570000</v>
      </c>
      <c r="O264">
        <f t="shared" si="73"/>
        <v>4.4652057429415401E-4</v>
      </c>
      <c r="P264" s="36">
        <v>67142.12</v>
      </c>
      <c r="Q264" s="8">
        <v>0.216</v>
      </c>
      <c r="R264" s="37">
        <f t="shared" si="80"/>
        <v>31184710000</v>
      </c>
      <c r="S264" s="37">
        <f t="shared" si="81"/>
        <v>4643530000</v>
      </c>
      <c r="T264" s="37">
        <f t="shared" si="82"/>
        <v>2160080000</v>
      </c>
      <c r="U264" s="37">
        <f t="shared" si="83"/>
        <v>205220000</v>
      </c>
      <c r="V264" s="37">
        <f t="shared" si="84"/>
        <v>3779960000</v>
      </c>
      <c r="W264">
        <f t="shared" si="74"/>
        <v>5.9124958992995041E-9</v>
      </c>
      <c r="X264">
        <f t="shared" si="85"/>
        <v>0.12121196573577243</v>
      </c>
    </row>
    <row r="265" spans="1:24">
      <c r="A265" s="33">
        <v>45378</v>
      </c>
      <c r="B265" s="34">
        <v>50.99</v>
      </c>
      <c r="C265" s="29">
        <f t="shared" si="71"/>
        <v>0</v>
      </c>
      <c r="D265">
        <f t="shared" si="75"/>
        <v>0.16305596417137128</v>
      </c>
      <c r="E265" s="34">
        <v>50.89</v>
      </c>
      <c r="F265" s="34">
        <v>47.22</v>
      </c>
      <c r="G265">
        <f t="shared" si="76"/>
        <v>7.4813984303333025E-2</v>
      </c>
      <c r="H265" s="34">
        <v>50.85</v>
      </c>
      <c r="I265" s="34">
        <v>48</v>
      </c>
      <c r="J265">
        <f t="shared" si="77"/>
        <v>5.766312594840671E-2</v>
      </c>
      <c r="K265" s="35">
        <v>0</v>
      </c>
      <c r="L265" s="37">
        <f t="shared" si="78"/>
        <v>372080000</v>
      </c>
      <c r="M265">
        <f t="shared" si="72"/>
        <v>0</v>
      </c>
      <c r="N265" s="37">
        <f t="shared" si="79"/>
        <v>145570000</v>
      </c>
      <c r="O265">
        <f t="shared" si="73"/>
        <v>0</v>
      </c>
      <c r="P265" s="36">
        <v>66547.789999999994</v>
      </c>
      <c r="Q265" s="8">
        <v>0.216</v>
      </c>
      <c r="R265" s="37">
        <f t="shared" si="80"/>
        <v>31184710000</v>
      </c>
      <c r="S265" s="37">
        <f t="shared" si="81"/>
        <v>4643530000</v>
      </c>
      <c r="T265" s="37">
        <f t="shared" si="82"/>
        <v>2160080000</v>
      </c>
      <c r="U265" s="37">
        <f t="shared" si="83"/>
        <v>205220000</v>
      </c>
      <c r="V265" s="37">
        <f t="shared" si="84"/>
        <v>3779960000</v>
      </c>
      <c r="W265">
        <f t="shared" si="74"/>
        <v>0</v>
      </c>
      <c r="X265">
        <f t="shared" si="85"/>
        <v>0.12121196573577243</v>
      </c>
    </row>
    <row r="266" spans="1:24">
      <c r="A266" s="33">
        <v>45377</v>
      </c>
      <c r="B266" s="34">
        <v>50.99</v>
      </c>
      <c r="C266" s="29">
        <f t="shared" si="71"/>
        <v>0</v>
      </c>
      <c r="D266">
        <f t="shared" si="75"/>
        <v>0.16305596417137128</v>
      </c>
      <c r="E266" s="34">
        <v>50.99</v>
      </c>
      <c r="F266" s="34">
        <v>50.99</v>
      </c>
      <c r="G266">
        <f t="shared" si="76"/>
        <v>0</v>
      </c>
      <c r="H266" s="34">
        <v>50.98</v>
      </c>
      <c r="I266" s="34">
        <v>48.17</v>
      </c>
      <c r="J266">
        <f t="shared" si="77"/>
        <v>5.6681795259707415E-2</v>
      </c>
      <c r="K266" s="35">
        <v>1500</v>
      </c>
      <c r="L266" s="37">
        <f t="shared" si="78"/>
        <v>372080000</v>
      </c>
      <c r="M266">
        <f t="shared" si="72"/>
        <v>76485</v>
      </c>
      <c r="N266" s="37">
        <f t="shared" si="79"/>
        <v>145570000</v>
      </c>
      <c r="O266">
        <f t="shared" si="73"/>
        <v>1.0304320945249708E-5</v>
      </c>
      <c r="P266" s="36">
        <v>65906.28</v>
      </c>
      <c r="Q266" s="8">
        <v>0.216</v>
      </c>
      <c r="R266" s="37">
        <f t="shared" si="80"/>
        <v>31184710000</v>
      </c>
      <c r="S266" s="37">
        <f t="shared" si="81"/>
        <v>4643530000</v>
      </c>
      <c r="T266" s="37">
        <f t="shared" si="82"/>
        <v>2160080000</v>
      </c>
      <c r="U266" s="37">
        <f t="shared" si="83"/>
        <v>205220000</v>
      </c>
      <c r="V266" s="37">
        <f t="shared" si="84"/>
        <v>3779960000</v>
      </c>
      <c r="W266">
        <f t="shared" si="74"/>
        <v>0</v>
      </c>
      <c r="X266">
        <f t="shared" si="85"/>
        <v>0.12121196573577243</v>
      </c>
    </row>
    <row r="267" spans="1:24">
      <c r="A267" s="33">
        <v>45376</v>
      </c>
      <c r="B267" s="34">
        <v>0</v>
      </c>
      <c r="C267" s="29">
        <f t="shared" si="71"/>
        <v>0</v>
      </c>
      <c r="D267">
        <f t="shared" si="75"/>
        <v>0.16305596417137128</v>
      </c>
      <c r="E267" s="34">
        <v>0</v>
      </c>
      <c r="F267" s="34">
        <v>0</v>
      </c>
      <c r="G267">
        <v>0</v>
      </c>
      <c r="H267" s="34">
        <v>50.98</v>
      </c>
      <c r="I267" s="34">
        <v>48.02</v>
      </c>
      <c r="J267">
        <f t="shared" si="77"/>
        <v>5.979797979797967E-2</v>
      </c>
      <c r="K267" s="35">
        <v>0</v>
      </c>
      <c r="L267" s="37">
        <f t="shared" si="78"/>
        <v>372080000</v>
      </c>
      <c r="M267">
        <f t="shared" si="72"/>
        <v>0</v>
      </c>
      <c r="N267" s="37">
        <f t="shared" si="79"/>
        <v>145570000</v>
      </c>
      <c r="O267">
        <f t="shared" si="73"/>
        <v>0</v>
      </c>
      <c r="P267" s="36">
        <v>65525.65</v>
      </c>
      <c r="Q267" s="8">
        <v>0.216</v>
      </c>
      <c r="R267" s="37">
        <f t="shared" si="80"/>
        <v>31184710000</v>
      </c>
      <c r="S267" s="37">
        <f t="shared" si="81"/>
        <v>4643530000</v>
      </c>
      <c r="T267" s="37">
        <f t="shared" si="82"/>
        <v>2160080000</v>
      </c>
      <c r="U267" s="37">
        <f t="shared" si="83"/>
        <v>205220000</v>
      </c>
      <c r="V267" s="37">
        <f t="shared" si="84"/>
        <v>3779960000</v>
      </c>
      <c r="W267">
        <f t="shared" si="74"/>
        <v>0</v>
      </c>
      <c r="X267">
        <f t="shared" si="85"/>
        <v>0.12121196573577243</v>
      </c>
    </row>
    <row r="269" spans="1:24" ht="15" thickBot="1"/>
    <row r="270" spans="1:24" ht="16" thickBot="1">
      <c r="A270" s="184" t="s">
        <v>43</v>
      </c>
      <c r="B270" s="185"/>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6"/>
    </row>
    <row r="271" spans="1:24" ht="43.5">
      <c r="A271" s="6" t="s">
        <v>14</v>
      </c>
      <c r="B271" s="5" t="s">
        <v>15</v>
      </c>
      <c r="C271" s="7" t="s">
        <v>16</v>
      </c>
      <c r="D271" s="7" t="s">
        <v>17</v>
      </c>
      <c r="E271" s="6" t="s">
        <v>0</v>
      </c>
      <c r="F271" s="6" t="s">
        <v>13</v>
      </c>
      <c r="G271" s="7" t="s">
        <v>18</v>
      </c>
      <c r="H271" s="5" t="s">
        <v>12</v>
      </c>
      <c r="I271" s="6" t="s">
        <v>1</v>
      </c>
      <c r="J271" s="7" t="s">
        <v>19</v>
      </c>
      <c r="K271" s="5" t="s">
        <v>2</v>
      </c>
      <c r="L271" s="5" t="s">
        <v>3</v>
      </c>
      <c r="M271" s="7" t="s">
        <v>20</v>
      </c>
      <c r="N271" s="5" t="s">
        <v>22</v>
      </c>
      <c r="O271" s="7" t="s">
        <v>21</v>
      </c>
      <c r="P271" s="5" t="s">
        <v>5</v>
      </c>
      <c r="Q271" s="5" t="s">
        <v>6</v>
      </c>
      <c r="R271" s="5" t="s">
        <v>7</v>
      </c>
      <c r="S271" s="5" t="s">
        <v>8</v>
      </c>
      <c r="T271" s="5" t="s">
        <v>9</v>
      </c>
      <c r="U271" s="5" t="s">
        <v>10</v>
      </c>
      <c r="V271" s="5" t="s">
        <v>11</v>
      </c>
      <c r="W271" s="7" t="s">
        <v>73</v>
      </c>
      <c r="X271" s="7" t="s">
        <v>72</v>
      </c>
    </row>
    <row r="272" spans="1:24">
      <c r="A272" s="33">
        <v>45436</v>
      </c>
      <c r="B272">
        <v>39.31</v>
      </c>
      <c r="C272" s="29">
        <f t="shared" ref="C272:C311" si="86">IFERROR((B272-B273)/B273,0)</f>
        <v>9.5017976373909744E-3</v>
      </c>
      <c r="D272">
        <f>_xlfn.STDEV.S($C$272:$C$311)</f>
        <v>2.7465550941985366E-2</v>
      </c>
      <c r="E272">
        <v>40.26</v>
      </c>
      <c r="F272">
        <v>38.6</v>
      </c>
      <c r="G272">
        <f t="shared" ref="G272:G311" si="87">(E272-F272)/((E272+F272)/2)</f>
        <v>4.2099923915800065E-2</v>
      </c>
      <c r="H272">
        <v>39.299999999999997</v>
      </c>
      <c r="I272">
        <v>39.25</v>
      </c>
      <c r="J272">
        <f t="shared" ref="J272:J311" si="88">(H272-I272)/((H272+I272)/2)</f>
        <v>1.2730744748567068E-3</v>
      </c>
      <c r="K272">
        <v>3795294</v>
      </c>
      <c r="L272">
        <v>1517696526</v>
      </c>
      <c r="M272">
        <f t="shared" ref="M272:M311" si="89">B272*K272</f>
        <v>149193007.14000002</v>
      </c>
      <c r="N272">
        <v>379424131</v>
      </c>
      <c r="O272">
        <f t="shared" ref="O272:O311" si="90">K272/N272</f>
        <v>1.0002774441354653E-2</v>
      </c>
      <c r="P272">
        <v>75983.039999999994</v>
      </c>
      <c r="Q272" s="8">
        <v>0.2157</v>
      </c>
      <c r="R272" s="135">
        <f>1474794637*1000</f>
        <v>1474794637000</v>
      </c>
      <c r="S272">
        <v>1383775716000</v>
      </c>
      <c r="T272">
        <v>13696846</v>
      </c>
      <c r="U272">
        <v>98140892</v>
      </c>
      <c r="V272">
        <v>258003519</v>
      </c>
      <c r="W272">
        <f t="shared" ref="W272:W311" si="91">IFERROR(ABS(C272)/M272,0)</f>
        <v>6.3687955753010989E-11</v>
      </c>
      <c r="X272">
        <f>V272/R272</f>
        <v>1.7494199702599E-4</v>
      </c>
    </row>
    <row r="273" spans="1:24">
      <c r="A273" s="33">
        <v>45435</v>
      </c>
      <c r="B273">
        <v>38.94</v>
      </c>
      <c r="C273" s="29">
        <f t="shared" si="86"/>
        <v>9.3312597200621936E-3</v>
      </c>
      <c r="D273">
        <f t="shared" ref="D273:D311" si="92">_xlfn.STDEV.S($C$272:$C$311)</f>
        <v>2.7465550941985366E-2</v>
      </c>
      <c r="E273">
        <v>39.049999999999997</v>
      </c>
      <c r="F273">
        <v>38.24</v>
      </c>
      <c r="G273">
        <f t="shared" si="87"/>
        <v>2.096002070125489E-2</v>
      </c>
      <c r="H273">
        <v>39.049999999999997</v>
      </c>
      <c r="I273">
        <v>38.81</v>
      </c>
      <c r="J273">
        <f t="shared" si="88"/>
        <v>6.1649113793987896E-3</v>
      </c>
      <c r="K273">
        <v>494319</v>
      </c>
      <c r="L273">
        <v>1517696526</v>
      </c>
      <c r="M273">
        <f t="shared" si="89"/>
        <v>19248781.859999999</v>
      </c>
      <c r="N273">
        <v>379424131</v>
      </c>
      <c r="O273">
        <f>K273/N273</f>
        <v>1.3028138160247904E-3</v>
      </c>
      <c r="P273">
        <v>75114.47</v>
      </c>
      <c r="Q273" s="8">
        <v>0.2157</v>
      </c>
      <c r="R273">
        <v>1474794637</v>
      </c>
      <c r="S273">
        <v>1383775716</v>
      </c>
      <c r="T273">
        <v>13696846</v>
      </c>
      <c r="U273">
        <v>98140892</v>
      </c>
      <c r="V273">
        <v>258003519</v>
      </c>
      <c r="W273">
        <f t="shared" si="91"/>
        <v>4.8477144101534298E-10</v>
      </c>
      <c r="X273">
        <f t="shared" ref="X273:X311" si="93">V273/R273</f>
        <v>0.17494199702599</v>
      </c>
    </row>
    <row r="274" spans="1:24">
      <c r="A274" s="33">
        <v>45434</v>
      </c>
      <c r="B274">
        <v>38.58</v>
      </c>
      <c r="C274" s="29">
        <f t="shared" si="86"/>
        <v>-1.102281466290694E-2</v>
      </c>
      <c r="D274">
        <f t="shared" si="92"/>
        <v>2.7465550941985366E-2</v>
      </c>
      <c r="E274">
        <v>39.26</v>
      </c>
      <c r="F274">
        <v>38.5</v>
      </c>
      <c r="G274">
        <f t="shared" si="87"/>
        <v>1.9547325102880611E-2</v>
      </c>
      <c r="H274">
        <v>38.5</v>
      </c>
      <c r="I274">
        <v>38.49</v>
      </c>
      <c r="J274">
        <f t="shared" si="88"/>
        <v>2.597739966228863E-4</v>
      </c>
      <c r="K274">
        <v>1229080</v>
      </c>
      <c r="L274">
        <v>1517696526</v>
      </c>
      <c r="M274">
        <f t="shared" si="89"/>
        <v>47417906.399999999</v>
      </c>
      <c r="N274">
        <v>379424131</v>
      </c>
      <c r="O274">
        <f t="shared" si="90"/>
        <v>3.2393300783497081E-3</v>
      </c>
      <c r="P274">
        <v>74956.67</v>
      </c>
      <c r="Q274" s="8">
        <v>0.2157</v>
      </c>
      <c r="R274">
        <v>1474794637</v>
      </c>
      <c r="S274">
        <v>1383775716</v>
      </c>
      <c r="T274">
        <v>13696846</v>
      </c>
      <c r="U274">
        <v>98140892</v>
      </c>
      <c r="V274">
        <v>258003519</v>
      </c>
      <c r="W274">
        <f t="shared" si="91"/>
        <v>2.3246101525281472E-10</v>
      </c>
      <c r="X274">
        <f t="shared" si="93"/>
        <v>0.17494199702599</v>
      </c>
    </row>
    <row r="275" spans="1:24">
      <c r="A275" s="33">
        <v>45433</v>
      </c>
      <c r="B275">
        <v>39.01</v>
      </c>
      <c r="C275" s="29">
        <f t="shared" si="86"/>
        <v>7.2295378259747264E-3</v>
      </c>
      <c r="D275">
        <f t="shared" si="92"/>
        <v>2.7465550941985366E-2</v>
      </c>
      <c r="E275">
        <v>39.4</v>
      </c>
      <c r="F275">
        <v>38.5</v>
      </c>
      <c r="G275">
        <f t="shared" si="87"/>
        <v>2.3106546854942196E-2</v>
      </c>
      <c r="H275">
        <v>39.06</v>
      </c>
      <c r="I275">
        <v>39.020000000000003</v>
      </c>
      <c r="J275">
        <f t="shared" si="88"/>
        <v>1.0245901639344042E-3</v>
      </c>
      <c r="K275">
        <v>2406624</v>
      </c>
      <c r="L275">
        <v>1517696526</v>
      </c>
      <c r="M275">
        <f t="shared" si="89"/>
        <v>93882402.239999995</v>
      </c>
      <c r="N275">
        <v>379424131</v>
      </c>
      <c r="O275">
        <f t="shared" si="90"/>
        <v>6.3428332659210863E-3</v>
      </c>
      <c r="P275">
        <v>75206.77</v>
      </c>
      <c r="Q275" s="8">
        <v>0.2157</v>
      </c>
      <c r="R275">
        <v>1474794637</v>
      </c>
      <c r="S275">
        <v>1383775716</v>
      </c>
      <c r="T275">
        <v>13696846</v>
      </c>
      <c r="U275">
        <v>98140892</v>
      </c>
      <c r="V275">
        <v>258003519</v>
      </c>
      <c r="W275">
        <f t="shared" si="91"/>
        <v>7.7006314852204266E-11</v>
      </c>
      <c r="X275">
        <f t="shared" si="93"/>
        <v>0.17494199702599</v>
      </c>
    </row>
    <row r="276" spans="1:24">
      <c r="A276" s="33">
        <v>45432</v>
      </c>
      <c r="B276">
        <v>38.729999999999997</v>
      </c>
      <c r="C276" s="29">
        <f t="shared" si="86"/>
        <v>-1.0222335803731298E-2</v>
      </c>
      <c r="D276">
        <f t="shared" si="92"/>
        <v>2.7465550941985366E-2</v>
      </c>
      <c r="E276">
        <v>39.799999999999997</v>
      </c>
      <c r="F276">
        <v>38.549999999999997</v>
      </c>
      <c r="G276">
        <f t="shared" si="87"/>
        <v>3.1908104658583285E-2</v>
      </c>
      <c r="H276">
        <v>38.94</v>
      </c>
      <c r="I276">
        <v>38.909999999999997</v>
      </c>
      <c r="J276">
        <f t="shared" si="88"/>
        <v>7.7071290944126243E-4</v>
      </c>
      <c r="K276">
        <v>1464418</v>
      </c>
      <c r="L276">
        <v>1517696526</v>
      </c>
      <c r="M276">
        <f t="shared" si="89"/>
        <v>56716909.139999993</v>
      </c>
      <c r="N276">
        <v>379424131</v>
      </c>
      <c r="O276">
        <f t="shared" si="90"/>
        <v>3.8595805599934284E-3</v>
      </c>
      <c r="P276">
        <v>75084</v>
      </c>
      <c r="Q276" s="8">
        <v>0.2157</v>
      </c>
      <c r="R276">
        <v>1474794637</v>
      </c>
      <c r="S276">
        <v>1383775716</v>
      </c>
      <c r="T276">
        <v>13696846</v>
      </c>
      <c r="U276">
        <v>98140892</v>
      </c>
      <c r="V276">
        <v>258003519</v>
      </c>
      <c r="W276">
        <f t="shared" si="91"/>
        <v>1.8023435971270029E-10</v>
      </c>
      <c r="X276">
        <f t="shared" si="93"/>
        <v>0.17494199702599</v>
      </c>
    </row>
    <row r="277" spans="1:24">
      <c r="A277" s="33">
        <v>45429</v>
      </c>
      <c r="B277">
        <v>39.130000000000003</v>
      </c>
      <c r="C277" s="29">
        <f t="shared" si="86"/>
        <v>-8.8652482269502113E-3</v>
      </c>
      <c r="D277">
        <f t="shared" si="92"/>
        <v>2.7465550941985366E-2</v>
      </c>
      <c r="E277">
        <v>39.94</v>
      </c>
      <c r="F277">
        <v>38.99</v>
      </c>
      <c r="G277">
        <f t="shared" si="87"/>
        <v>2.4071962498416206E-2</v>
      </c>
      <c r="H277">
        <v>39.24</v>
      </c>
      <c r="I277">
        <v>39.22</v>
      </c>
      <c r="J277">
        <f t="shared" si="88"/>
        <v>5.0981391792003883E-4</v>
      </c>
      <c r="K277">
        <v>983251</v>
      </c>
      <c r="L277">
        <v>1517696526</v>
      </c>
      <c r="M277">
        <f t="shared" si="89"/>
        <v>38474611.630000003</v>
      </c>
      <c r="N277">
        <v>379424131</v>
      </c>
      <c r="O277">
        <f t="shared" si="90"/>
        <v>2.5914298002306028E-3</v>
      </c>
      <c r="P277">
        <v>75342.350000000006</v>
      </c>
      <c r="Q277" s="8">
        <v>0.2157</v>
      </c>
      <c r="R277">
        <v>1474794637</v>
      </c>
      <c r="S277">
        <v>1383775716</v>
      </c>
      <c r="T277">
        <v>13696846</v>
      </c>
      <c r="U277">
        <v>98140892</v>
      </c>
      <c r="V277">
        <v>258003519</v>
      </c>
      <c r="W277">
        <f t="shared" si="91"/>
        <v>2.3041813422848606E-10</v>
      </c>
      <c r="X277">
        <f t="shared" si="93"/>
        <v>0.17494199702599</v>
      </c>
    </row>
    <row r="278" spans="1:24">
      <c r="A278" s="33">
        <v>45428</v>
      </c>
      <c r="B278">
        <v>39.479999999999997</v>
      </c>
      <c r="C278" s="29">
        <f t="shared" si="86"/>
        <v>8.1716036772216619E-3</v>
      </c>
      <c r="D278">
        <f t="shared" si="92"/>
        <v>2.7465550941985366E-2</v>
      </c>
      <c r="E278">
        <v>39.64</v>
      </c>
      <c r="F278">
        <v>38.75</v>
      </c>
      <c r="G278">
        <f t="shared" si="87"/>
        <v>2.2706977930858543E-2</v>
      </c>
      <c r="H278">
        <v>39.44</v>
      </c>
      <c r="I278">
        <v>39.4</v>
      </c>
      <c r="J278">
        <f t="shared" si="88"/>
        <v>1.014713343480445E-3</v>
      </c>
      <c r="K278">
        <v>1616253</v>
      </c>
      <c r="L278">
        <v>1517696526</v>
      </c>
      <c r="M278">
        <f t="shared" si="89"/>
        <v>63809668.439999998</v>
      </c>
      <c r="N278">
        <v>379424131</v>
      </c>
      <c r="O278">
        <f t="shared" si="90"/>
        <v>4.2597527883644279E-3</v>
      </c>
      <c r="P278">
        <v>74930.7</v>
      </c>
      <c r="Q278" s="8">
        <v>0.2157</v>
      </c>
      <c r="R278">
        <v>1474794637</v>
      </c>
      <c r="S278">
        <v>1383775716</v>
      </c>
      <c r="T278">
        <v>13696846</v>
      </c>
      <c r="U278">
        <v>98140892</v>
      </c>
      <c r="V278">
        <v>258003519</v>
      </c>
      <c r="W278">
        <f t="shared" si="91"/>
        <v>1.2806215542250298E-10</v>
      </c>
      <c r="X278">
        <f t="shared" si="93"/>
        <v>0.17494199702599</v>
      </c>
    </row>
    <row r="279" spans="1:24">
      <c r="A279" s="33">
        <v>45427</v>
      </c>
      <c r="B279">
        <v>39.159999999999997</v>
      </c>
      <c r="C279" s="29">
        <f t="shared" si="86"/>
        <v>-7.6550140341926861E-4</v>
      </c>
      <c r="D279">
        <f t="shared" si="92"/>
        <v>2.7465550941985366E-2</v>
      </c>
      <c r="E279">
        <v>40.6</v>
      </c>
      <c r="F279">
        <v>38.97</v>
      </c>
      <c r="G279">
        <f t="shared" si="87"/>
        <v>4.0970214905115064E-2</v>
      </c>
      <c r="H279">
        <v>39.24</v>
      </c>
      <c r="I279">
        <v>39.1</v>
      </c>
      <c r="J279">
        <f t="shared" si="88"/>
        <v>3.5741639009446149E-3</v>
      </c>
      <c r="K279">
        <v>3349299</v>
      </c>
      <c r="L279">
        <v>1517696526</v>
      </c>
      <c r="M279">
        <f t="shared" si="89"/>
        <v>131158548.83999999</v>
      </c>
      <c r="N279">
        <v>379424131</v>
      </c>
      <c r="O279">
        <f t="shared" si="90"/>
        <v>8.8273220555916618E-3</v>
      </c>
      <c r="P279">
        <v>74663.98</v>
      </c>
      <c r="Q279" s="8">
        <v>0.2157</v>
      </c>
      <c r="R279">
        <v>1474794637</v>
      </c>
      <c r="S279">
        <v>1383775716</v>
      </c>
      <c r="T279">
        <v>13696846</v>
      </c>
      <c r="U279">
        <v>98140892</v>
      </c>
      <c r="V279">
        <v>258003519</v>
      </c>
      <c r="W279">
        <f t="shared" si="91"/>
        <v>5.8364583184974243E-12</v>
      </c>
      <c r="X279">
        <f t="shared" si="93"/>
        <v>0.17494199702599</v>
      </c>
    </row>
    <row r="280" spans="1:24">
      <c r="A280" s="33">
        <v>45426</v>
      </c>
      <c r="B280">
        <v>39.19</v>
      </c>
      <c r="C280" s="29">
        <f t="shared" si="86"/>
        <v>1.1615900877645734E-2</v>
      </c>
      <c r="D280">
        <f t="shared" si="92"/>
        <v>2.7465550941985366E-2</v>
      </c>
      <c r="E280">
        <v>40.19</v>
      </c>
      <c r="F280">
        <v>38.9</v>
      </c>
      <c r="G280">
        <f t="shared" si="87"/>
        <v>3.2621064609938022E-2</v>
      </c>
      <c r="H280">
        <v>39.1</v>
      </c>
      <c r="I280">
        <v>39.04</v>
      </c>
      <c r="J280">
        <f t="shared" si="88"/>
        <v>1.5357051446122927E-3</v>
      </c>
      <c r="K280">
        <v>2387840</v>
      </c>
      <c r="L280">
        <v>1517696526</v>
      </c>
      <c r="M280">
        <f t="shared" si="89"/>
        <v>93579449.599999994</v>
      </c>
      <c r="N280">
        <v>379424131</v>
      </c>
      <c r="O280">
        <f t="shared" si="90"/>
        <v>6.2933266624520517E-3</v>
      </c>
      <c r="P280">
        <v>74531.19</v>
      </c>
      <c r="Q280" s="8">
        <v>0.21590000000000001</v>
      </c>
      <c r="R280">
        <v>1474794637</v>
      </c>
      <c r="S280">
        <v>1383775716</v>
      </c>
      <c r="T280">
        <v>13696846</v>
      </c>
      <c r="U280">
        <v>98140892</v>
      </c>
      <c r="V280">
        <v>258003519</v>
      </c>
      <c r="W280">
        <f t="shared" si="91"/>
        <v>1.2412875826153324E-10</v>
      </c>
      <c r="X280">
        <f t="shared" si="93"/>
        <v>0.17494199702599</v>
      </c>
    </row>
    <row r="281" spans="1:24">
      <c r="A281" s="33">
        <v>45425</v>
      </c>
      <c r="B281">
        <v>38.74</v>
      </c>
      <c r="C281" s="29">
        <f t="shared" si="86"/>
        <v>5.4436581382689163E-2</v>
      </c>
      <c r="D281">
        <f t="shared" si="92"/>
        <v>2.7465550941985366E-2</v>
      </c>
      <c r="E281">
        <v>39.25</v>
      </c>
      <c r="F281">
        <v>36.5</v>
      </c>
      <c r="G281">
        <f t="shared" si="87"/>
        <v>7.2607260726072612E-2</v>
      </c>
      <c r="H281">
        <v>39.1</v>
      </c>
      <c r="I281">
        <v>39</v>
      </c>
      <c r="J281">
        <f t="shared" si="88"/>
        <v>2.5608194622279497E-3</v>
      </c>
      <c r="K281">
        <v>4575841</v>
      </c>
      <c r="L281">
        <v>1517696526</v>
      </c>
      <c r="M281">
        <f t="shared" si="89"/>
        <v>177268080.34</v>
      </c>
      <c r="N281">
        <v>379424131</v>
      </c>
      <c r="O281">
        <f t="shared" si="90"/>
        <v>1.2059963049635343E-2</v>
      </c>
      <c r="P281">
        <v>73799.11</v>
      </c>
      <c r="Q281" s="8">
        <v>0.21590000000000001</v>
      </c>
      <c r="R281">
        <v>1474794637</v>
      </c>
      <c r="S281">
        <v>1383775716</v>
      </c>
      <c r="T281">
        <v>13696846</v>
      </c>
      <c r="U281">
        <v>98140892</v>
      </c>
      <c r="V281">
        <v>258003519</v>
      </c>
      <c r="W281">
        <f t="shared" si="91"/>
        <v>3.0708620118342714E-10</v>
      </c>
      <c r="X281">
        <f t="shared" si="93"/>
        <v>0.17494199702599</v>
      </c>
    </row>
    <row r="282" spans="1:24">
      <c r="A282" s="33">
        <v>45422</v>
      </c>
      <c r="B282">
        <v>36.74</v>
      </c>
      <c r="C282" s="29">
        <f t="shared" si="86"/>
        <v>-5.9523809523809217E-3</v>
      </c>
      <c r="D282">
        <f t="shared" si="92"/>
        <v>2.7465550941985366E-2</v>
      </c>
      <c r="E282">
        <v>37.49</v>
      </c>
      <c r="F282">
        <v>36.700000000000003</v>
      </c>
      <c r="G282">
        <f t="shared" si="87"/>
        <v>2.1296670710338299E-2</v>
      </c>
      <c r="H282">
        <v>36.85</v>
      </c>
      <c r="I282">
        <v>36.75</v>
      </c>
      <c r="J282">
        <f t="shared" si="88"/>
        <v>2.717391304347865E-3</v>
      </c>
      <c r="K282">
        <v>1510223</v>
      </c>
      <c r="L282">
        <v>1517696526</v>
      </c>
      <c r="M282">
        <f t="shared" si="89"/>
        <v>55485593.020000003</v>
      </c>
      <c r="N282">
        <v>379424131</v>
      </c>
      <c r="O282">
        <f t="shared" si="90"/>
        <v>3.9803029818364401E-3</v>
      </c>
      <c r="P282">
        <v>73085.5</v>
      </c>
      <c r="Q282" s="8">
        <v>0.21590000000000001</v>
      </c>
      <c r="R282">
        <v>1474794637</v>
      </c>
      <c r="S282">
        <v>1383775716</v>
      </c>
      <c r="T282">
        <v>13696846</v>
      </c>
      <c r="U282">
        <v>98140892</v>
      </c>
      <c r="V282">
        <v>258003519</v>
      </c>
      <c r="W282">
        <f t="shared" si="91"/>
        <v>1.0727795502222283E-10</v>
      </c>
      <c r="X282">
        <f t="shared" si="93"/>
        <v>0.17494199702599</v>
      </c>
    </row>
    <row r="283" spans="1:24">
      <c r="A283" s="33">
        <v>45421</v>
      </c>
      <c r="B283">
        <v>36.96</v>
      </c>
      <c r="C283" s="29">
        <f t="shared" si="86"/>
        <v>7.0844686648500813E-3</v>
      </c>
      <c r="D283">
        <f t="shared" si="92"/>
        <v>2.7465550941985366E-2</v>
      </c>
      <c r="E283">
        <v>37.19</v>
      </c>
      <c r="F283">
        <v>36.25</v>
      </c>
      <c r="G283">
        <f t="shared" si="87"/>
        <v>2.5599128540304949E-2</v>
      </c>
      <c r="H283">
        <v>36.92</v>
      </c>
      <c r="I283">
        <v>36.76</v>
      </c>
      <c r="J283">
        <f t="shared" si="88"/>
        <v>4.3431053203041173E-3</v>
      </c>
      <c r="K283">
        <v>1891336</v>
      </c>
      <c r="L283">
        <v>1517696526</v>
      </c>
      <c r="M283">
        <f t="shared" si="89"/>
        <v>69903778.560000002</v>
      </c>
      <c r="N283">
        <v>379424131</v>
      </c>
      <c r="O283">
        <f t="shared" si="90"/>
        <v>4.9847541193946887E-3</v>
      </c>
      <c r="P283">
        <v>72658.05</v>
      </c>
      <c r="Q283" s="8">
        <v>0.21590000000000001</v>
      </c>
      <c r="R283">
        <v>1474794637</v>
      </c>
      <c r="S283">
        <v>1383775716</v>
      </c>
      <c r="T283">
        <v>13696846</v>
      </c>
      <c r="U283">
        <v>98140892</v>
      </c>
      <c r="V283">
        <v>258003519</v>
      </c>
      <c r="W283">
        <f t="shared" si="91"/>
        <v>1.013460046193257E-10</v>
      </c>
      <c r="X283">
        <f t="shared" si="93"/>
        <v>0.17494199702599</v>
      </c>
    </row>
    <row r="284" spans="1:24">
      <c r="A284" s="33">
        <v>45420</v>
      </c>
      <c r="B284">
        <v>36.700000000000003</v>
      </c>
      <c r="C284" s="29">
        <f t="shared" si="86"/>
        <v>-2.9883183917413592E-3</v>
      </c>
      <c r="D284">
        <f t="shared" si="92"/>
        <v>2.7465550941985366E-2</v>
      </c>
      <c r="E284">
        <v>37</v>
      </c>
      <c r="F284">
        <v>36.479999999999997</v>
      </c>
      <c r="G284">
        <f t="shared" si="87"/>
        <v>1.415351115949927E-2</v>
      </c>
      <c r="H284">
        <v>36.75</v>
      </c>
      <c r="I284">
        <v>36.65</v>
      </c>
      <c r="J284">
        <f t="shared" si="88"/>
        <v>2.724795640327014E-3</v>
      </c>
      <c r="K284">
        <v>2149104</v>
      </c>
      <c r="L284">
        <v>1517696526</v>
      </c>
      <c r="M284">
        <f t="shared" si="89"/>
        <v>78872116.800000012</v>
      </c>
      <c r="N284">
        <v>379424131</v>
      </c>
      <c r="O284">
        <f t="shared" si="90"/>
        <v>5.6641205037114518E-3</v>
      </c>
      <c r="P284">
        <v>72601.820000000007</v>
      </c>
      <c r="Q284" s="8">
        <v>0.21590000000000001</v>
      </c>
      <c r="R284">
        <v>1474794637</v>
      </c>
      <c r="S284">
        <v>1383775716</v>
      </c>
      <c r="T284">
        <v>13696846</v>
      </c>
      <c r="U284">
        <v>98140892</v>
      </c>
      <c r="V284">
        <v>258003519</v>
      </c>
      <c r="W284">
        <f t="shared" si="91"/>
        <v>3.7888147459247078E-11</v>
      </c>
      <c r="X284">
        <f t="shared" si="93"/>
        <v>0.17494199702599</v>
      </c>
    </row>
    <row r="285" spans="1:24">
      <c r="A285" s="33">
        <v>45419</v>
      </c>
      <c r="B285">
        <v>36.81</v>
      </c>
      <c r="C285" s="29">
        <f t="shared" si="86"/>
        <v>-3.1825355076275666E-2</v>
      </c>
      <c r="D285">
        <f t="shared" si="92"/>
        <v>2.7465550941985366E-2</v>
      </c>
      <c r="E285">
        <v>37.5</v>
      </c>
      <c r="F285">
        <v>36.65</v>
      </c>
      <c r="G285">
        <f t="shared" si="87"/>
        <v>2.2926500337154453E-2</v>
      </c>
      <c r="H285">
        <v>36.880000000000003</v>
      </c>
      <c r="I285">
        <v>36.700000000000003</v>
      </c>
      <c r="J285">
        <f t="shared" si="88"/>
        <v>4.8926338678988773E-3</v>
      </c>
      <c r="K285">
        <v>1618264</v>
      </c>
      <c r="L285">
        <v>1517696526</v>
      </c>
      <c r="M285">
        <f t="shared" si="89"/>
        <v>59568297.840000004</v>
      </c>
      <c r="N285">
        <v>379424131</v>
      </c>
      <c r="O285">
        <f t="shared" si="90"/>
        <v>4.2650529256928046E-3</v>
      </c>
      <c r="P285">
        <v>72761.2</v>
      </c>
      <c r="Q285" s="8">
        <v>0.21590000000000001</v>
      </c>
      <c r="R285">
        <v>1474794637</v>
      </c>
      <c r="S285">
        <v>1383775716</v>
      </c>
      <c r="T285">
        <v>13696846</v>
      </c>
      <c r="U285">
        <v>98140892</v>
      </c>
      <c r="V285">
        <v>258003519</v>
      </c>
      <c r="W285">
        <f t="shared" si="91"/>
        <v>5.3426665240222796E-10</v>
      </c>
      <c r="X285">
        <f t="shared" si="93"/>
        <v>0.17494199702599</v>
      </c>
    </row>
    <row r="286" spans="1:24">
      <c r="A286" s="33">
        <v>45418</v>
      </c>
      <c r="B286">
        <v>38.020000000000003</v>
      </c>
      <c r="C286" s="29">
        <f t="shared" si="86"/>
        <v>-2.8848675583529877E-3</v>
      </c>
      <c r="D286">
        <f t="shared" si="92"/>
        <v>2.7465550941985366E-2</v>
      </c>
      <c r="E286">
        <v>38.479999999999997</v>
      </c>
      <c r="F286">
        <v>37.5</v>
      </c>
      <c r="G286">
        <f t="shared" si="87"/>
        <v>2.5796262174256304E-2</v>
      </c>
      <c r="H286">
        <v>38.1</v>
      </c>
      <c r="I286">
        <v>38.06</v>
      </c>
      <c r="J286">
        <f t="shared" si="88"/>
        <v>1.0504201680672045E-3</v>
      </c>
      <c r="K286">
        <v>3376623</v>
      </c>
      <c r="L286">
        <v>1517696526</v>
      </c>
      <c r="M286">
        <f t="shared" si="89"/>
        <v>128379206.46000001</v>
      </c>
      <c r="N286">
        <v>379424131</v>
      </c>
      <c r="O286">
        <f t="shared" si="90"/>
        <v>8.8993364525884622E-3</v>
      </c>
      <c r="P286">
        <v>72764.240000000005</v>
      </c>
      <c r="Q286" s="8">
        <v>0.21590000000000001</v>
      </c>
      <c r="R286">
        <v>1474794637</v>
      </c>
      <c r="S286">
        <v>1383775716</v>
      </c>
      <c r="T286">
        <v>13696846</v>
      </c>
      <c r="U286">
        <v>98140892</v>
      </c>
      <c r="V286">
        <v>258003519</v>
      </c>
      <c r="W286">
        <f t="shared" si="91"/>
        <v>2.2471454980147782E-11</v>
      </c>
      <c r="X286">
        <f t="shared" si="93"/>
        <v>0.17494199702599</v>
      </c>
    </row>
    <row r="287" spans="1:24">
      <c r="A287" s="33">
        <v>45415</v>
      </c>
      <c r="B287">
        <v>38.130000000000003</v>
      </c>
      <c r="C287" s="29">
        <f t="shared" si="86"/>
        <v>-1.0479434110557805E-3</v>
      </c>
      <c r="D287">
        <f t="shared" si="92"/>
        <v>2.7465550941985366E-2</v>
      </c>
      <c r="E287">
        <v>39.25</v>
      </c>
      <c r="F287">
        <v>38</v>
      </c>
      <c r="G287">
        <f t="shared" si="87"/>
        <v>3.2362459546925564E-2</v>
      </c>
      <c r="H287">
        <v>38.14</v>
      </c>
      <c r="I287">
        <v>38</v>
      </c>
      <c r="J287">
        <f t="shared" si="88"/>
        <v>3.6774363015497917E-3</v>
      </c>
      <c r="K287">
        <v>4591548</v>
      </c>
      <c r="L287">
        <v>1517696526</v>
      </c>
      <c r="M287">
        <f t="shared" si="89"/>
        <v>175075725.24000001</v>
      </c>
      <c r="N287">
        <v>379424131</v>
      </c>
      <c r="O287">
        <f t="shared" si="90"/>
        <v>1.2101359994944549E-2</v>
      </c>
      <c r="P287">
        <v>71902.09</v>
      </c>
      <c r="Q287" s="8">
        <v>0.21590000000000001</v>
      </c>
      <c r="R287">
        <v>1474794637</v>
      </c>
      <c r="S287">
        <v>1383775716</v>
      </c>
      <c r="T287">
        <v>13696846</v>
      </c>
      <c r="U287">
        <v>98140892</v>
      </c>
      <c r="V287">
        <v>258003519</v>
      </c>
      <c r="W287">
        <f t="shared" si="91"/>
        <v>5.985657975251695E-12</v>
      </c>
      <c r="X287">
        <f t="shared" si="93"/>
        <v>0.17494199702599</v>
      </c>
    </row>
    <row r="288" spans="1:24">
      <c r="A288" s="33">
        <v>45414</v>
      </c>
      <c r="B288">
        <v>38.17</v>
      </c>
      <c r="C288" s="29">
        <f t="shared" si="86"/>
        <v>-3.3915464439382342E-2</v>
      </c>
      <c r="D288">
        <f t="shared" si="92"/>
        <v>2.7465550941985366E-2</v>
      </c>
      <c r="E288">
        <v>40.5</v>
      </c>
      <c r="F288">
        <v>37.35</v>
      </c>
      <c r="G288">
        <f t="shared" si="87"/>
        <v>8.0924855491329453E-2</v>
      </c>
      <c r="H288">
        <v>38.19</v>
      </c>
      <c r="I288">
        <v>38.15</v>
      </c>
      <c r="J288">
        <f t="shared" si="88"/>
        <v>1.0479434110557805E-3</v>
      </c>
      <c r="K288">
        <v>14058308</v>
      </c>
      <c r="L288">
        <v>1517696526</v>
      </c>
      <c r="M288">
        <f t="shared" si="89"/>
        <v>536605616.36000001</v>
      </c>
      <c r="N288">
        <v>379424131</v>
      </c>
      <c r="O288">
        <f t="shared" si="90"/>
        <v>3.7051697167885193E-2</v>
      </c>
      <c r="P288">
        <v>70657.64</v>
      </c>
      <c r="Q288" s="8">
        <v>0.21590000000000001</v>
      </c>
      <c r="R288">
        <v>1474794637</v>
      </c>
      <c r="S288">
        <v>1383775716</v>
      </c>
      <c r="T288">
        <v>13696846</v>
      </c>
      <c r="U288">
        <v>98140892</v>
      </c>
      <c r="V288">
        <v>258003519</v>
      </c>
      <c r="W288">
        <f t="shared" si="91"/>
        <v>6.3203707537472002E-11</v>
      </c>
      <c r="X288">
        <f t="shared" si="93"/>
        <v>0.17494199702599</v>
      </c>
    </row>
    <row r="289" spans="1:24">
      <c r="A289" s="33">
        <v>45412</v>
      </c>
      <c r="B289">
        <v>39.51</v>
      </c>
      <c r="C289" s="29">
        <f t="shared" si="86"/>
        <v>2.2831050228309564E-3</v>
      </c>
      <c r="D289">
        <f t="shared" si="92"/>
        <v>2.7465550941985366E-2</v>
      </c>
      <c r="E289">
        <v>40.549999999999997</v>
      </c>
      <c r="F289">
        <v>39.39</v>
      </c>
      <c r="G289">
        <f t="shared" si="87"/>
        <v>2.9021766324743473E-2</v>
      </c>
      <c r="H289">
        <v>39.5</v>
      </c>
      <c r="I289">
        <v>39.409999999999997</v>
      </c>
      <c r="J289">
        <f t="shared" si="88"/>
        <v>2.2810797110633233E-3</v>
      </c>
      <c r="K289">
        <v>6933513</v>
      </c>
      <c r="L289">
        <v>1517696526</v>
      </c>
      <c r="M289">
        <f t="shared" si="89"/>
        <v>273943098.63</v>
      </c>
      <c r="N289">
        <v>379424131</v>
      </c>
      <c r="O289">
        <f t="shared" si="90"/>
        <v>1.8273779745442705E-2</v>
      </c>
      <c r="P289">
        <v>71102.55</v>
      </c>
      <c r="Q289" s="8">
        <v>0.21590000000000001</v>
      </c>
      <c r="R289">
        <v>1474794637</v>
      </c>
      <c r="S289">
        <v>1383775716</v>
      </c>
      <c r="T289">
        <v>13696846</v>
      </c>
      <c r="U289">
        <v>98140892</v>
      </c>
      <c r="V289">
        <v>258003519</v>
      </c>
      <c r="W289">
        <f t="shared" si="91"/>
        <v>8.334230846657035E-12</v>
      </c>
      <c r="X289">
        <f t="shared" si="93"/>
        <v>0.17494199702599</v>
      </c>
    </row>
    <row r="290" spans="1:24">
      <c r="A290" s="33">
        <v>45411</v>
      </c>
      <c r="B290">
        <v>39.42</v>
      </c>
      <c r="C290" s="29">
        <f t="shared" si="86"/>
        <v>-1.2030075187969847E-2</v>
      </c>
      <c r="D290">
        <f t="shared" si="92"/>
        <v>2.7465550941985366E-2</v>
      </c>
      <c r="E290">
        <v>40.25</v>
      </c>
      <c r="F290">
        <v>38.86</v>
      </c>
      <c r="G290">
        <f t="shared" si="87"/>
        <v>3.5140942990772354E-2</v>
      </c>
      <c r="H290">
        <v>39.75</v>
      </c>
      <c r="I290">
        <v>39.700000000000003</v>
      </c>
      <c r="J290">
        <f t="shared" si="88"/>
        <v>1.258653241032024E-3</v>
      </c>
      <c r="K290">
        <v>5802341</v>
      </c>
      <c r="L290">
        <v>1517696526</v>
      </c>
      <c r="M290">
        <f t="shared" si="89"/>
        <v>228728282.22</v>
      </c>
      <c r="N290">
        <v>379424131</v>
      </c>
      <c r="O290">
        <f t="shared" si="90"/>
        <v>1.5292493349612494E-2</v>
      </c>
      <c r="P290">
        <v>71695.03</v>
      </c>
      <c r="Q290" s="8">
        <v>0.21640000000000001</v>
      </c>
      <c r="R290">
        <v>1474794637</v>
      </c>
      <c r="S290">
        <v>1383775716</v>
      </c>
      <c r="T290">
        <v>13696846</v>
      </c>
      <c r="U290">
        <v>98140892</v>
      </c>
      <c r="V290">
        <v>258003519</v>
      </c>
      <c r="W290">
        <f t="shared" si="91"/>
        <v>5.2595486099086082E-11</v>
      </c>
      <c r="X290">
        <f t="shared" si="93"/>
        <v>0.17494199702599</v>
      </c>
    </row>
    <row r="291" spans="1:24">
      <c r="A291" s="33">
        <v>45408</v>
      </c>
      <c r="B291">
        <v>39.9</v>
      </c>
      <c r="C291" s="29">
        <f t="shared" si="86"/>
        <v>1.0894350139346332E-2</v>
      </c>
      <c r="D291">
        <f t="shared" si="92"/>
        <v>2.7465550941985366E-2</v>
      </c>
      <c r="E291">
        <v>40.1</v>
      </c>
      <c r="F291">
        <v>38.5</v>
      </c>
      <c r="G291">
        <f t="shared" si="87"/>
        <v>4.0712468193384262E-2</v>
      </c>
      <c r="H291">
        <v>39.950000000000003</v>
      </c>
      <c r="I291">
        <v>39.9</v>
      </c>
      <c r="J291">
        <f t="shared" si="88"/>
        <v>1.2523481527865815E-3</v>
      </c>
      <c r="K291">
        <v>7721627</v>
      </c>
      <c r="L291">
        <v>1517696526</v>
      </c>
      <c r="M291">
        <f t="shared" si="89"/>
        <v>308092917.30000001</v>
      </c>
      <c r="N291">
        <v>379424131</v>
      </c>
      <c r="O291">
        <f t="shared" si="90"/>
        <v>2.0350911734709883E-2</v>
      </c>
      <c r="P291">
        <v>72742.75</v>
      </c>
      <c r="Q291" s="8">
        <v>0.21640000000000001</v>
      </c>
      <c r="R291">
        <v>1474794637</v>
      </c>
      <c r="S291">
        <v>1383775716</v>
      </c>
      <c r="T291">
        <v>13696846</v>
      </c>
      <c r="U291">
        <v>98140892</v>
      </c>
      <c r="V291">
        <v>258003519</v>
      </c>
      <c r="W291">
        <f t="shared" si="91"/>
        <v>3.5360599116720856E-11</v>
      </c>
      <c r="X291">
        <f t="shared" si="93"/>
        <v>0.17494199702599</v>
      </c>
    </row>
    <row r="292" spans="1:24">
      <c r="A292" s="33">
        <v>45407</v>
      </c>
      <c r="B292">
        <v>39.47</v>
      </c>
      <c r="C292" s="29">
        <f t="shared" si="86"/>
        <v>-4.8457087753133996E-2</v>
      </c>
      <c r="D292">
        <f t="shared" si="92"/>
        <v>2.7465550941985366E-2</v>
      </c>
      <c r="E292">
        <v>43.68</v>
      </c>
      <c r="F292">
        <v>38.89</v>
      </c>
      <c r="G292">
        <f t="shared" si="87"/>
        <v>0.11602276856000968</v>
      </c>
      <c r="H292">
        <v>39.5</v>
      </c>
      <c r="I292">
        <v>39.49</v>
      </c>
      <c r="J292">
        <f t="shared" si="88"/>
        <v>2.5319660716541356E-4</v>
      </c>
      <c r="K292">
        <v>13692025</v>
      </c>
      <c r="L292">
        <v>1517696526</v>
      </c>
      <c r="M292">
        <f t="shared" si="89"/>
        <v>540424226.75</v>
      </c>
      <c r="N292">
        <v>379424131</v>
      </c>
      <c r="O292">
        <f t="shared" si="90"/>
        <v>3.6086331578104085E-2</v>
      </c>
      <c r="P292">
        <v>71971.399999999994</v>
      </c>
      <c r="Q292" s="8">
        <v>0.21640000000000001</v>
      </c>
      <c r="R292">
        <v>1474794637</v>
      </c>
      <c r="S292">
        <v>1383775716</v>
      </c>
      <c r="T292">
        <v>13696846</v>
      </c>
      <c r="U292">
        <v>98140892</v>
      </c>
      <c r="V292">
        <v>258003519</v>
      </c>
      <c r="W292">
        <f t="shared" si="91"/>
        <v>8.966490648382835E-11</v>
      </c>
      <c r="X292">
        <f t="shared" si="93"/>
        <v>0.17494199702599</v>
      </c>
    </row>
    <row r="293" spans="1:24">
      <c r="A293" s="33">
        <v>45406</v>
      </c>
      <c r="B293">
        <v>41.48</v>
      </c>
      <c r="C293" s="29">
        <f t="shared" si="86"/>
        <v>1.6666666666666659E-2</v>
      </c>
      <c r="D293">
        <f t="shared" si="92"/>
        <v>2.7465550941985366E-2</v>
      </c>
      <c r="E293">
        <v>42.25</v>
      </c>
      <c r="F293">
        <v>40.909999999999997</v>
      </c>
      <c r="G293">
        <f t="shared" si="87"/>
        <v>3.2227032227032312E-2</v>
      </c>
      <c r="H293">
        <v>41.4</v>
      </c>
      <c r="I293">
        <v>41.38</v>
      </c>
      <c r="J293">
        <f t="shared" si="88"/>
        <v>4.8320850446958253E-4</v>
      </c>
      <c r="K293">
        <v>4382849</v>
      </c>
      <c r="L293">
        <v>1517696526</v>
      </c>
      <c r="M293">
        <f t="shared" si="89"/>
        <v>181800576.51999998</v>
      </c>
      <c r="N293">
        <v>379424131</v>
      </c>
      <c r="O293">
        <f t="shared" si="90"/>
        <v>1.1551318542783986E-2</v>
      </c>
      <c r="P293">
        <v>72051.89</v>
      </c>
      <c r="Q293" s="8">
        <v>0.21640000000000001</v>
      </c>
      <c r="R293">
        <v>1474794637</v>
      </c>
      <c r="S293">
        <v>1383775716</v>
      </c>
      <c r="T293">
        <v>13696846</v>
      </c>
      <c r="U293">
        <v>98140892</v>
      </c>
      <c r="V293">
        <v>258003519</v>
      </c>
      <c r="W293">
        <f t="shared" si="91"/>
        <v>9.1675543530705749E-11</v>
      </c>
      <c r="X293">
        <f t="shared" si="93"/>
        <v>0.17494199702599</v>
      </c>
    </row>
    <row r="294" spans="1:24">
      <c r="A294" s="33">
        <v>45405</v>
      </c>
      <c r="B294">
        <v>40.799999999999997</v>
      </c>
      <c r="C294" s="29">
        <f t="shared" si="86"/>
        <v>-6.034085674804248E-2</v>
      </c>
      <c r="D294">
        <f t="shared" si="92"/>
        <v>2.7465550941985366E-2</v>
      </c>
      <c r="E294">
        <v>43.9</v>
      </c>
      <c r="F294">
        <v>40.4</v>
      </c>
      <c r="G294">
        <f t="shared" si="87"/>
        <v>8.3036773428232499E-2</v>
      </c>
      <c r="H294">
        <v>41.39</v>
      </c>
      <c r="I294">
        <v>41.25</v>
      </c>
      <c r="J294">
        <f t="shared" si="88"/>
        <v>3.3881897386253768E-3</v>
      </c>
      <c r="K294">
        <v>9391712</v>
      </c>
      <c r="L294">
        <v>1517696526</v>
      </c>
      <c r="M294">
        <f t="shared" si="89"/>
        <v>383181849.59999996</v>
      </c>
      <c r="N294">
        <v>379424131</v>
      </c>
      <c r="O294">
        <f t="shared" si="90"/>
        <v>2.4752542689489614E-2</v>
      </c>
      <c r="P294">
        <v>71359.41</v>
      </c>
      <c r="Q294" s="8">
        <v>0.21640000000000001</v>
      </c>
      <c r="R294">
        <v>1474794637</v>
      </c>
      <c r="S294">
        <v>1383775716</v>
      </c>
      <c r="T294">
        <v>13696846</v>
      </c>
      <c r="U294">
        <v>98140892</v>
      </c>
      <c r="V294">
        <v>258003519</v>
      </c>
      <c r="W294">
        <f t="shared" si="91"/>
        <v>1.5747316009626174E-10</v>
      </c>
      <c r="X294">
        <f t="shared" si="93"/>
        <v>0.17494199702599</v>
      </c>
    </row>
    <row r="295" spans="1:24">
      <c r="A295" s="33">
        <v>45404</v>
      </c>
      <c r="B295">
        <v>43.42</v>
      </c>
      <c r="C295" s="29">
        <f t="shared" si="86"/>
        <v>3.1353919239904993E-2</v>
      </c>
      <c r="D295">
        <f t="shared" si="92"/>
        <v>2.7465550941985366E-2</v>
      </c>
      <c r="E295">
        <v>44.99</v>
      </c>
      <c r="F295">
        <v>40.1</v>
      </c>
      <c r="G295">
        <f t="shared" si="87"/>
        <v>0.11493712539663886</v>
      </c>
      <c r="H295">
        <v>43.25</v>
      </c>
      <c r="I295">
        <v>43.2</v>
      </c>
      <c r="J295">
        <f t="shared" si="88"/>
        <v>1.1567379988431962E-3</v>
      </c>
      <c r="K295">
        <v>14356199</v>
      </c>
      <c r="L295">
        <v>1517696526</v>
      </c>
      <c r="M295">
        <f t="shared" si="89"/>
        <v>623346160.58000004</v>
      </c>
      <c r="N295">
        <v>379424131</v>
      </c>
      <c r="O295">
        <f t="shared" si="90"/>
        <v>3.7836810648187266E-2</v>
      </c>
      <c r="P295">
        <v>71433.460000000006</v>
      </c>
      <c r="Q295" s="8">
        <v>0.21640000000000001</v>
      </c>
      <c r="R295">
        <v>1474794637</v>
      </c>
      <c r="S295">
        <v>1383775716</v>
      </c>
      <c r="T295">
        <v>13696846</v>
      </c>
      <c r="U295">
        <v>98140892</v>
      </c>
      <c r="V295">
        <v>258003519</v>
      </c>
      <c r="W295">
        <f t="shared" si="91"/>
        <v>5.029937011360005E-11</v>
      </c>
      <c r="X295">
        <f t="shared" si="93"/>
        <v>0.17494199702599</v>
      </c>
    </row>
    <row r="296" spans="1:24">
      <c r="A296" s="33">
        <v>45401</v>
      </c>
      <c r="B296">
        <v>42.1</v>
      </c>
      <c r="C296" s="29">
        <f t="shared" si="86"/>
        <v>7.2065189712248484E-2</v>
      </c>
      <c r="D296">
        <f t="shared" si="92"/>
        <v>2.7465550941985366E-2</v>
      </c>
      <c r="E296">
        <v>42.22</v>
      </c>
      <c r="F296">
        <v>38.6</v>
      </c>
      <c r="G296">
        <f t="shared" si="87"/>
        <v>8.9581786686463688E-2</v>
      </c>
      <c r="H296">
        <v>42.22</v>
      </c>
      <c r="I296">
        <v>42.21</v>
      </c>
      <c r="J296">
        <f t="shared" si="88"/>
        <v>2.3688262465943407E-4</v>
      </c>
      <c r="K296">
        <v>13247136</v>
      </c>
      <c r="L296">
        <v>1517696526</v>
      </c>
      <c r="M296">
        <f t="shared" si="89"/>
        <v>557704425.60000002</v>
      </c>
      <c r="N296">
        <v>379424131</v>
      </c>
      <c r="O296">
        <f t="shared" si="90"/>
        <v>3.4913794136093045E-2</v>
      </c>
      <c r="P296">
        <v>70909.899999999994</v>
      </c>
      <c r="Q296" s="8">
        <v>0.21640000000000001</v>
      </c>
      <c r="R296">
        <v>1474794637</v>
      </c>
      <c r="S296">
        <v>1383775716</v>
      </c>
      <c r="T296">
        <v>13696846</v>
      </c>
      <c r="U296">
        <v>98140892</v>
      </c>
      <c r="V296">
        <v>258003519</v>
      </c>
      <c r="W296">
        <f t="shared" si="91"/>
        <v>1.2921753244959096E-10</v>
      </c>
      <c r="X296">
        <f t="shared" si="93"/>
        <v>0.17494199702599</v>
      </c>
    </row>
    <row r="297" spans="1:24">
      <c r="A297" s="33">
        <v>45400</v>
      </c>
      <c r="B297">
        <v>39.270000000000003</v>
      </c>
      <c r="C297" s="29">
        <f t="shared" si="86"/>
        <v>5.0955414012746818E-4</v>
      </c>
      <c r="D297">
        <f t="shared" si="92"/>
        <v>2.7465550941985366E-2</v>
      </c>
      <c r="E297">
        <v>40.5</v>
      </c>
      <c r="F297">
        <v>39.1</v>
      </c>
      <c r="G297">
        <f t="shared" si="87"/>
        <v>3.517587939698489E-2</v>
      </c>
      <c r="H297">
        <v>39.44</v>
      </c>
      <c r="I297">
        <v>39.35</v>
      </c>
      <c r="J297">
        <f t="shared" si="88"/>
        <v>2.2845538773955151E-3</v>
      </c>
      <c r="K297">
        <v>4947819</v>
      </c>
      <c r="L297">
        <v>1517696526</v>
      </c>
      <c r="M297">
        <f t="shared" si="89"/>
        <v>194300852.13000003</v>
      </c>
      <c r="N297">
        <v>379424131</v>
      </c>
      <c r="O297">
        <f t="shared" si="90"/>
        <v>1.3040338227723318E-2</v>
      </c>
      <c r="P297">
        <v>70290.12</v>
      </c>
      <c r="Q297" s="8">
        <v>0.21640000000000001</v>
      </c>
      <c r="R297">
        <v>1474794637</v>
      </c>
      <c r="S297">
        <v>1383775716</v>
      </c>
      <c r="T297">
        <v>13696846</v>
      </c>
      <c r="U297">
        <v>98140892</v>
      </c>
      <c r="V297">
        <v>258003519</v>
      </c>
      <c r="W297">
        <f t="shared" si="91"/>
        <v>2.6225007998757668E-12</v>
      </c>
      <c r="X297">
        <f t="shared" si="93"/>
        <v>0.17494199702599</v>
      </c>
    </row>
    <row r="298" spans="1:24">
      <c r="A298" s="33">
        <v>45399</v>
      </c>
      <c r="B298">
        <v>39.25</v>
      </c>
      <c r="C298" s="29">
        <f t="shared" si="86"/>
        <v>3.5073839662447211E-2</v>
      </c>
      <c r="D298">
        <f t="shared" si="92"/>
        <v>2.7465550941985366E-2</v>
      </c>
      <c r="E298">
        <v>40.74</v>
      </c>
      <c r="F298">
        <v>37.5</v>
      </c>
      <c r="G298">
        <f t="shared" si="87"/>
        <v>8.2822085889570587E-2</v>
      </c>
      <c r="H298">
        <v>39.549999999999997</v>
      </c>
      <c r="I298">
        <v>39.5</v>
      </c>
      <c r="J298">
        <f t="shared" si="88"/>
        <v>1.2650221378873411E-3</v>
      </c>
      <c r="K298">
        <v>12245648</v>
      </c>
      <c r="L298">
        <v>1517696526</v>
      </c>
      <c r="M298">
        <f t="shared" si="89"/>
        <v>480641684</v>
      </c>
      <c r="N298">
        <v>379424131</v>
      </c>
      <c r="O298">
        <f t="shared" si="90"/>
        <v>3.2274299390831311E-2</v>
      </c>
      <c r="P298">
        <v>70333.320000000007</v>
      </c>
      <c r="Q298" s="8">
        <v>0.21640000000000001</v>
      </c>
      <c r="R298">
        <v>1474794637</v>
      </c>
      <c r="S298">
        <v>1383775716</v>
      </c>
      <c r="T298">
        <v>13696846</v>
      </c>
      <c r="U298">
        <v>98140892</v>
      </c>
      <c r="V298">
        <v>258003519</v>
      </c>
      <c r="W298">
        <f t="shared" si="91"/>
        <v>7.2972946021983413E-11</v>
      </c>
      <c r="X298">
        <f t="shared" si="93"/>
        <v>0.17494199702599</v>
      </c>
    </row>
    <row r="299" spans="1:24">
      <c r="A299" s="33">
        <v>45398</v>
      </c>
      <c r="B299">
        <v>37.92</v>
      </c>
      <c r="C299" s="29">
        <f t="shared" si="86"/>
        <v>-7.3298429319372024E-3</v>
      </c>
      <c r="D299">
        <f t="shared" si="92"/>
        <v>2.7465550941985366E-2</v>
      </c>
      <c r="E299">
        <v>39.11</v>
      </c>
      <c r="F299">
        <v>37.6</v>
      </c>
      <c r="G299">
        <f t="shared" si="87"/>
        <v>3.9369052274801142E-2</v>
      </c>
      <c r="H299">
        <v>37.89</v>
      </c>
      <c r="I299">
        <v>37.799999999999997</v>
      </c>
      <c r="J299">
        <f t="shared" si="88"/>
        <v>2.3781212841855835E-3</v>
      </c>
      <c r="K299">
        <v>5993771</v>
      </c>
      <c r="L299">
        <v>1517696526</v>
      </c>
      <c r="M299">
        <f t="shared" si="89"/>
        <v>227283796.32000002</v>
      </c>
      <c r="N299">
        <v>379424131</v>
      </c>
      <c r="O299">
        <f t="shared" si="90"/>
        <v>1.5797021091418142E-2</v>
      </c>
      <c r="P299">
        <v>70483.66</v>
      </c>
      <c r="Q299" s="8">
        <v>0.216</v>
      </c>
      <c r="R299">
        <v>1474794637</v>
      </c>
      <c r="S299">
        <v>1383775716</v>
      </c>
      <c r="T299">
        <v>13696846</v>
      </c>
      <c r="U299">
        <v>98140892</v>
      </c>
      <c r="V299">
        <v>258003519</v>
      </c>
      <c r="W299">
        <f t="shared" si="91"/>
        <v>3.2249738215465592E-11</v>
      </c>
      <c r="X299">
        <f t="shared" si="93"/>
        <v>0.17494199702599</v>
      </c>
    </row>
    <row r="300" spans="1:24">
      <c r="A300" s="33">
        <v>45397</v>
      </c>
      <c r="B300">
        <v>38.200000000000003</v>
      </c>
      <c r="C300" s="29">
        <f t="shared" si="86"/>
        <v>3.1039136302294351E-2</v>
      </c>
      <c r="D300">
        <f t="shared" si="92"/>
        <v>2.7465550941985366E-2</v>
      </c>
      <c r="E300">
        <v>38.700000000000003</v>
      </c>
      <c r="F300">
        <v>36.979999999999997</v>
      </c>
      <c r="G300">
        <f t="shared" si="87"/>
        <v>4.5454545454545608E-2</v>
      </c>
      <c r="H300">
        <v>38.200000000000003</v>
      </c>
      <c r="I300">
        <v>38.159999999999997</v>
      </c>
      <c r="J300">
        <f t="shared" si="88"/>
        <v>1.0476689366161931E-3</v>
      </c>
      <c r="K300">
        <v>4615062</v>
      </c>
      <c r="L300">
        <v>1517696526</v>
      </c>
      <c r="M300">
        <f t="shared" si="89"/>
        <v>176295368.40000001</v>
      </c>
      <c r="N300">
        <v>379424131</v>
      </c>
      <c r="O300">
        <f t="shared" si="90"/>
        <v>1.2163332858763271E-2</v>
      </c>
      <c r="P300">
        <v>70544.58</v>
      </c>
      <c r="Q300" s="8">
        <v>0.216</v>
      </c>
      <c r="R300">
        <v>1474794637</v>
      </c>
      <c r="S300">
        <v>1383775716</v>
      </c>
      <c r="T300">
        <v>13696846</v>
      </c>
      <c r="U300">
        <v>98140892</v>
      </c>
      <c r="V300">
        <v>258003519</v>
      </c>
      <c r="W300">
        <f t="shared" si="91"/>
        <v>1.7606325443484736E-10</v>
      </c>
      <c r="X300">
        <f t="shared" si="93"/>
        <v>0.17494199702599</v>
      </c>
    </row>
    <row r="301" spans="1:24">
      <c r="A301" s="33">
        <v>45391</v>
      </c>
      <c r="B301">
        <v>37.049999999999997</v>
      </c>
      <c r="C301" s="29">
        <f t="shared" si="86"/>
        <v>-5.3951982735373958E-4</v>
      </c>
      <c r="D301">
        <f t="shared" si="92"/>
        <v>2.7465550941985366E-2</v>
      </c>
      <c r="E301">
        <v>38</v>
      </c>
      <c r="F301">
        <v>36.68</v>
      </c>
      <c r="G301">
        <f t="shared" si="87"/>
        <v>3.5350830208891272E-2</v>
      </c>
      <c r="H301">
        <v>36.96</v>
      </c>
      <c r="I301">
        <v>36.950000000000003</v>
      </c>
      <c r="J301">
        <f t="shared" si="88"/>
        <v>2.7059937762137764E-4</v>
      </c>
      <c r="K301">
        <v>3704869</v>
      </c>
      <c r="L301">
        <v>1517696526</v>
      </c>
      <c r="M301">
        <f t="shared" si="89"/>
        <v>137265396.44999999</v>
      </c>
      <c r="N301">
        <v>379424131</v>
      </c>
      <c r="O301">
        <f t="shared" si="90"/>
        <v>9.7644527516885845E-3</v>
      </c>
      <c r="P301">
        <v>70314.720000000001</v>
      </c>
      <c r="Q301" s="8">
        <v>0.216</v>
      </c>
      <c r="R301">
        <v>1474794637</v>
      </c>
      <c r="S301">
        <v>1383775716</v>
      </c>
      <c r="T301">
        <v>13696846</v>
      </c>
      <c r="U301">
        <v>98140892</v>
      </c>
      <c r="V301">
        <v>258003519</v>
      </c>
      <c r="W301">
        <f t="shared" si="91"/>
        <v>3.9304867891469205E-12</v>
      </c>
      <c r="X301">
        <f t="shared" si="93"/>
        <v>0.17494199702599</v>
      </c>
    </row>
    <row r="302" spans="1:24">
      <c r="A302" s="33">
        <v>45390</v>
      </c>
      <c r="B302">
        <v>37.07</v>
      </c>
      <c r="C302" s="29">
        <f t="shared" si="86"/>
        <v>9.5315904139433947E-3</v>
      </c>
      <c r="D302">
        <f t="shared" si="92"/>
        <v>2.7465550941985366E-2</v>
      </c>
      <c r="E302">
        <v>37.5</v>
      </c>
      <c r="F302">
        <v>35.65</v>
      </c>
      <c r="G302">
        <f t="shared" si="87"/>
        <v>5.0580997949419039E-2</v>
      </c>
      <c r="H302">
        <v>37.39</v>
      </c>
      <c r="I302">
        <v>37.25</v>
      </c>
      <c r="J302">
        <f t="shared" si="88"/>
        <v>3.7513397642015157E-3</v>
      </c>
      <c r="K302">
        <v>1454506</v>
      </c>
      <c r="L302">
        <v>1517696526</v>
      </c>
      <c r="M302">
        <f t="shared" si="89"/>
        <v>53918537.420000002</v>
      </c>
      <c r="N302">
        <v>379424131</v>
      </c>
      <c r="O302">
        <f t="shared" si="90"/>
        <v>3.8334567602923493E-3</v>
      </c>
      <c r="P302">
        <v>69619.990000000005</v>
      </c>
      <c r="Q302" s="8">
        <v>0.216</v>
      </c>
      <c r="R302">
        <v>1474794637</v>
      </c>
      <c r="S302">
        <v>1383775716</v>
      </c>
      <c r="T302">
        <v>13696846</v>
      </c>
      <c r="U302">
        <v>98140892</v>
      </c>
      <c r="V302">
        <v>258003519</v>
      </c>
      <c r="W302">
        <f t="shared" si="91"/>
        <v>1.7677761434248107E-10</v>
      </c>
      <c r="X302">
        <f t="shared" si="93"/>
        <v>0.17494199702599</v>
      </c>
    </row>
    <row r="303" spans="1:24">
      <c r="A303" s="33">
        <v>45386</v>
      </c>
      <c r="B303">
        <v>36.72</v>
      </c>
      <c r="C303" s="29">
        <f t="shared" si="86"/>
        <v>-8.9068825910930717E-3</v>
      </c>
      <c r="D303">
        <f t="shared" si="92"/>
        <v>2.7465550941985366E-2</v>
      </c>
      <c r="E303">
        <v>38.01</v>
      </c>
      <c r="F303">
        <v>36.200000000000003</v>
      </c>
      <c r="G303">
        <f t="shared" si="87"/>
        <v>4.8780487804877912E-2</v>
      </c>
      <c r="H303">
        <v>36.450000000000003</v>
      </c>
      <c r="I303">
        <v>36.200000000000003</v>
      </c>
      <c r="J303">
        <f t="shared" si="88"/>
        <v>6.8823124569855464E-3</v>
      </c>
      <c r="K303">
        <v>2751007</v>
      </c>
      <c r="L303">
        <v>1517696526</v>
      </c>
      <c r="M303">
        <f t="shared" si="89"/>
        <v>101016977.03999999</v>
      </c>
      <c r="N303">
        <v>379424131</v>
      </c>
      <c r="O303">
        <f t="shared" si="90"/>
        <v>7.2504798067258404E-3</v>
      </c>
      <c r="P303">
        <v>68416.78</v>
      </c>
      <c r="Q303" s="8">
        <v>0.216</v>
      </c>
      <c r="R303">
        <v>1474794637</v>
      </c>
      <c r="S303">
        <v>1383775716</v>
      </c>
      <c r="T303">
        <v>13696846</v>
      </c>
      <c r="U303">
        <v>98140892</v>
      </c>
      <c r="V303">
        <v>258003519</v>
      </c>
      <c r="W303">
        <f t="shared" si="91"/>
        <v>8.8172135536843348E-11</v>
      </c>
      <c r="X303">
        <f t="shared" si="93"/>
        <v>0.17494199702599</v>
      </c>
    </row>
    <row r="304" spans="1:24">
      <c r="A304" s="33">
        <v>45385</v>
      </c>
      <c r="B304">
        <v>37.049999999999997</v>
      </c>
      <c r="C304" s="29">
        <f t="shared" si="86"/>
        <v>-2.9601722282023529E-3</v>
      </c>
      <c r="D304">
        <f t="shared" si="92"/>
        <v>2.7465550941985366E-2</v>
      </c>
      <c r="E304">
        <v>38.79</v>
      </c>
      <c r="F304">
        <v>36.6</v>
      </c>
      <c r="G304">
        <f t="shared" si="87"/>
        <v>5.8097890966971689E-2</v>
      </c>
      <c r="H304">
        <v>37.1</v>
      </c>
      <c r="I304">
        <v>37.049999999999997</v>
      </c>
      <c r="J304">
        <f t="shared" si="88"/>
        <v>1.3486176668915512E-3</v>
      </c>
      <c r="K304">
        <v>1421319</v>
      </c>
      <c r="L304">
        <v>1517696526</v>
      </c>
      <c r="M304">
        <f t="shared" si="89"/>
        <v>52659868.949999996</v>
      </c>
      <c r="N304">
        <v>379424131</v>
      </c>
      <c r="O304">
        <f t="shared" si="90"/>
        <v>3.7459899987225642E-3</v>
      </c>
      <c r="P304">
        <v>67756.039999999994</v>
      </c>
      <c r="Q304" s="8">
        <v>0.216</v>
      </c>
      <c r="R304">
        <v>1474794637</v>
      </c>
      <c r="S304">
        <v>1383775716</v>
      </c>
      <c r="T304">
        <v>13696846</v>
      </c>
      <c r="U304">
        <v>98140892</v>
      </c>
      <c r="V304">
        <v>258003519</v>
      </c>
      <c r="W304">
        <f t="shared" si="91"/>
        <v>5.6213057252630193E-11</v>
      </c>
      <c r="X304">
        <f t="shared" si="93"/>
        <v>0.17494199702599</v>
      </c>
    </row>
    <row r="305" spans="1:24">
      <c r="A305" s="33">
        <v>45384</v>
      </c>
      <c r="B305">
        <v>37.159999999999997</v>
      </c>
      <c r="C305" s="29">
        <f t="shared" si="86"/>
        <v>4.587672389529962E-2</v>
      </c>
      <c r="D305">
        <f t="shared" si="92"/>
        <v>2.7465550941985366E-2</v>
      </c>
      <c r="E305">
        <v>38.15</v>
      </c>
      <c r="F305">
        <v>35.1</v>
      </c>
      <c r="G305">
        <f t="shared" si="87"/>
        <v>8.3276450511945321E-2</v>
      </c>
      <c r="H305">
        <v>37.64</v>
      </c>
      <c r="I305">
        <v>37.56</v>
      </c>
      <c r="J305">
        <f t="shared" si="88"/>
        <v>2.1276595744680396E-3</v>
      </c>
      <c r="K305">
        <v>2311525</v>
      </c>
      <c r="L305">
        <v>1517696526</v>
      </c>
      <c r="M305">
        <f t="shared" si="89"/>
        <v>85896268.999999985</v>
      </c>
      <c r="N305">
        <v>379424131</v>
      </c>
      <c r="O305">
        <f t="shared" si="90"/>
        <v>6.0921929079940356E-3</v>
      </c>
      <c r="P305">
        <v>66886.259999999995</v>
      </c>
      <c r="Q305" s="8">
        <v>0.216</v>
      </c>
      <c r="R305">
        <v>1474794637</v>
      </c>
      <c r="S305">
        <v>1383775716</v>
      </c>
      <c r="T305">
        <v>13696846</v>
      </c>
      <c r="U305">
        <v>98140892</v>
      </c>
      <c r="V305">
        <v>258003519</v>
      </c>
      <c r="W305">
        <f t="shared" si="91"/>
        <v>5.3409448896202493E-10</v>
      </c>
      <c r="X305">
        <f t="shared" si="93"/>
        <v>0.17494199702599</v>
      </c>
    </row>
    <row r="306" spans="1:24">
      <c r="A306" s="33">
        <v>45383</v>
      </c>
      <c r="B306">
        <v>35.53</v>
      </c>
      <c r="C306" s="29">
        <f t="shared" si="86"/>
        <v>4.3465491923641825E-2</v>
      </c>
      <c r="D306">
        <f t="shared" si="92"/>
        <v>2.7465550941985366E-2</v>
      </c>
      <c r="E306">
        <v>35.979999999999997</v>
      </c>
      <c r="F306">
        <v>34</v>
      </c>
      <c r="G306">
        <f t="shared" si="87"/>
        <v>5.6587596456130242E-2</v>
      </c>
      <c r="H306">
        <v>35.69</v>
      </c>
      <c r="I306">
        <v>35.6</v>
      </c>
      <c r="J306">
        <f t="shared" si="88"/>
        <v>2.5248983027071487E-3</v>
      </c>
      <c r="K306">
        <v>3214407</v>
      </c>
      <c r="L306">
        <v>1517696526</v>
      </c>
      <c r="M306">
        <f t="shared" si="89"/>
        <v>114207880.71000001</v>
      </c>
      <c r="N306">
        <v>379424131</v>
      </c>
      <c r="O306">
        <f t="shared" si="90"/>
        <v>8.4718043407734662E-3</v>
      </c>
      <c r="P306">
        <v>66796.320000000007</v>
      </c>
      <c r="Q306" s="8">
        <v>0.216</v>
      </c>
      <c r="R306">
        <v>1474794637</v>
      </c>
      <c r="S306">
        <v>1383775716</v>
      </c>
      <c r="T306">
        <v>13696846</v>
      </c>
      <c r="U306">
        <v>98140892</v>
      </c>
      <c r="V306">
        <v>258003519</v>
      </c>
      <c r="W306">
        <f t="shared" si="91"/>
        <v>3.8058224750716346E-10</v>
      </c>
      <c r="X306">
        <f t="shared" si="93"/>
        <v>0.17494199702599</v>
      </c>
    </row>
    <row r="307" spans="1:24">
      <c r="A307" s="33">
        <v>45380</v>
      </c>
      <c r="B307">
        <v>34.049999999999997</v>
      </c>
      <c r="C307" s="29">
        <f t="shared" si="86"/>
        <v>1.7652250661957978E-3</v>
      </c>
      <c r="D307">
        <f t="shared" si="92"/>
        <v>2.7465550941985366E-2</v>
      </c>
      <c r="E307">
        <v>34.4</v>
      </c>
      <c r="F307">
        <v>33.049999999999997</v>
      </c>
      <c r="G307">
        <f t="shared" si="87"/>
        <v>4.0029651593773218E-2</v>
      </c>
      <c r="H307">
        <v>34.15</v>
      </c>
      <c r="I307">
        <v>34.049999999999997</v>
      </c>
      <c r="J307">
        <f t="shared" si="88"/>
        <v>2.9325513196481359E-3</v>
      </c>
      <c r="K307">
        <v>1466819</v>
      </c>
      <c r="L307">
        <v>1517696526</v>
      </c>
      <c r="M307">
        <f t="shared" si="89"/>
        <v>49945186.949999996</v>
      </c>
      <c r="N307">
        <v>379424131</v>
      </c>
      <c r="O307">
        <f t="shared" si="90"/>
        <v>3.8659085707967267E-3</v>
      </c>
      <c r="P307">
        <v>67005.11</v>
      </c>
      <c r="Q307" s="8">
        <v>0.216</v>
      </c>
      <c r="R307">
        <v>1474794637</v>
      </c>
      <c r="S307">
        <v>1383775716</v>
      </c>
      <c r="T307">
        <v>13696846</v>
      </c>
      <c r="U307">
        <v>98140892</v>
      </c>
      <c r="V307">
        <v>258003519</v>
      </c>
      <c r="W307">
        <f t="shared" si="91"/>
        <v>3.5343246746938003E-11</v>
      </c>
      <c r="X307">
        <f t="shared" si="93"/>
        <v>0.17494199702599</v>
      </c>
    </row>
    <row r="308" spans="1:24">
      <c r="A308" s="33">
        <v>45379</v>
      </c>
      <c r="B308">
        <v>33.99</v>
      </c>
      <c r="C308" s="29">
        <f t="shared" si="86"/>
        <v>2.6268115942029126E-2</v>
      </c>
      <c r="D308">
        <f t="shared" si="92"/>
        <v>2.7465550941985366E-2</v>
      </c>
      <c r="E308">
        <v>34.4</v>
      </c>
      <c r="F308">
        <v>32.65</v>
      </c>
      <c r="G308">
        <f t="shared" si="87"/>
        <v>5.219985085756898E-2</v>
      </c>
      <c r="H308">
        <v>34</v>
      </c>
      <c r="I308">
        <v>33.97</v>
      </c>
      <c r="J308">
        <f t="shared" si="88"/>
        <v>8.8274238634695123E-4</v>
      </c>
      <c r="K308">
        <v>4784189</v>
      </c>
      <c r="L308">
        <v>1517696526</v>
      </c>
      <c r="M308">
        <f t="shared" si="89"/>
        <v>162614584.11000001</v>
      </c>
      <c r="N308">
        <v>379424131</v>
      </c>
      <c r="O308">
        <f t="shared" si="90"/>
        <v>1.2609079415668478E-2</v>
      </c>
      <c r="P308">
        <v>67142.12</v>
      </c>
      <c r="Q308" s="8">
        <v>0.216</v>
      </c>
      <c r="R308">
        <v>1474794637</v>
      </c>
      <c r="S308">
        <v>1383775716</v>
      </c>
      <c r="T308">
        <v>13696846</v>
      </c>
      <c r="U308">
        <v>98140892</v>
      </c>
      <c r="V308">
        <v>258003519</v>
      </c>
      <c r="W308">
        <f t="shared" si="91"/>
        <v>1.6153603986872518E-10</v>
      </c>
      <c r="X308">
        <f t="shared" si="93"/>
        <v>0.17494199702599</v>
      </c>
    </row>
    <row r="309" spans="1:24">
      <c r="A309" s="33">
        <v>45378</v>
      </c>
      <c r="B309">
        <v>33.119999999999997</v>
      </c>
      <c r="C309" s="29">
        <f t="shared" si="86"/>
        <v>7.2191647782453766E-2</v>
      </c>
      <c r="D309">
        <f t="shared" si="92"/>
        <v>2.7465550941985366E-2</v>
      </c>
      <c r="E309">
        <v>33.21</v>
      </c>
      <c r="F309">
        <v>30.65</v>
      </c>
      <c r="G309">
        <f t="shared" si="87"/>
        <v>8.017538365173825E-2</v>
      </c>
      <c r="H309">
        <v>33.21</v>
      </c>
      <c r="I309">
        <v>33.01</v>
      </c>
      <c r="J309">
        <f t="shared" si="88"/>
        <v>6.0404711567503128E-3</v>
      </c>
      <c r="K309">
        <v>6218561</v>
      </c>
      <c r="L309">
        <v>1517696526</v>
      </c>
      <c r="M309">
        <f t="shared" si="89"/>
        <v>205958740.31999999</v>
      </c>
      <c r="N309">
        <v>379424131</v>
      </c>
      <c r="O309">
        <f t="shared" si="90"/>
        <v>1.6389471548924756E-2</v>
      </c>
      <c r="P309">
        <v>66547.789999999994</v>
      </c>
      <c r="Q309" s="8">
        <v>0.216</v>
      </c>
      <c r="R309">
        <v>1474794637</v>
      </c>
      <c r="S309">
        <v>1383775716</v>
      </c>
      <c r="T309">
        <v>13696846</v>
      </c>
      <c r="U309">
        <v>98140892</v>
      </c>
      <c r="V309">
        <v>258003519</v>
      </c>
      <c r="W309">
        <f t="shared" si="91"/>
        <v>3.5051509671446299E-10</v>
      </c>
      <c r="X309">
        <f t="shared" si="93"/>
        <v>0.17494199702599</v>
      </c>
    </row>
    <row r="310" spans="1:24">
      <c r="A310" s="33">
        <v>45377</v>
      </c>
      <c r="B310">
        <v>30.89</v>
      </c>
      <c r="C310" s="29">
        <f t="shared" si="86"/>
        <v>-3.5483870967741751E-3</v>
      </c>
      <c r="D310">
        <f t="shared" si="92"/>
        <v>2.7465550941985366E-2</v>
      </c>
      <c r="E310">
        <v>31.19</v>
      </c>
      <c r="F310">
        <v>30.71</v>
      </c>
      <c r="G310">
        <f t="shared" si="87"/>
        <v>1.5508885298869157E-2</v>
      </c>
      <c r="H310">
        <v>30.8</v>
      </c>
      <c r="I310">
        <v>30.75</v>
      </c>
      <c r="J310">
        <f t="shared" si="88"/>
        <v>1.6246953696182197E-3</v>
      </c>
      <c r="K310">
        <v>883590</v>
      </c>
      <c r="L310">
        <v>1517696526</v>
      </c>
      <c r="M310">
        <f t="shared" si="89"/>
        <v>27294095.100000001</v>
      </c>
      <c r="N310">
        <v>379424131</v>
      </c>
      <c r="O310">
        <f t="shared" si="90"/>
        <v>2.3287659582199847E-3</v>
      </c>
      <c r="P310">
        <v>65906.28</v>
      </c>
      <c r="Q310" s="8">
        <v>0.216</v>
      </c>
      <c r="R310">
        <v>1474794637</v>
      </c>
      <c r="S310">
        <v>1383775716</v>
      </c>
      <c r="T310">
        <v>13696846</v>
      </c>
      <c r="U310">
        <v>98140892</v>
      </c>
      <c r="V310">
        <v>258003519</v>
      </c>
      <c r="W310">
        <f t="shared" si="91"/>
        <v>1.3000566913003008E-10</v>
      </c>
      <c r="X310">
        <f t="shared" si="93"/>
        <v>0.17494199702599</v>
      </c>
    </row>
    <row r="311" spans="1:24">
      <c r="A311" s="33">
        <v>45376</v>
      </c>
      <c r="B311">
        <v>31</v>
      </c>
      <c r="C311" s="29">
        <f t="shared" si="86"/>
        <v>0</v>
      </c>
      <c r="D311">
        <f t="shared" si="92"/>
        <v>2.7465550941985366E-2</v>
      </c>
      <c r="E311">
        <v>31.35</v>
      </c>
      <c r="F311">
        <v>30.5</v>
      </c>
      <c r="G311">
        <f t="shared" si="87"/>
        <v>2.7485852869846446E-2</v>
      </c>
      <c r="H311">
        <v>30.99</v>
      </c>
      <c r="I311">
        <v>30.9</v>
      </c>
      <c r="J311">
        <f t="shared" si="88"/>
        <v>2.9083858458555456E-3</v>
      </c>
      <c r="K311">
        <v>473147</v>
      </c>
      <c r="L311">
        <v>1517696526</v>
      </c>
      <c r="M311">
        <f t="shared" si="89"/>
        <v>14667557</v>
      </c>
      <c r="N311">
        <v>379424131</v>
      </c>
      <c r="O311">
        <f t="shared" si="90"/>
        <v>1.247013464201622E-3</v>
      </c>
      <c r="P311">
        <v>65525.65</v>
      </c>
      <c r="Q311" s="8">
        <v>0.216</v>
      </c>
      <c r="R311">
        <v>1474794637</v>
      </c>
      <c r="S311">
        <v>1383775716</v>
      </c>
      <c r="T311">
        <v>13696846</v>
      </c>
      <c r="U311">
        <v>98140892</v>
      </c>
      <c r="V311">
        <v>258003519</v>
      </c>
      <c r="W311">
        <f t="shared" si="91"/>
        <v>0</v>
      </c>
      <c r="X311">
        <f t="shared" si="93"/>
        <v>0.17494199702599</v>
      </c>
    </row>
    <row r="313" spans="1:24" ht="15" thickBot="1"/>
    <row r="314" spans="1:24" ht="16" thickBot="1">
      <c r="A314" s="184" t="s">
        <v>44</v>
      </c>
      <c r="B314" s="185"/>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6"/>
    </row>
    <row r="315" spans="1:24" ht="43.5">
      <c r="A315" s="6" t="s">
        <v>14</v>
      </c>
      <c r="B315" s="5" t="s">
        <v>15</v>
      </c>
      <c r="C315" s="7" t="s">
        <v>16</v>
      </c>
      <c r="D315" s="7" t="s">
        <v>17</v>
      </c>
      <c r="E315" s="6" t="s">
        <v>0</v>
      </c>
      <c r="F315" s="5" t="s">
        <v>13</v>
      </c>
      <c r="G315" s="7" t="s">
        <v>18</v>
      </c>
      <c r="H315" s="6" t="s">
        <v>12</v>
      </c>
      <c r="I315" s="5" t="s">
        <v>1</v>
      </c>
      <c r="J315" s="7" t="s">
        <v>19</v>
      </c>
      <c r="K315" s="6" t="s">
        <v>2</v>
      </c>
      <c r="L315" s="5" t="s">
        <v>3</v>
      </c>
      <c r="M315" s="7" t="s">
        <v>20</v>
      </c>
      <c r="N315" s="5" t="s">
        <v>22</v>
      </c>
      <c r="O315" s="7" t="s">
        <v>21</v>
      </c>
      <c r="P315" s="5" t="s">
        <v>5</v>
      </c>
      <c r="Q315" s="5" t="s">
        <v>6</v>
      </c>
      <c r="R315" s="5" t="s">
        <v>7</v>
      </c>
      <c r="S315" s="5" t="s">
        <v>8</v>
      </c>
      <c r="T315" s="5" t="s">
        <v>9</v>
      </c>
      <c r="U315" s="5" t="s">
        <v>10</v>
      </c>
      <c r="V315" s="5" t="s">
        <v>11</v>
      </c>
      <c r="W315" s="7" t="s">
        <v>73</v>
      </c>
      <c r="X315" s="7" t="s">
        <v>72</v>
      </c>
    </row>
    <row r="316" spans="1:24">
      <c r="A316" s="33">
        <v>45436</v>
      </c>
      <c r="B316">
        <v>26.94</v>
      </c>
      <c r="C316" s="29">
        <f t="shared" ref="C316:C355" si="94">IFERROR((B316-B317)/B317,0)</f>
        <v>5.5991041433371457E-3</v>
      </c>
      <c r="D316">
        <f>_xlfn.STDEV.S($C$316:$C$355)</f>
        <v>7.0649077810255201E-2</v>
      </c>
      <c r="E316">
        <v>27.05</v>
      </c>
      <c r="F316">
        <v>19.010000000000002</v>
      </c>
      <c r="G316">
        <f t="shared" ref="G316:G355" si="95">(E316-F316)/((E316+F316)/2)</f>
        <v>0.34910985670864086</v>
      </c>
      <c r="H316">
        <v>19.05</v>
      </c>
      <c r="I316">
        <v>19.02</v>
      </c>
      <c r="J316">
        <f t="shared" ref="J316:J355" si="96">(H316-I316)/((H316+I316)/2)</f>
        <v>1.5760441292356783E-3</v>
      </c>
      <c r="K316">
        <v>211450</v>
      </c>
      <c r="L316">
        <v>251250000</v>
      </c>
      <c r="M316">
        <f t="shared" ref="M316:M355" si="97">K316*B316</f>
        <v>5696463</v>
      </c>
      <c r="N316">
        <v>125625000</v>
      </c>
      <c r="O316">
        <f t="shared" ref="O316:O355" si="98">K316/N316</f>
        <v>1.68318407960199E-3</v>
      </c>
      <c r="P316">
        <v>75983.039999999994</v>
      </c>
      <c r="Q316" s="8">
        <v>0.2157</v>
      </c>
      <c r="R316">
        <v>5888160000</v>
      </c>
      <c r="S316">
        <f>3914640*1000</f>
        <v>3914640000</v>
      </c>
      <c r="T316">
        <f>418520*1000</f>
        <v>418520000</v>
      </c>
      <c r="U316">
        <f>38990*1000</f>
        <v>38990000</v>
      </c>
      <c r="V316">
        <v>2530410</v>
      </c>
      <c r="W316">
        <f t="shared" ref="W316:W355" si="99">IFERROR(ABS(C316)/M316,0)</f>
        <v>9.8290889334963572E-10</v>
      </c>
      <c r="X316">
        <f>V316/R316</f>
        <v>4.2974545528654115E-4</v>
      </c>
    </row>
    <row r="317" spans="1:24">
      <c r="A317" s="33">
        <v>45435</v>
      </c>
      <c r="B317">
        <v>26.79</v>
      </c>
      <c r="C317" s="29">
        <f t="shared" si="94"/>
        <v>-1.7241379310344914E-2</v>
      </c>
      <c r="D317">
        <f t="shared" ref="D317:D355" si="100">_xlfn.STDEV.S($C$316:$C$355)</f>
        <v>7.0649077810255201E-2</v>
      </c>
      <c r="E317">
        <v>27</v>
      </c>
      <c r="F317">
        <v>19</v>
      </c>
      <c r="G317">
        <f t="shared" si="95"/>
        <v>0.34782608695652173</v>
      </c>
      <c r="H317">
        <v>19.170000000000002</v>
      </c>
      <c r="I317">
        <v>19.149999999999999</v>
      </c>
      <c r="J317">
        <f t="shared" si="96"/>
        <v>1.0438413361170734E-3</v>
      </c>
      <c r="K317">
        <v>571503</v>
      </c>
      <c r="L317">
        <v>251250000</v>
      </c>
      <c r="M317">
        <f t="shared" si="97"/>
        <v>15310565.369999999</v>
      </c>
      <c r="N317">
        <v>125625000</v>
      </c>
      <c r="O317">
        <f t="shared" si="98"/>
        <v>4.5492776119402988E-3</v>
      </c>
      <c r="P317">
        <v>75114.47</v>
      </c>
      <c r="Q317" s="8">
        <v>0.2157</v>
      </c>
      <c r="R317">
        <v>5888160000</v>
      </c>
      <c r="S317">
        <f t="shared" ref="S317:S355" si="101">3914640*1000</f>
        <v>3914640000</v>
      </c>
      <c r="T317">
        <f t="shared" ref="T317:T355" si="102">418520*1000</f>
        <v>418520000</v>
      </c>
      <c r="U317">
        <f t="shared" ref="U317:U355" si="103">38990*1000</f>
        <v>38990000</v>
      </c>
      <c r="V317">
        <v>2530410</v>
      </c>
      <c r="W317">
        <f t="shared" si="99"/>
        <v>1.1261099047412195E-9</v>
      </c>
      <c r="X317">
        <f t="shared" ref="X317:X355" si="104">V317/R317</f>
        <v>4.2974545528654115E-4</v>
      </c>
    </row>
    <row r="318" spans="1:24">
      <c r="A318" s="33">
        <v>45434</v>
      </c>
      <c r="B318">
        <v>27.26</v>
      </c>
      <c r="C318" s="29">
        <f t="shared" si="94"/>
        <v>3.3124769966875176E-3</v>
      </c>
      <c r="D318">
        <f t="shared" si="100"/>
        <v>7.0649077810255201E-2</v>
      </c>
      <c r="E318">
        <v>27.5</v>
      </c>
      <c r="F318">
        <v>18.61</v>
      </c>
      <c r="G318">
        <f t="shared" si="95"/>
        <v>0.38559965300368687</v>
      </c>
      <c r="H318">
        <v>19.46</v>
      </c>
      <c r="I318">
        <v>19.399999999999999</v>
      </c>
      <c r="J318">
        <f t="shared" si="96"/>
        <v>3.088008234688743E-3</v>
      </c>
      <c r="K318">
        <v>1172315</v>
      </c>
      <c r="L318">
        <v>251250000</v>
      </c>
      <c r="M318">
        <f t="shared" si="97"/>
        <v>31957306.900000002</v>
      </c>
      <c r="N318">
        <v>125625000</v>
      </c>
      <c r="O318">
        <f t="shared" si="98"/>
        <v>9.3318606965174123E-3</v>
      </c>
      <c r="P318">
        <v>74956.67</v>
      </c>
      <c r="Q318" s="8">
        <v>0.2157</v>
      </c>
      <c r="R318">
        <v>5888160000</v>
      </c>
      <c r="S318">
        <f t="shared" si="101"/>
        <v>3914640000</v>
      </c>
      <c r="T318">
        <f t="shared" si="102"/>
        <v>418520000</v>
      </c>
      <c r="U318">
        <f t="shared" si="103"/>
        <v>38990000</v>
      </c>
      <c r="V318">
        <v>2530410</v>
      </c>
      <c r="W318">
        <f t="shared" si="99"/>
        <v>1.0365319602971668E-10</v>
      </c>
      <c r="X318">
        <f t="shared" si="104"/>
        <v>4.2974545528654115E-4</v>
      </c>
    </row>
    <row r="319" spans="1:24">
      <c r="A319" s="33">
        <v>45433</v>
      </c>
      <c r="B319">
        <v>27.17</v>
      </c>
      <c r="C319" s="29">
        <f t="shared" si="94"/>
        <v>-7.3556454578887728E-4</v>
      </c>
      <c r="D319">
        <f t="shared" si="100"/>
        <v>7.0649077810255201E-2</v>
      </c>
      <c r="E319">
        <v>27.5</v>
      </c>
      <c r="F319">
        <v>18.45</v>
      </c>
      <c r="G319">
        <f t="shared" si="95"/>
        <v>0.39390642002176279</v>
      </c>
      <c r="H319">
        <v>18.63</v>
      </c>
      <c r="I319">
        <v>18.61</v>
      </c>
      <c r="J319">
        <f t="shared" si="96"/>
        <v>1.0741138560687205E-3</v>
      </c>
      <c r="K319">
        <v>245647</v>
      </c>
      <c r="L319">
        <v>251250000</v>
      </c>
      <c r="M319">
        <f t="shared" si="97"/>
        <v>6674228.9900000002</v>
      </c>
      <c r="N319">
        <v>125625000</v>
      </c>
      <c r="O319">
        <f t="shared" si="98"/>
        <v>1.9553990049751245E-3</v>
      </c>
      <c r="P319">
        <v>75206.77</v>
      </c>
      <c r="Q319" s="8">
        <v>0.2157</v>
      </c>
      <c r="R319">
        <v>5888160000</v>
      </c>
      <c r="S319">
        <f t="shared" si="101"/>
        <v>3914640000</v>
      </c>
      <c r="T319">
        <f t="shared" si="102"/>
        <v>418520000</v>
      </c>
      <c r="U319">
        <f t="shared" si="103"/>
        <v>38990000</v>
      </c>
      <c r="V319">
        <v>2530410</v>
      </c>
      <c r="W319">
        <f t="shared" si="99"/>
        <v>1.1020966569936002E-10</v>
      </c>
      <c r="X319">
        <f t="shared" si="104"/>
        <v>4.2974545528654115E-4</v>
      </c>
    </row>
    <row r="320" spans="1:24">
      <c r="A320" s="33">
        <v>45432</v>
      </c>
      <c r="B320">
        <v>27.19</v>
      </c>
      <c r="C320" s="29">
        <f t="shared" si="94"/>
        <v>-1.4689680499448824E-3</v>
      </c>
      <c r="D320">
        <f t="shared" si="100"/>
        <v>7.0649077810255201E-2</v>
      </c>
      <c r="E320">
        <v>27.49</v>
      </c>
      <c r="F320">
        <v>18.36</v>
      </c>
      <c r="G320">
        <f t="shared" si="95"/>
        <v>0.39825517993456927</v>
      </c>
      <c r="H320">
        <v>18.600000000000001</v>
      </c>
      <c r="I320">
        <v>18.53</v>
      </c>
      <c r="J320">
        <f t="shared" si="96"/>
        <v>3.7705359547535837E-3</v>
      </c>
      <c r="K320">
        <v>265458</v>
      </c>
      <c r="L320">
        <v>251250000</v>
      </c>
      <c r="M320">
        <f t="shared" si="97"/>
        <v>7217803.0200000005</v>
      </c>
      <c r="N320">
        <v>125625000</v>
      </c>
      <c r="O320">
        <f t="shared" si="98"/>
        <v>2.1130985074626868E-3</v>
      </c>
      <c r="P320">
        <v>75084</v>
      </c>
      <c r="Q320" s="8">
        <v>0.2157</v>
      </c>
      <c r="R320">
        <v>5888160000</v>
      </c>
      <c r="S320">
        <f t="shared" si="101"/>
        <v>3914640000</v>
      </c>
      <c r="T320">
        <f t="shared" si="102"/>
        <v>418520000</v>
      </c>
      <c r="U320">
        <f t="shared" si="103"/>
        <v>38990000</v>
      </c>
      <c r="V320">
        <v>2530410</v>
      </c>
      <c r="W320">
        <f t="shared" si="99"/>
        <v>2.0352010797114858E-10</v>
      </c>
      <c r="X320">
        <f t="shared" si="104"/>
        <v>4.2974545528654115E-4</v>
      </c>
    </row>
    <row r="321" spans="1:24">
      <c r="A321" s="33">
        <v>45429</v>
      </c>
      <c r="B321">
        <v>27.23</v>
      </c>
      <c r="C321" s="29">
        <f t="shared" si="94"/>
        <v>0</v>
      </c>
      <c r="D321">
        <f t="shared" si="100"/>
        <v>7.0649077810255201E-2</v>
      </c>
      <c r="E321">
        <v>27.49</v>
      </c>
      <c r="F321">
        <v>18.36</v>
      </c>
      <c r="G321">
        <f t="shared" si="95"/>
        <v>0.39825517993456927</v>
      </c>
      <c r="H321">
        <v>18.5</v>
      </c>
      <c r="I321">
        <v>18.399999999999999</v>
      </c>
      <c r="J321">
        <f t="shared" si="96"/>
        <v>5.4200542005420826E-3</v>
      </c>
      <c r="K321">
        <v>231500</v>
      </c>
      <c r="L321">
        <v>251250000</v>
      </c>
      <c r="M321">
        <f t="shared" si="97"/>
        <v>6303745</v>
      </c>
      <c r="N321">
        <v>125625000</v>
      </c>
      <c r="O321">
        <f t="shared" si="98"/>
        <v>1.8427860696517413E-3</v>
      </c>
      <c r="P321">
        <v>75342.350000000006</v>
      </c>
      <c r="Q321" s="8">
        <v>0.2157</v>
      </c>
      <c r="R321">
        <v>5888160000</v>
      </c>
      <c r="S321">
        <f t="shared" si="101"/>
        <v>3914640000</v>
      </c>
      <c r="T321">
        <f t="shared" si="102"/>
        <v>418520000</v>
      </c>
      <c r="U321">
        <f t="shared" si="103"/>
        <v>38990000</v>
      </c>
      <c r="V321">
        <v>2530410</v>
      </c>
      <c r="W321">
        <f t="shared" si="99"/>
        <v>0</v>
      </c>
      <c r="X321">
        <f t="shared" si="104"/>
        <v>4.2974545528654115E-4</v>
      </c>
    </row>
    <row r="322" spans="1:24">
      <c r="A322" s="33">
        <v>45428</v>
      </c>
      <c r="B322">
        <v>27.23</v>
      </c>
      <c r="C322" s="29">
        <f t="shared" si="94"/>
        <v>0.43165089379600424</v>
      </c>
      <c r="D322">
        <f t="shared" si="100"/>
        <v>7.0649077810255201E-2</v>
      </c>
      <c r="E322">
        <v>27.32</v>
      </c>
      <c r="F322">
        <v>18.399999999999999</v>
      </c>
      <c r="G322">
        <f t="shared" si="95"/>
        <v>0.39020122484689423</v>
      </c>
      <c r="H322">
        <v>18.52</v>
      </c>
      <c r="I322">
        <v>18.47</v>
      </c>
      <c r="J322">
        <f t="shared" si="96"/>
        <v>2.7034333603677056E-3</v>
      </c>
      <c r="K322">
        <v>183500</v>
      </c>
      <c r="L322">
        <v>251250000</v>
      </c>
      <c r="M322">
        <f t="shared" si="97"/>
        <v>4996705</v>
      </c>
      <c r="N322">
        <v>125625000</v>
      </c>
      <c r="O322">
        <f t="shared" si="98"/>
        <v>1.4606965174129352E-3</v>
      </c>
      <c r="P322">
        <v>74930.7</v>
      </c>
      <c r="Q322" s="8">
        <v>0.2157</v>
      </c>
      <c r="R322">
        <v>5888160000</v>
      </c>
      <c r="S322">
        <f t="shared" si="101"/>
        <v>3914640000</v>
      </c>
      <c r="T322">
        <f t="shared" si="102"/>
        <v>418520000</v>
      </c>
      <c r="U322">
        <f t="shared" si="103"/>
        <v>38990000</v>
      </c>
      <c r="V322">
        <v>2530410</v>
      </c>
      <c r="W322">
        <f t="shared" si="99"/>
        <v>8.6387107863282754E-8</v>
      </c>
      <c r="X322">
        <f t="shared" si="104"/>
        <v>4.2974545528654115E-4</v>
      </c>
    </row>
    <row r="323" spans="1:24">
      <c r="A323" s="33">
        <v>45427</v>
      </c>
      <c r="B323">
        <v>19.02</v>
      </c>
      <c r="C323" s="29">
        <f t="shared" si="94"/>
        <v>-8.3420229405630937E-3</v>
      </c>
      <c r="D323">
        <f t="shared" si="100"/>
        <v>7.0649077810255201E-2</v>
      </c>
      <c r="E323">
        <v>19.489999999999998</v>
      </c>
      <c r="F323">
        <v>18.41</v>
      </c>
      <c r="G323">
        <f t="shared" si="95"/>
        <v>5.6992084432717589E-2</v>
      </c>
      <c r="H323">
        <v>18.53</v>
      </c>
      <c r="I323">
        <v>18.47</v>
      </c>
      <c r="J323">
        <f t="shared" si="96"/>
        <v>3.2432432432433662E-3</v>
      </c>
      <c r="K323">
        <v>107000</v>
      </c>
      <c r="L323">
        <v>251250000</v>
      </c>
      <c r="M323">
        <f t="shared" si="97"/>
        <v>2035140</v>
      </c>
      <c r="N323">
        <v>125625000</v>
      </c>
      <c r="O323">
        <f t="shared" si="98"/>
        <v>8.5174129353233834E-4</v>
      </c>
      <c r="P323">
        <v>74663.98</v>
      </c>
      <c r="Q323" s="8">
        <v>0.2157</v>
      </c>
      <c r="R323">
        <v>5888160000</v>
      </c>
      <c r="S323">
        <f t="shared" si="101"/>
        <v>3914640000</v>
      </c>
      <c r="T323">
        <f t="shared" si="102"/>
        <v>418520000</v>
      </c>
      <c r="U323">
        <f t="shared" si="103"/>
        <v>38990000</v>
      </c>
      <c r="V323">
        <v>2530410</v>
      </c>
      <c r="W323">
        <f t="shared" si="99"/>
        <v>4.0989921777190233E-9</v>
      </c>
      <c r="X323">
        <f t="shared" si="104"/>
        <v>4.2974545528654115E-4</v>
      </c>
    </row>
    <row r="324" spans="1:24">
      <c r="A324" s="33">
        <v>45426</v>
      </c>
      <c r="B324">
        <v>19.18</v>
      </c>
      <c r="C324" s="29">
        <f t="shared" si="94"/>
        <v>-1.4388489208633152E-2</v>
      </c>
      <c r="D324">
        <f t="shared" si="100"/>
        <v>7.0649077810255201E-2</v>
      </c>
      <c r="E324">
        <v>19.5</v>
      </c>
      <c r="F324">
        <v>18.41</v>
      </c>
      <c r="G324">
        <f t="shared" si="95"/>
        <v>5.7504616196254285E-2</v>
      </c>
      <c r="H324">
        <v>18.600000000000001</v>
      </c>
      <c r="I324">
        <v>18.52</v>
      </c>
      <c r="J324">
        <f t="shared" si="96"/>
        <v>4.3103448275863057E-3</v>
      </c>
      <c r="K324">
        <v>326500</v>
      </c>
      <c r="L324">
        <v>251250000</v>
      </c>
      <c r="M324">
        <f t="shared" si="97"/>
        <v>6262270</v>
      </c>
      <c r="N324">
        <v>125625000</v>
      </c>
      <c r="O324">
        <f t="shared" si="98"/>
        <v>2.5990049751243782E-3</v>
      </c>
      <c r="P324">
        <v>74531.19</v>
      </c>
      <c r="Q324" s="8">
        <v>0.21590000000000001</v>
      </c>
      <c r="R324">
        <v>5888160000</v>
      </c>
      <c r="S324">
        <f t="shared" si="101"/>
        <v>3914640000</v>
      </c>
      <c r="T324">
        <f t="shared" si="102"/>
        <v>418520000</v>
      </c>
      <c r="U324">
        <f t="shared" si="103"/>
        <v>38990000</v>
      </c>
      <c r="V324">
        <v>2530410</v>
      </c>
      <c r="W324">
        <f t="shared" si="99"/>
        <v>2.2976475317469788E-9</v>
      </c>
      <c r="X324">
        <f t="shared" si="104"/>
        <v>4.2974545528654115E-4</v>
      </c>
    </row>
    <row r="325" spans="1:24">
      <c r="A325" s="33">
        <v>45425</v>
      </c>
      <c r="B325">
        <v>19.46</v>
      </c>
      <c r="C325" s="29">
        <f t="shared" si="94"/>
        <v>4.5674368619022111E-2</v>
      </c>
      <c r="D325">
        <f t="shared" si="100"/>
        <v>7.0649077810255201E-2</v>
      </c>
      <c r="E325">
        <v>19.62</v>
      </c>
      <c r="F325">
        <v>18.3</v>
      </c>
      <c r="G325">
        <f t="shared" si="95"/>
        <v>6.9620253164556972E-2</v>
      </c>
      <c r="H325">
        <v>18.5</v>
      </c>
      <c r="I325">
        <v>18.420000000000002</v>
      </c>
      <c r="J325">
        <f t="shared" si="96"/>
        <v>4.3336944745394528E-3</v>
      </c>
      <c r="K325">
        <v>288500</v>
      </c>
      <c r="L325">
        <v>251250000</v>
      </c>
      <c r="M325">
        <f t="shared" si="97"/>
        <v>5614210</v>
      </c>
      <c r="N325">
        <v>125625000</v>
      </c>
      <c r="O325">
        <f t="shared" si="98"/>
        <v>2.2965174129353232E-3</v>
      </c>
      <c r="P325">
        <v>73799.11</v>
      </c>
      <c r="Q325" s="8">
        <v>0.21590000000000001</v>
      </c>
      <c r="R325">
        <v>5888160000</v>
      </c>
      <c r="S325">
        <f t="shared" si="101"/>
        <v>3914640000</v>
      </c>
      <c r="T325">
        <f t="shared" si="102"/>
        <v>418520000</v>
      </c>
      <c r="U325">
        <f t="shared" si="103"/>
        <v>38990000</v>
      </c>
      <c r="V325">
        <v>2530410</v>
      </c>
      <c r="W325">
        <f t="shared" si="99"/>
        <v>8.1354934387958608E-9</v>
      </c>
      <c r="X325">
        <f t="shared" si="104"/>
        <v>4.2974545528654115E-4</v>
      </c>
    </row>
    <row r="326" spans="1:24">
      <c r="A326" s="33">
        <v>45422</v>
      </c>
      <c r="B326">
        <v>18.61</v>
      </c>
      <c r="C326" s="29">
        <f t="shared" si="94"/>
        <v>3.7756202804746651E-3</v>
      </c>
      <c r="D326">
        <f t="shared" si="100"/>
        <v>7.0649077810255201E-2</v>
      </c>
      <c r="E326">
        <v>18.670000000000002</v>
      </c>
      <c r="F326">
        <v>18.329999999999998</v>
      </c>
      <c r="G326">
        <f t="shared" si="95"/>
        <v>1.8378378378378562E-2</v>
      </c>
      <c r="H326">
        <v>18.46</v>
      </c>
      <c r="I326">
        <v>18.37</v>
      </c>
      <c r="J326">
        <f t="shared" si="96"/>
        <v>4.8873201194678173E-3</v>
      </c>
      <c r="K326">
        <v>473500</v>
      </c>
      <c r="L326">
        <v>251250000</v>
      </c>
      <c r="M326">
        <f t="shared" si="97"/>
        <v>8811835</v>
      </c>
      <c r="N326">
        <v>125625000</v>
      </c>
      <c r="O326">
        <f t="shared" si="98"/>
        <v>3.7691542288557215E-3</v>
      </c>
      <c r="P326">
        <v>73085.5</v>
      </c>
      <c r="Q326" s="8">
        <v>0.21590000000000001</v>
      </c>
      <c r="R326">
        <v>5888160000</v>
      </c>
      <c r="S326">
        <f t="shared" si="101"/>
        <v>3914640000</v>
      </c>
      <c r="T326">
        <f t="shared" si="102"/>
        <v>418520000</v>
      </c>
      <c r="U326">
        <f t="shared" si="103"/>
        <v>38990000</v>
      </c>
      <c r="V326">
        <v>2530410</v>
      </c>
      <c r="W326">
        <f t="shared" si="99"/>
        <v>4.2847151364893525E-10</v>
      </c>
      <c r="X326">
        <f t="shared" si="104"/>
        <v>4.2974545528654115E-4</v>
      </c>
    </row>
    <row r="327" spans="1:24">
      <c r="A327" s="33">
        <v>45421</v>
      </c>
      <c r="B327">
        <v>18.54</v>
      </c>
      <c r="C327" s="29">
        <f t="shared" si="94"/>
        <v>6.5146579804558867E-3</v>
      </c>
      <c r="D327">
        <f t="shared" si="100"/>
        <v>7.0649077810255201E-2</v>
      </c>
      <c r="E327">
        <v>18.649999999999999</v>
      </c>
      <c r="F327">
        <v>18.3</v>
      </c>
      <c r="G327">
        <f t="shared" si="95"/>
        <v>1.894451962110949E-2</v>
      </c>
      <c r="H327">
        <v>18.45</v>
      </c>
      <c r="I327">
        <v>18.41</v>
      </c>
      <c r="J327">
        <f t="shared" si="96"/>
        <v>2.1703743895821566E-3</v>
      </c>
      <c r="K327">
        <v>269500</v>
      </c>
      <c r="L327">
        <v>251250000</v>
      </c>
      <c r="M327">
        <f t="shared" si="97"/>
        <v>4996530</v>
      </c>
      <c r="N327">
        <v>125625000</v>
      </c>
      <c r="O327">
        <f t="shared" si="98"/>
        <v>2.1452736318407959E-3</v>
      </c>
      <c r="P327">
        <v>72658.05</v>
      </c>
      <c r="Q327" s="8">
        <v>0.21590000000000001</v>
      </c>
      <c r="R327">
        <v>5888160000</v>
      </c>
      <c r="S327">
        <f t="shared" si="101"/>
        <v>3914640000</v>
      </c>
      <c r="T327">
        <f t="shared" si="102"/>
        <v>418520000</v>
      </c>
      <c r="U327">
        <f t="shared" si="103"/>
        <v>38990000</v>
      </c>
      <c r="V327">
        <v>2530410</v>
      </c>
      <c r="W327">
        <f t="shared" si="99"/>
        <v>1.3038364585934413E-9</v>
      </c>
      <c r="X327">
        <f t="shared" si="104"/>
        <v>4.2974545528654115E-4</v>
      </c>
    </row>
    <row r="328" spans="1:24">
      <c r="A328" s="33">
        <v>45420</v>
      </c>
      <c r="B328">
        <v>18.420000000000002</v>
      </c>
      <c r="C328" s="29">
        <f t="shared" si="94"/>
        <v>-3.7858301784746747E-3</v>
      </c>
      <c r="D328">
        <f t="shared" si="100"/>
        <v>7.0649077810255201E-2</v>
      </c>
      <c r="E328">
        <v>18.600000000000001</v>
      </c>
      <c r="F328">
        <v>18.239999999999998</v>
      </c>
      <c r="G328">
        <f t="shared" si="95"/>
        <v>1.954397394136824E-2</v>
      </c>
      <c r="H328">
        <v>18.399999999999999</v>
      </c>
      <c r="I328">
        <v>18.260000000000002</v>
      </c>
      <c r="J328">
        <f t="shared" si="96"/>
        <v>7.6377523186032205E-3</v>
      </c>
      <c r="K328">
        <v>549500</v>
      </c>
      <c r="L328">
        <v>251250000</v>
      </c>
      <c r="M328">
        <f t="shared" si="97"/>
        <v>10121790.000000002</v>
      </c>
      <c r="N328">
        <v>125625000</v>
      </c>
      <c r="O328">
        <f t="shared" si="98"/>
        <v>4.3741293532338311E-3</v>
      </c>
      <c r="P328">
        <v>72601.820000000007</v>
      </c>
      <c r="Q328" s="8">
        <v>0.21590000000000001</v>
      </c>
      <c r="R328">
        <v>5888160000</v>
      </c>
      <c r="S328">
        <f t="shared" si="101"/>
        <v>3914640000</v>
      </c>
      <c r="T328">
        <f t="shared" si="102"/>
        <v>418520000</v>
      </c>
      <c r="U328">
        <f t="shared" si="103"/>
        <v>38990000</v>
      </c>
      <c r="V328">
        <v>2530410</v>
      </c>
      <c r="W328">
        <f t="shared" si="99"/>
        <v>3.7402773407417799E-10</v>
      </c>
      <c r="X328">
        <f t="shared" si="104"/>
        <v>4.2974545528654115E-4</v>
      </c>
    </row>
    <row r="329" spans="1:24">
      <c r="A329" s="33">
        <v>45419</v>
      </c>
      <c r="B329">
        <v>18.489999999999998</v>
      </c>
      <c r="C329" s="29">
        <f t="shared" si="94"/>
        <v>-5.4054054054062501E-4</v>
      </c>
      <c r="D329">
        <f t="shared" si="100"/>
        <v>7.0649077810255201E-2</v>
      </c>
      <c r="E329">
        <v>18.55</v>
      </c>
      <c r="F329">
        <v>18.25</v>
      </c>
      <c r="G329">
        <f t="shared" si="95"/>
        <v>1.6304347826086998E-2</v>
      </c>
      <c r="H329">
        <v>18.399999999999999</v>
      </c>
      <c r="I329">
        <v>18.27</v>
      </c>
      <c r="J329">
        <f t="shared" si="96"/>
        <v>7.09026452140709E-3</v>
      </c>
      <c r="K329">
        <v>150500</v>
      </c>
      <c r="L329">
        <v>251250000</v>
      </c>
      <c r="M329">
        <f t="shared" si="97"/>
        <v>2782744.9999999995</v>
      </c>
      <c r="N329">
        <v>125625000</v>
      </c>
      <c r="O329">
        <f t="shared" si="98"/>
        <v>1.1980099502487563E-3</v>
      </c>
      <c r="P329">
        <v>72761.2</v>
      </c>
      <c r="Q329" s="8">
        <v>0.21590000000000001</v>
      </c>
      <c r="R329">
        <v>5888160000</v>
      </c>
      <c r="S329">
        <f t="shared" si="101"/>
        <v>3914640000</v>
      </c>
      <c r="T329">
        <f t="shared" si="102"/>
        <v>418520000</v>
      </c>
      <c r="U329">
        <f t="shared" si="103"/>
        <v>38990000</v>
      </c>
      <c r="V329">
        <v>2530410</v>
      </c>
      <c r="W329">
        <f t="shared" si="99"/>
        <v>1.9424724167705812E-10</v>
      </c>
      <c r="X329">
        <f t="shared" si="104"/>
        <v>4.2974545528654115E-4</v>
      </c>
    </row>
    <row r="330" spans="1:24">
      <c r="A330" s="33">
        <v>45418</v>
      </c>
      <c r="B330">
        <v>18.5</v>
      </c>
      <c r="C330" s="29">
        <f t="shared" si="94"/>
        <v>-2.6954177897574507E-3</v>
      </c>
      <c r="D330">
        <f t="shared" si="100"/>
        <v>7.0649077810255201E-2</v>
      </c>
      <c r="E330">
        <v>18.62</v>
      </c>
      <c r="F330">
        <v>18.149999999999999</v>
      </c>
      <c r="G330">
        <f t="shared" si="95"/>
        <v>2.5564318738101846E-2</v>
      </c>
      <c r="H330">
        <v>18.47</v>
      </c>
      <c r="I330">
        <v>18.350000000000001</v>
      </c>
      <c r="J330">
        <f t="shared" si="96"/>
        <v>6.5181966322649344E-3</v>
      </c>
      <c r="K330">
        <v>260000</v>
      </c>
      <c r="L330">
        <v>251250000</v>
      </c>
      <c r="M330">
        <f t="shared" si="97"/>
        <v>4810000</v>
      </c>
      <c r="N330">
        <v>125625000</v>
      </c>
      <c r="O330">
        <f t="shared" si="98"/>
        <v>2.0696517412935322E-3</v>
      </c>
      <c r="P330">
        <v>72764.240000000005</v>
      </c>
      <c r="Q330" s="8">
        <v>0.21590000000000001</v>
      </c>
      <c r="R330">
        <v>5888160000</v>
      </c>
      <c r="S330">
        <f t="shared" si="101"/>
        <v>3914640000</v>
      </c>
      <c r="T330">
        <f t="shared" si="102"/>
        <v>418520000</v>
      </c>
      <c r="U330">
        <f t="shared" si="103"/>
        <v>38990000</v>
      </c>
      <c r="V330">
        <v>2530410</v>
      </c>
      <c r="W330">
        <f t="shared" si="99"/>
        <v>5.6037791886849284E-10</v>
      </c>
      <c r="X330">
        <f t="shared" si="104"/>
        <v>4.2974545528654115E-4</v>
      </c>
    </row>
    <row r="331" spans="1:24">
      <c r="A331" s="33">
        <v>45415</v>
      </c>
      <c r="B331">
        <v>18.55</v>
      </c>
      <c r="C331" s="29">
        <f t="shared" si="94"/>
        <v>5.4200542005420826E-3</v>
      </c>
      <c r="D331">
        <f t="shared" si="100"/>
        <v>7.0649077810255201E-2</v>
      </c>
      <c r="E331">
        <v>18.64</v>
      </c>
      <c r="F331">
        <v>18.149999999999999</v>
      </c>
      <c r="G331">
        <f t="shared" si="95"/>
        <v>2.6637673280782929E-2</v>
      </c>
      <c r="H331">
        <v>18.23</v>
      </c>
      <c r="I331">
        <v>18.2</v>
      </c>
      <c r="J331">
        <f t="shared" si="96"/>
        <v>1.646994235520238E-3</v>
      </c>
      <c r="K331">
        <v>569000</v>
      </c>
      <c r="L331">
        <v>251250000</v>
      </c>
      <c r="M331">
        <f t="shared" si="97"/>
        <v>10554950</v>
      </c>
      <c r="N331">
        <v>125625000</v>
      </c>
      <c r="O331">
        <f t="shared" si="98"/>
        <v>4.529353233830846E-3</v>
      </c>
      <c r="P331">
        <v>71902.09</v>
      </c>
      <c r="Q331" s="8">
        <v>0.21590000000000001</v>
      </c>
      <c r="R331">
        <v>5888160000</v>
      </c>
      <c r="S331">
        <f t="shared" si="101"/>
        <v>3914640000</v>
      </c>
      <c r="T331">
        <f t="shared" si="102"/>
        <v>418520000</v>
      </c>
      <c r="U331">
        <f t="shared" si="103"/>
        <v>38990000</v>
      </c>
      <c r="V331">
        <v>2530410</v>
      </c>
      <c r="W331">
        <f t="shared" si="99"/>
        <v>5.1350827815783901E-10</v>
      </c>
      <c r="X331">
        <f t="shared" si="104"/>
        <v>4.2974545528654115E-4</v>
      </c>
    </row>
    <row r="332" spans="1:24">
      <c r="A332" s="33">
        <v>45414</v>
      </c>
      <c r="B332">
        <v>18.45</v>
      </c>
      <c r="C332" s="29">
        <f t="shared" si="94"/>
        <v>5.4495912806538345E-3</v>
      </c>
      <c r="D332">
        <f t="shared" si="100"/>
        <v>7.0649077810255201E-2</v>
      </c>
      <c r="E332">
        <v>18.600000000000001</v>
      </c>
      <c r="F332">
        <v>18.02</v>
      </c>
      <c r="G332">
        <f t="shared" si="95"/>
        <v>3.1676679410158483E-2</v>
      </c>
      <c r="H332">
        <v>18.190000000000001</v>
      </c>
      <c r="I332">
        <v>18.16</v>
      </c>
      <c r="J332">
        <f t="shared" si="96"/>
        <v>1.6506189821183569E-3</v>
      </c>
      <c r="K332">
        <v>236500</v>
      </c>
      <c r="L332">
        <v>251250000</v>
      </c>
      <c r="M332">
        <f t="shared" si="97"/>
        <v>4363425</v>
      </c>
      <c r="N332">
        <v>125625000</v>
      </c>
      <c r="O332">
        <f t="shared" si="98"/>
        <v>1.8825870646766169E-3</v>
      </c>
      <c r="P332">
        <v>70657.64</v>
      </c>
      <c r="Q332" s="8">
        <v>0.21590000000000001</v>
      </c>
      <c r="R332">
        <v>5888160000</v>
      </c>
      <c r="S332">
        <f t="shared" si="101"/>
        <v>3914640000</v>
      </c>
      <c r="T332">
        <f t="shared" si="102"/>
        <v>418520000</v>
      </c>
      <c r="U332">
        <f t="shared" si="103"/>
        <v>38990000</v>
      </c>
      <c r="V332">
        <v>2530410</v>
      </c>
      <c r="W332">
        <f t="shared" si="99"/>
        <v>1.2489251632957675E-9</v>
      </c>
      <c r="X332">
        <f t="shared" si="104"/>
        <v>4.2974545528654115E-4</v>
      </c>
    </row>
    <row r="333" spans="1:24">
      <c r="A333" s="33">
        <v>45412</v>
      </c>
      <c r="B333">
        <v>18.350000000000001</v>
      </c>
      <c r="C333" s="29">
        <f t="shared" si="94"/>
        <v>-3.8002171552660303E-3</v>
      </c>
      <c r="D333">
        <f t="shared" si="100"/>
        <v>7.0649077810255201E-2</v>
      </c>
      <c r="E333">
        <v>18.5</v>
      </c>
      <c r="F333">
        <v>18.02</v>
      </c>
      <c r="G333">
        <f t="shared" si="95"/>
        <v>2.6286966046002218E-2</v>
      </c>
      <c r="H333">
        <v>18.2</v>
      </c>
      <c r="I333">
        <v>18.190000000000001</v>
      </c>
      <c r="J333">
        <f t="shared" si="96"/>
        <v>5.4960153888419956E-4</v>
      </c>
      <c r="K333">
        <v>401000</v>
      </c>
      <c r="L333">
        <v>251250000</v>
      </c>
      <c r="M333">
        <f t="shared" si="97"/>
        <v>7358350.0000000009</v>
      </c>
      <c r="N333">
        <v>125625000</v>
      </c>
      <c r="O333">
        <f t="shared" si="98"/>
        <v>3.1920398009950249E-3</v>
      </c>
      <c r="P333">
        <v>71102.55</v>
      </c>
      <c r="Q333" s="8">
        <v>0.21590000000000001</v>
      </c>
      <c r="R333">
        <v>5888160000</v>
      </c>
      <c r="S333">
        <f t="shared" si="101"/>
        <v>3914640000</v>
      </c>
      <c r="T333">
        <f t="shared" si="102"/>
        <v>418520000</v>
      </c>
      <c r="U333">
        <f t="shared" si="103"/>
        <v>38990000</v>
      </c>
      <c r="V333">
        <v>2530410</v>
      </c>
      <c r="W333">
        <f t="shared" si="99"/>
        <v>5.1644963276631718E-10</v>
      </c>
      <c r="X333">
        <f t="shared" si="104"/>
        <v>4.2974545528654115E-4</v>
      </c>
    </row>
    <row r="334" spans="1:24">
      <c r="A334" s="33">
        <v>45411</v>
      </c>
      <c r="B334">
        <v>18.420000000000002</v>
      </c>
      <c r="C334" s="29">
        <f t="shared" si="94"/>
        <v>7.1077091306726388E-3</v>
      </c>
      <c r="D334">
        <f t="shared" si="100"/>
        <v>7.0649077810255201E-2</v>
      </c>
      <c r="E334">
        <v>18.600000000000001</v>
      </c>
      <c r="F334">
        <v>18</v>
      </c>
      <c r="G334">
        <f t="shared" si="95"/>
        <v>3.2786885245901717E-2</v>
      </c>
      <c r="H334">
        <v>18.27</v>
      </c>
      <c r="I334">
        <v>18.18</v>
      </c>
      <c r="J334">
        <f t="shared" si="96"/>
        <v>4.9382716049382637E-3</v>
      </c>
      <c r="K334">
        <v>548000</v>
      </c>
      <c r="L334">
        <v>251250000</v>
      </c>
      <c r="M334">
        <f t="shared" si="97"/>
        <v>10094160.000000002</v>
      </c>
      <c r="N334">
        <v>125625000</v>
      </c>
      <c r="O334">
        <f t="shared" si="98"/>
        <v>4.3621890547263682E-3</v>
      </c>
      <c r="P334">
        <v>71695.03</v>
      </c>
      <c r="Q334" s="8">
        <v>0.21640000000000001</v>
      </c>
      <c r="R334">
        <v>5888160000</v>
      </c>
      <c r="S334">
        <f t="shared" si="101"/>
        <v>3914640000</v>
      </c>
      <c r="T334">
        <f t="shared" si="102"/>
        <v>418520000</v>
      </c>
      <c r="U334">
        <f t="shared" si="103"/>
        <v>38990000</v>
      </c>
      <c r="V334">
        <v>2530410</v>
      </c>
      <c r="W334">
        <f t="shared" si="99"/>
        <v>7.0414072400998571E-10</v>
      </c>
      <c r="X334">
        <f t="shared" si="104"/>
        <v>4.2974545528654115E-4</v>
      </c>
    </row>
    <row r="335" spans="1:24">
      <c r="A335" s="33">
        <v>45408</v>
      </c>
      <c r="B335">
        <v>18.29</v>
      </c>
      <c r="C335" s="29">
        <f t="shared" si="94"/>
        <v>-3.2697547683924943E-3</v>
      </c>
      <c r="D335">
        <f t="shared" si="100"/>
        <v>7.0649077810255201E-2</v>
      </c>
      <c r="E335">
        <v>18.600000000000001</v>
      </c>
      <c r="F335">
        <v>17.600000000000001</v>
      </c>
      <c r="G335">
        <f t="shared" si="95"/>
        <v>5.5248618784530384E-2</v>
      </c>
      <c r="H335">
        <v>18.3</v>
      </c>
      <c r="I335">
        <v>18.21</v>
      </c>
      <c r="J335">
        <f t="shared" si="96"/>
        <v>4.9301561216105088E-3</v>
      </c>
      <c r="K335">
        <v>1015500</v>
      </c>
      <c r="L335">
        <v>251250000</v>
      </c>
      <c r="M335">
        <f t="shared" si="97"/>
        <v>18573495</v>
      </c>
      <c r="N335">
        <v>125625000</v>
      </c>
      <c r="O335">
        <f t="shared" si="98"/>
        <v>8.0835820895522395E-3</v>
      </c>
      <c r="P335">
        <v>72742.75</v>
      </c>
      <c r="Q335" s="8">
        <v>0.21640000000000001</v>
      </c>
      <c r="R335">
        <v>5888160000</v>
      </c>
      <c r="S335">
        <f t="shared" si="101"/>
        <v>3914640000</v>
      </c>
      <c r="T335">
        <f t="shared" si="102"/>
        <v>418520000</v>
      </c>
      <c r="U335">
        <f t="shared" si="103"/>
        <v>38990000</v>
      </c>
      <c r="V335">
        <v>2530410</v>
      </c>
      <c r="W335">
        <f t="shared" si="99"/>
        <v>1.760441300031305E-10</v>
      </c>
      <c r="X335">
        <f t="shared" si="104"/>
        <v>4.2974545528654115E-4</v>
      </c>
    </row>
    <row r="336" spans="1:24">
      <c r="A336" s="33">
        <v>45407</v>
      </c>
      <c r="B336">
        <v>18.350000000000001</v>
      </c>
      <c r="C336" s="29">
        <f t="shared" si="94"/>
        <v>-1.08873162765376E-3</v>
      </c>
      <c r="D336">
        <f t="shared" si="100"/>
        <v>7.0649077810255201E-2</v>
      </c>
      <c r="E336">
        <v>18.440000000000001</v>
      </c>
      <c r="F336">
        <v>18.850000000000001</v>
      </c>
      <c r="G336">
        <f t="shared" si="95"/>
        <v>-2.1989809600429074E-2</v>
      </c>
      <c r="H336">
        <v>18.95</v>
      </c>
      <c r="I336">
        <v>18.86</v>
      </c>
      <c r="J336">
        <f t="shared" si="96"/>
        <v>4.7606453319227636E-3</v>
      </c>
      <c r="K336">
        <v>228500</v>
      </c>
      <c r="L336">
        <v>251250000</v>
      </c>
      <c r="M336">
        <f t="shared" si="97"/>
        <v>4192975.0000000005</v>
      </c>
      <c r="N336">
        <v>125625000</v>
      </c>
      <c r="O336">
        <f t="shared" si="98"/>
        <v>1.818905472636816E-3</v>
      </c>
      <c r="P336">
        <v>71971.399999999994</v>
      </c>
      <c r="Q336" s="8">
        <v>0.21640000000000001</v>
      </c>
      <c r="R336">
        <v>5888160000</v>
      </c>
      <c r="S336">
        <f t="shared" si="101"/>
        <v>3914640000</v>
      </c>
      <c r="T336">
        <f t="shared" si="102"/>
        <v>418520000</v>
      </c>
      <c r="U336">
        <f t="shared" si="103"/>
        <v>38990000</v>
      </c>
      <c r="V336">
        <v>2530410</v>
      </c>
      <c r="W336">
        <f t="shared" si="99"/>
        <v>2.5965612188333102E-10</v>
      </c>
      <c r="X336">
        <f t="shared" si="104"/>
        <v>4.2974545528654115E-4</v>
      </c>
    </row>
    <row r="337" spans="1:24">
      <c r="A337" s="33">
        <v>45406</v>
      </c>
      <c r="B337">
        <v>18.37</v>
      </c>
      <c r="C337" s="29">
        <f t="shared" si="94"/>
        <v>8.7863811092806221E-3</v>
      </c>
      <c r="D337">
        <f t="shared" si="100"/>
        <v>7.0649077810255201E-2</v>
      </c>
      <c r="E337">
        <v>18.489999999999998</v>
      </c>
      <c r="F337">
        <v>18.899999999999999</v>
      </c>
      <c r="G337">
        <f t="shared" si="95"/>
        <v>-2.1930997592939296E-2</v>
      </c>
      <c r="H337">
        <v>18.97</v>
      </c>
      <c r="I337">
        <v>18.95</v>
      </c>
      <c r="J337">
        <f t="shared" si="96"/>
        <v>1.0548523206750828E-3</v>
      </c>
      <c r="K337">
        <v>357000</v>
      </c>
      <c r="L337">
        <v>251250000</v>
      </c>
      <c r="M337">
        <f t="shared" si="97"/>
        <v>6558090</v>
      </c>
      <c r="N337">
        <v>125625000</v>
      </c>
      <c r="O337">
        <f t="shared" si="98"/>
        <v>2.8417910447761192E-3</v>
      </c>
      <c r="P337">
        <v>72051.89</v>
      </c>
      <c r="Q337" s="8">
        <v>0.21640000000000001</v>
      </c>
      <c r="R337">
        <v>5888160000</v>
      </c>
      <c r="S337">
        <f t="shared" si="101"/>
        <v>3914640000</v>
      </c>
      <c r="T337">
        <f t="shared" si="102"/>
        <v>418520000</v>
      </c>
      <c r="U337">
        <f t="shared" si="103"/>
        <v>38990000</v>
      </c>
      <c r="V337">
        <v>2530410</v>
      </c>
      <c r="W337">
        <f t="shared" si="99"/>
        <v>1.3397774518618412E-9</v>
      </c>
      <c r="X337">
        <f t="shared" si="104"/>
        <v>4.2974545528654115E-4</v>
      </c>
    </row>
    <row r="338" spans="1:24">
      <c r="A338" s="33">
        <v>45405</v>
      </c>
      <c r="B338">
        <v>18.21</v>
      </c>
      <c r="C338" s="29">
        <f t="shared" si="94"/>
        <v>2.2014309301045206E-3</v>
      </c>
      <c r="D338">
        <f t="shared" si="100"/>
        <v>7.0649077810255201E-2</v>
      </c>
      <c r="E338">
        <v>18.3</v>
      </c>
      <c r="F338">
        <v>18.87</v>
      </c>
      <c r="G338">
        <f t="shared" si="95"/>
        <v>-3.0669895076674752E-2</v>
      </c>
      <c r="H338">
        <v>18.95</v>
      </c>
      <c r="I338">
        <v>18.920000000000002</v>
      </c>
      <c r="J338">
        <f t="shared" si="96"/>
        <v>1.5843675732768725E-3</v>
      </c>
      <c r="K338">
        <v>385000</v>
      </c>
      <c r="L338">
        <v>251250000</v>
      </c>
      <c r="M338">
        <f t="shared" si="97"/>
        <v>7010850</v>
      </c>
      <c r="N338">
        <v>125625000</v>
      </c>
      <c r="O338">
        <f t="shared" si="98"/>
        <v>3.0646766169154229E-3</v>
      </c>
      <c r="P338">
        <v>71359.41</v>
      </c>
      <c r="Q338" s="8">
        <v>0.21640000000000001</v>
      </c>
      <c r="R338">
        <v>5888160000</v>
      </c>
      <c r="S338">
        <f t="shared" si="101"/>
        <v>3914640000</v>
      </c>
      <c r="T338">
        <f t="shared" si="102"/>
        <v>418520000</v>
      </c>
      <c r="U338">
        <f t="shared" si="103"/>
        <v>38990000</v>
      </c>
      <c r="V338">
        <v>2530410</v>
      </c>
      <c r="W338">
        <f t="shared" si="99"/>
        <v>3.1400342755935736E-10</v>
      </c>
      <c r="X338">
        <f t="shared" si="104"/>
        <v>4.2974545528654115E-4</v>
      </c>
    </row>
    <row r="339" spans="1:24">
      <c r="A339" s="33">
        <v>45404</v>
      </c>
      <c r="B339">
        <v>18.170000000000002</v>
      </c>
      <c r="C339" s="29">
        <f t="shared" si="94"/>
        <v>1.6538037486218929E-3</v>
      </c>
      <c r="D339">
        <f t="shared" si="100"/>
        <v>7.0649077810255201E-2</v>
      </c>
      <c r="E339">
        <v>18.55</v>
      </c>
      <c r="F339">
        <v>18.899999999999999</v>
      </c>
      <c r="G339">
        <f t="shared" si="95"/>
        <v>-1.8691588785046613E-2</v>
      </c>
      <c r="H339">
        <v>19</v>
      </c>
      <c r="I339">
        <v>18.95</v>
      </c>
      <c r="J339">
        <f t="shared" si="96"/>
        <v>2.6350461133070203E-3</v>
      </c>
      <c r="K339">
        <v>348500</v>
      </c>
      <c r="L339">
        <v>251250000</v>
      </c>
      <c r="M339">
        <f t="shared" si="97"/>
        <v>6332245.0000000009</v>
      </c>
      <c r="N339">
        <v>125625000</v>
      </c>
      <c r="O339">
        <f t="shared" si="98"/>
        <v>2.7741293532338308E-3</v>
      </c>
      <c r="P339">
        <v>71433.460000000006</v>
      </c>
      <c r="Q339" s="8">
        <v>0.21640000000000001</v>
      </c>
      <c r="R339">
        <v>5888160000</v>
      </c>
      <c r="S339">
        <f t="shared" si="101"/>
        <v>3914640000</v>
      </c>
      <c r="T339">
        <f t="shared" si="102"/>
        <v>418520000</v>
      </c>
      <c r="U339">
        <f t="shared" si="103"/>
        <v>38990000</v>
      </c>
      <c r="V339">
        <v>2530410</v>
      </c>
      <c r="W339">
        <f t="shared" si="99"/>
        <v>2.6117178798702398E-10</v>
      </c>
      <c r="X339">
        <f t="shared" si="104"/>
        <v>4.2974545528654115E-4</v>
      </c>
    </row>
    <row r="340" spans="1:24">
      <c r="A340" s="33">
        <v>45401</v>
      </c>
      <c r="B340">
        <v>18.14</v>
      </c>
      <c r="C340" s="29">
        <f t="shared" si="94"/>
        <v>-2.7487630566245579E-3</v>
      </c>
      <c r="D340">
        <f t="shared" si="100"/>
        <v>7.0649077810255201E-2</v>
      </c>
      <c r="E340">
        <v>18.2</v>
      </c>
      <c r="F340">
        <v>18.510000000000002</v>
      </c>
      <c r="G340">
        <f t="shared" si="95"/>
        <v>-1.6889131026968252E-2</v>
      </c>
      <c r="H340">
        <v>18.850000000000001</v>
      </c>
      <c r="I340">
        <v>18.829999999999998</v>
      </c>
      <c r="J340">
        <f t="shared" si="96"/>
        <v>1.0615711252655586E-3</v>
      </c>
      <c r="K340">
        <v>898500</v>
      </c>
      <c r="L340">
        <v>251250000</v>
      </c>
      <c r="M340">
        <f t="shared" si="97"/>
        <v>16298790</v>
      </c>
      <c r="N340">
        <v>125625000</v>
      </c>
      <c r="O340">
        <f t="shared" si="98"/>
        <v>7.1522388059701491E-3</v>
      </c>
      <c r="P340">
        <v>70909.899999999994</v>
      </c>
      <c r="Q340" s="8">
        <v>0.21640000000000001</v>
      </c>
      <c r="R340">
        <v>5888160000</v>
      </c>
      <c r="S340">
        <f t="shared" si="101"/>
        <v>3914640000</v>
      </c>
      <c r="T340">
        <f t="shared" si="102"/>
        <v>418520000</v>
      </c>
      <c r="U340">
        <f t="shared" si="103"/>
        <v>38990000</v>
      </c>
      <c r="V340">
        <v>2530410</v>
      </c>
      <c r="W340">
        <f t="shared" si="99"/>
        <v>1.6864828963527708E-10</v>
      </c>
      <c r="X340">
        <f t="shared" si="104"/>
        <v>4.2974545528654115E-4</v>
      </c>
    </row>
    <row r="341" spans="1:24">
      <c r="A341" s="33">
        <v>45400</v>
      </c>
      <c r="B341">
        <v>18.190000000000001</v>
      </c>
      <c r="C341" s="29">
        <f t="shared" si="94"/>
        <v>-1.6465422612512396E-3</v>
      </c>
      <c r="D341">
        <f t="shared" si="100"/>
        <v>7.0649077810255201E-2</v>
      </c>
      <c r="E341">
        <v>18.55</v>
      </c>
      <c r="F341">
        <v>20.56</v>
      </c>
      <c r="G341">
        <f t="shared" si="95"/>
        <v>-0.10278701099463043</v>
      </c>
      <c r="H341">
        <v>20.61</v>
      </c>
      <c r="I341">
        <v>20.6</v>
      </c>
      <c r="J341">
        <f t="shared" si="96"/>
        <v>4.8531909730638247E-4</v>
      </c>
      <c r="K341">
        <v>396500</v>
      </c>
      <c r="L341">
        <v>251250000</v>
      </c>
      <c r="M341">
        <f t="shared" si="97"/>
        <v>7212335.0000000009</v>
      </c>
      <c r="N341">
        <v>125625000</v>
      </c>
      <c r="O341">
        <f t="shared" si="98"/>
        <v>3.1562189054726367E-3</v>
      </c>
      <c r="P341">
        <v>70290.12</v>
      </c>
      <c r="Q341" s="8">
        <v>0.21640000000000001</v>
      </c>
      <c r="R341">
        <v>5888160000</v>
      </c>
      <c r="S341">
        <f t="shared" si="101"/>
        <v>3914640000</v>
      </c>
      <c r="T341">
        <f t="shared" si="102"/>
        <v>418520000</v>
      </c>
      <c r="U341">
        <f t="shared" si="103"/>
        <v>38990000</v>
      </c>
      <c r="V341">
        <v>2530410</v>
      </c>
      <c r="W341">
        <f t="shared" si="99"/>
        <v>2.2829531091543021E-10</v>
      </c>
      <c r="X341">
        <f t="shared" si="104"/>
        <v>4.2974545528654115E-4</v>
      </c>
    </row>
    <row r="342" spans="1:24">
      <c r="A342" s="33">
        <v>45399</v>
      </c>
      <c r="B342">
        <v>18.22</v>
      </c>
      <c r="C342" s="29">
        <f t="shared" si="94"/>
        <v>-3.8522427440633271E-2</v>
      </c>
      <c r="D342">
        <f t="shared" si="100"/>
        <v>7.0649077810255201E-2</v>
      </c>
      <c r="E342">
        <v>19.100000000000001</v>
      </c>
      <c r="F342">
        <v>20.45</v>
      </c>
      <c r="G342">
        <f t="shared" si="95"/>
        <v>-6.8268015170669938E-2</v>
      </c>
      <c r="H342">
        <v>20.62</v>
      </c>
      <c r="I342">
        <v>20.6</v>
      </c>
      <c r="J342">
        <f t="shared" si="96"/>
        <v>9.7040271712758733E-4</v>
      </c>
      <c r="K342">
        <v>331500</v>
      </c>
      <c r="L342">
        <v>251250000</v>
      </c>
      <c r="M342">
        <f t="shared" si="97"/>
        <v>6039930</v>
      </c>
      <c r="N342">
        <v>125625000</v>
      </c>
      <c r="O342">
        <f t="shared" si="98"/>
        <v>2.6388059701492536E-3</v>
      </c>
      <c r="P342">
        <v>70333.320000000007</v>
      </c>
      <c r="Q342" s="8">
        <v>0.21640000000000001</v>
      </c>
      <c r="R342">
        <v>5888160000</v>
      </c>
      <c r="S342">
        <f t="shared" si="101"/>
        <v>3914640000</v>
      </c>
      <c r="T342">
        <f t="shared" si="102"/>
        <v>418520000</v>
      </c>
      <c r="U342">
        <f t="shared" si="103"/>
        <v>38990000</v>
      </c>
      <c r="V342">
        <v>2530410</v>
      </c>
      <c r="W342">
        <f t="shared" si="99"/>
        <v>6.3779592545995183E-9</v>
      </c>
      <c r="X342">
        <f t="shared" si="104"/>
        <v>4.2974545528654115E-4</v>
      </c>
    </row>
    <row r="343" spans="1:24">
      <c r="A343" s="33">
        <v>45398</v>
      </c>
      <c r="B343">
        <v>18.95</v>
      </c>
      <c r="C343" s="29">
        <f t="shared" si="94"/>
        <v>0</v>
      </c>
      <c r="D343">
        <f t="shared" si="100"/>
        <v>7.0649077810255201E-2</v>
      </c>
      <c r="E343">
        <v>19</v>
      </c>
      <c r="F343">
        <v>20.5</v>
      </c>
      <c r="G343">
        <f t="shared" si="95"/>
        <v>-7.5949367088607597E-2</v>
      </c>
      <c r="H343">
        <v>20.7</v>
      </c>
      <c r="I343">
        <v>20.68</v>
      </c>
      <c r="J343">
        <f t="shared" si="96"/>
        <v>9.6665055582404911E-4</v>
      </c>
      <c r="K343">
        <v>407000</v>
      </c>
      <c r="L343">
        <v>251250000</v>
      </c>
      <c r="M343">
        <f t="shared" si="97"/>
        <v>7712650</v>
      </c>
      <c r="N343">
        <v>125625000</v>
      </c>
      <c r="O343">
        <f t="shared" si="98"/>
        <v>3.2398009950248756E-3</v>
      </c>
      <c r="P343">
        <v>70483.66</v>
      </c>
      <c r="Q343" s="8">
        <v>0.216</v>
      </c>
      <c r="R343">
        <v>5888160000</v>
      </c>
      <c r="S343">
        <f t="shared" si="101"/>
        <v>3914640000</v>
      </c>
      <c r="T343">
        <f t="shared" si="102"/>
        <v>418520000</v>
      </c>
      <c r="U343">
        <f t="shared" si="103"/>
        <v>38990000</v>
      </c>
      <c r="V343">
        <v>2530410</v>
      </c>
      <c r="W343">
        <f t="shared" si="99"/>
        <v>0</v>
      </c>
      <c r="X343">
        <f t="shared" si="104"/>
        <v>4.2974545528654115E-4</v>
      </c>
    </row>
    <row r="344" spans="1:24">
      <c r="A344" s="33">
        <v>45397</v>
      </c>
      <c r="B344">
        <v>18.95</v>
      </c>
      <c r="C344" s="29">
        <f t="shared" si="94"/>
        <v>0</v>
      </c>
      <c r="D344">
        <f t="shared" si="100"/>
        <v>7.0649077810255201E-2</v>
      </c>
      <c r="E344">
        <v>19.04</v>
      </c>
      <c r="F344">
        <v>20.239999999999998</v>
      </c>
      <c r="G344">
        <f t="shared" si="95"/>
        <v>-6.1099796334012184E-2</v>
      </c>
      <c r="H344">
        <v>20.6</v>
      </c>
      <c r="I344">
        <v>20.55</v>
      </c>
      <c r="J344">
        <f t="shared" si="96"/>
        <v>2.4301336573511884E-3</v>
      </c>
      <c r="K344">
        <v>263500</v>
      </c>
      <c r="L344">
        <v>251250000</v>
      </c>
      <c r="M344">
        <f t="shared" si="97"/>
        <v>4993325</v>
      </c>
      <c r="N344">
        <v>125625000</v>
      </c>
      <c r="O344">
        <f t="shared" si="98"/>
        <v>2.0975124378109452E-3</v>
      </c>
      <c r="P344">
        <v>70544.58</v>
      </c>
      <c r="Q344" s="8">
        <v>0.216</v>
      </c>
      <c r="R344">
        <v>5888160000</v>
      </c>
      <c r="S344">
        <f t="shared" si="101"/>
        <v>3914640000</v>
      </c>
      <c r="T344">
        <f t="shared" si="102"/>
        <v>418520000</v>
      </c>
      <c r="U344">
        <f t="shared" si="103"/>
        <v>38990000</v>
      </c>
      <c r="V344">
        <v>2530410</v>
      </c>
      <c r="W344">
        <f t="shared" si="99"/>
        <v>0</v>
      </c>
      <c r="X344">
        <f t="shared" si="104"/>
        <v>4.2974545528654115E-4</v>
      </c>
    </row>
    <row r="345" spans="1:24">
      <c r="A345" s="33">
        <v>45391</v>
      </c>
      <c r="B345">
        <v>18.95</v>
      </c>
      <c r="C345" s="29">
        <f t="shared" si="94"/>
        <v>5.279831045405496E-4</v>
      </c>
      <c r="D345">
        <f t="shared" si="100"/>
        <v>7.0649077810255201E-2</v>
      </c>
      <c r="E345">
        <v>19.100000000000001</v>
      </c>
      <c r="F345">
        <v>20.23</v>
      </c>
      <c r="G345">
        <f t="shared" si="95"/>
        <v>-5.7462496821764505E-2</v>
      </c>
      <c r="H345">
        <v>20.48</v>
      </c>
      <c r="I345">
        <v>20.41</v>
      </c>
      <c r="J345">
        <f t="shared" si="96"/>
        <v>3.4238200048911853E-3</v>
      </c>
      <c r="K345">
        <v>217500</v>
      </c>
      <c r="L345">
        <v>251250000</v>
      </c>
      <c r="M345">
        <f t="shared" si="97"/>
        <v>4121625</v>
      </c>
      <c r="N345">
        <v>125625000</v>
      </c>
      <c r="O345">
        <f t="shared" si="98"/>
        <v>1.7313432835820897E-3</v>
      </c>
      <c r="P345">
        <v>70314.720000000001</v>
      </c>
      <c r="Q345" s="8">
        <v>0.216</v>
      </c>
      <c r="R345">
        <v>5888160000</v>
      </c>
      <c r="S345">
        <f t="shared" si="101"/>
        <v>3914640000</v>
      </c>
      <c r="T345">
        <f t="shared" si="102"/>
        <v>418520000</v>
      </c>
      <c r="U345">
        <f t="shared" si="103"/>
        <v>38990000</v>
      </c>
      <c r="V345">
        <v>2530410</v>
      </c>
      <c r="W345">
        <f t="shared" si="99"/>
        <v>1.2810071380597449E-10</v>
      </c>
      <c r="X345">
        <f t="shared" si="104"/>
        <v>4.2974545528654115E-4</v>
      </c>
    </row>
    <row r="346" spans="1:24">
      <c r="A346" s="33">
        <v>45390</v>
      </c>
      <c r="B346">
        <v>18.940000000000001</v>
      </c>
      <c r="C346" s="29">
        <f t="shared" si="94"/>
        <v>1.0570824524312669E-3</v>
      </c>
      <c r="D346">
        <f t="shared" si="100"/>
        <v>7.0649077810255201E-2</v>
      </c>
      <c r="E346">
        <v>19.2</v>
      </c>
      <c r="F346">
        <v>20.010000000000002</v>
      </c>
      <c r="G346">
        <f t="shared" si="95"/>
        <v>-4.1315990818668824E-2</v>
      </c>
      <c r="H346">
        <v>20.41</v>
      </c>
      <c r="I346">
        <v>20.350000000000001</v>
      </c>
      <c r="J346">
        <f t="shared" si="96"/>
        <v>2.9440628066731457E-3</v>
      </c>
      <c r="K346">
        <v>184500</v>
      </c>
      <c r="L346">
        <v>251250000</v>
      </c>
      <c r="M346">
        <f t="shared" si="97"/>
        <v>3494430.0000000005</v>
      </c>
      <c r="N346">
        <v>125625000</v>
      </c>
      <c r="O346">
        <f t="shared" si="98"/>
        <v>1.4686567164179105E-3</v>
      </c>
      <c r="P346">
        <v>69619.990000000005</v>
      </c>
      <c r="Q346" s="8">
        <v>0.216</v>
      </c>
      <c r="R346">
        <v>5888160000</v>
      </c>
      <c r="S346">
        <f t="shared" si="101"/>
        <v>3914640000</v>
      </c>
      <c r="T346">
        <f t="shared" si="102"/>
        <v>418520000</v>
      </c>
      <c r="U346">
        <f t="shared" si="103"/>
        <v>38990000</v>
      </c>
      <c r="V346">
        <v>2530410</v>
      </c>
      <c r="W346">
        <f t="shared" si="99"/>
        <v>3.0250497289436814E-10</v>
      </c>
      <c r="X346">
        <f t="shared" si="104"/>
        <v>4.2974545528654115E-4</v>
      </c>
    </row>
    <row r="347" spans="1:24">
      <c r="A347" s="33">
        <v>45386</v>
      </c>
      <c r="B347">
        <v>18.920000000000002</v>
      </c>
      <c r="C347" s="29">
        <f t="shared" si="94"/>
        <v>-8.4220716360116091E-2</v>
      </c>
      <c r="D347">
        <f t="shared" si="100"/>
        <v>7.0649077810255201E-2</v>
      </c>
      <c r="E347">
        <v>19.25</v>
      </c>
      <c r="F347">
        <v>20.079999999999998</v>
      </c>
      <c r="G347">
        <f t="shared" si="95"/>
        <v>-4.2206966692092465E-2</v>
      </c>
      <c r="H347">
        <v>20.34</v>
      </c>
      <c r="I347">
        <v>20.3</v>
      </c>
      <c r="J347">
        <f t="shared" si="96"/>
        <v>1.9685039370078319E-3</v>
      </c>
      <c r="K347">
        <v>220500</v>
      </c>
      <c r="L347">
        <v>251250000</v>
      </c>
      <c r="M347">
        <f t="shared" si="97"/>
        <v>4171860.0000000005</v>
      </c>
      <c r="N347">
        <v>125625000</v>
      </c>
      <c r="O347">
        <f t="shared" si="98"/>
        <v>1.755223880597015E-3</v>
      </c>
      <c r="P347">
        <v>68416.78</v>
      </c>
      <c r="Q347" s="8">
        <v>0.216</v>
      </c>
      <c r="R347">
        <v>5888160000</v>
      </c>
      <c r="S347">
        <f t="shared" si="101"/>
        <v>3914640000</v>
      </c>
      <c r="T347">
        <f t="shared" si="102"/>
        <v>418520000</v>
      </c>
      <c r="U347">
        <f t="shared" si="103"/>
        <v>38990000</v>
      </c>
      <c r="V347">
        <v>2530410</v>
      </c>
      <c r="W347">
        <f t="shared" si="99"/>
        <v>2.0187809840242979E-8</v>
      </c>
      <c r="X347">
        <f t="shared" si="104"/>
        <v>4.2974545528654115E-4</v>
      </c>
    </row>
    <row r="348" spans="1:24">
      <c r="A348" s="33">
        <v>45385</v>
      </c>
      <c r="B348">
        <v>20.66</v>
      </c>
      <c r="C348" s="29">
        <f t="shared" si="94"/>
        <v>1.9398642095052932E-3</v>
      </c>
      <c r="D348">
        <f t="shared" si="100"/>
        <v>7.0649077810255201E-2</v>
      </c>
      <c r="E348">
        <v>20.76</v>
      </c>
      <c r="F348">
        <v>19.95</v>
      </c>
      <c r="G348">
        <f t="shared" si="95"/>
        <v>3.9793662490788612E-2</v>
      </c>
      <c r="H348">
        <v>20.170000000000002</v>
      </c>
      <c r="I348">
        <v>20.11</v>
      </c>
      <c r="J348">
        <f t="shared" si="96"/>
        <v>2.9791459781530424E-3</v>
      </c>
      <c r="K348">
        <v>239500</v>
      </c>
      <c r="L348">
        <v>251250000</v>
      </c>
      <c r="M348">
        <f t="shared" si="97"/>
        <v>4948070</v>
      </c>
      <c r="N348">
        <v>125625000</v>
      </c>
      <c r="O348">
        <f t="shared" si="98"/>
        <v>1.9064676616915423E-3</v>
      </c>
      <c r="P348">
        <v>67756.039999999994</v>
      </c>
      <c r="Q348" s="8">
        <v>0.216</v>
      </c>
      <c r="R348">
        <v>5888160000</v>
      </c>
      <c r="S348">
        <f t="shared" si="101"/>
        <v>3914640000</v>
      </c>
      <c r="T348">
        <f t="shared" si="102"/>
        <v>418520000</v>
      </c>
      <c r="U348">
        <f t="shared" si="103"/>
        <v>38990000</v>
      </c>
      <c r="V348">
        <v>2530410</v>
      </c>
      <c r="W348">
        <f t="shared" si="99"/>
        <v>3.92044617296298E-10</v>
      </c>
      <c r="X348">
        <f t="shared" si="104"/>
        <v>4.2974545528654115E-4</v>
      </c>
    </row>
    <row r="349" spans="1:24">
      <c r="A349" s="33">
        <v>45384</v>
      </c>
      <c r="B349">
        <v>20.62</v>
      </c>
      <c r="C349" s="29">
        <f t="shared" si="94"/>
        <v>-3.3832769453842572E-3</v>
      </c>
      <c r="D349">
        <f t="shared" si="100"/>
        <v>7.0649077810255201E-2</v>
      </c>
      <c r="E349">
        <v>20.79</v>
      </c>
      <c r="F349">
        <v>19.940000000000001</v>
      </c>
      <c r="G349">
        <f t="shared" si="95"/>
        <v>4.1738276454701587E-2</v>
      </c>
      <c r="H349">
        <v>20.07</v>
      </c>
      <c r="I349">
        <v>20</v>
      </c>
      <c r="J349">
        <f t="shared" si="96"/>
        <v>3.4938857000249707E-3</v>
      </c>
      <c r="K349">
        <v>233000</v>
      </c>
      <c r="L349">
        <v>251250000</v>
      </c>
      <c r="M349">
        <f t="shared" si="97"/>
        <v>4804460</v>
      </c>
      <c r="N349">
        <v>125625000</v>
      </c>
      <c r="O349">
        <f t="shared" si="98"/>
        <v>1.854726368159204E-3</v>
      </c>
      <c r="P349">
        <v>66886.259999999995</v>
      </c>
      <c r="Q349" s="8">
        <v>0.216</v>
      </c>
      <c r="R349">
        <v>5888160000</v>
      </c>
      <c r="S349">
        <f t="shared" si="101"/>
        <v>3914640000</v>
      </c>
      <c r="T349">
        <f t="shared" si="102"/>
        <v>418520000</v>
      </c>
      <c r="U349">
        <f t="shared" si="103"/>
        <v>38990000</v>
      </c>
      <c r="V349">
        <v>2530410</v>
      </c>
      <c r="W349">
        <f t="shared" si="99"/>
        <v>7.0419504905530637E-10</v>
      </c>
      <c r="X349">
        <f t="shared" si="104"/>
        <v>4.2974545528654115E-4</v>
      </c>
    </row>
    <row r="350" spans="1:24">
      <c r="A350" s="33">
        <v>45383</v>
      </c>
      <c r="B350">
        <v>20.69</v>
      </c>
      <c r="C350" s="29">
        <f t="shared" si="94"/>
        <v>3.8816108685105215E-3</v>
      </c>
      <c r="D350">
        <f t="shared" si="100"/>
        <v>7.0649077810255201E-2</v>
      </c>
      <c r="E350">
        <v>20.84</v>
      </c>
      <c r="F350">
        <v>19.55</v>
      </c>
      <c r="G350">
        <f t="shared" si="95"/>
        <v>6.3877197326070764E-2</v>
      </c>
      <c r="H350">
        <v>20.100000000000001</v>
      </c>
      <c r="I350">
        <v>20</v>
      </c>
      <c r="J350">
        <f t="shared" si="96"/>
        <v>4.9875311720698964E-3</v>
      </c>
      <c r="K350">
        <v>415000</v>
      </c>
      <c r="L350">
        <v>251250000</v>
      </c>
      <c r="M350">
        <f t="shared" si="97"/>
        <v>8586350</v>
      </c>
      <c r="N350">
        <v>125625000</v>
      </c>
      <c r="O350">
        <f t="shared" si="98"/>
        <v>3.3034825870646768E-3</v>
      </c>
      <c r="P350">
        <v>66796.320000000007</v>
      </c>
      <c r="Q350" s="8">
        <v>0.216</v>
      </c>
      <c r="R350">
        <v>5888160000</v>
      </c>
      <c r="S350">
        <f t="shared" si="101"/>
        <v>3914640000</v>
      </c>
      <c r="T350">
        <f t="shared" si="102"/>
        <v>418520000</v>
      </c>
      <c r="U350">
        <f t="shared" si="103"/>
        <v>38990000</v>
      </c>
      <c r="V350">
        <v>2530410</v>
      </c>
      <c r="W350">
        <f t="shared" si="99"/>
        <v>4.5206762693234281E-10</v>
      </c>
      <c r="X350">
        <f t="shared" si="104"/>
        <v>4.2974545528654115E-4</v>
      </c>
    </row>
    <row r="351" spans="1:24">
      <c r="A351" s="33">
        <v>45380</v>
      </c>
      <c r="B351">
        <v>20.61</v>
      </c>
      <c r="C351" s="29">
        <f t="shared" si="94"/>
        <v>6.3476562499999514E-3</v>
      </c>
      <c r="D351">
        <f t="shared" si="100"/>
        <v>7.0649077810255201E-2</v>
      </c>
      <c r="E351">
        <v>20.8</v>
      </c>
      <c r="F351">
        <v>19.46</v>
      </c>
      <c r="G351">
        <f t="shared" si="95"/>
        <v>6.6567312468951798E-2</v>
      </c>
      <c r="H351">
        <v>19.809999999999999</v>
      </c>
      <c r="I351">
        <v>19.600000000000001</v>
      </c>
      <c r="J351">
        <f t="shared" si="96"/>
        <v>1.06571936056837E-2</v>
      </c>
      <c r="K351">
        <v>1022500</v>
      </c>
      <c r="L351">
        <v>251250000</v>
      </c>
      <c r="M351">
        <f t="shared" si="97"/>
        <v>21073725</v>
      </c>
      <c r="N351">
        <v>125625000</v>
      </c>
      <c r="O351">
        <f t="shared" si="98"/>
        <v>8.1393034825870646E-3</v>
      </c>
      <c r="P351">
        <v>67005.11</v>
      </c>
      <c r="Q351" s="8">
        <v>0.216</v>
      </c>
      <c r="R351">
        <v>5888160000</v>
      </c>
      <c r="S351">
        <f t="shared" si="101"/>
        <v>3914640000</v>
      </c>
      <c r="T351">
        <f t="shared" si="102"/>
        <v>418520000</v>
      </c>
      <c r="U351">
        <f t="shared" si="103"/>
        <v>38990000</v>
      </c>
      <c r="V351">
        <v>2530410</v>
      </c>
      <c r="W351">
        <f t="shared" si="99"/>
        <v>3.0121187640058657E-10</v>
      </c>
      <c r="X351">
        <f t="shared" si="104"/>
        <v>4.2974545528654115E-4</v>
      </c>
    </row>
    <row r="352" spans="1:24">
      <c r="A352" s="33">
        <v>45379</v>
      </c>
      <c r="B352">
        <v>20.48</v>
      </c>
      <c r="C352" s="29">
        <f t="shared" si="94"/>
        <v>5.8939096267191064E-3</v>
      </c>
      <c r="D352">
        <f t="shared" si="100"/>
        <v>7.0649077810255201E-2</v>
      </c>
      <c r="E352">
        <v>20.49</v>
      </c>
      <c r="F352">
        <v>19.989999999999998</v>
      </c>
      <c r="G352">
        <f t="shared" si="95"/>
        <v>2.4703557312252968E-2</v>
      </c>
      <c r="H352">
        <v>20.05</v>
      </c>
      <c r="I352">
        <v>20.010000000000002</v>
      </c>
      <c r="J352">
        <f t="shared" si="96"/>
        <v>1.997004493260067E-3</v>
      </c>
      <c r="K352">
        <v>475000</v>
      </c>
      <c r="L352">
        <v>251250000</v>
      </c>
      <c r="M352">
        <f t="shared" si="97"/>
        <v>9728000</v>
      </c>
      <c r="N352">
        <v>125625000</v>
      </c>
      <c r="O352">
        <f t="shared" si="98"/>
        <v>3.781094527363184E-3</v>
      </c>
      <c r="P352">
        <v>67142.12</v>
      </c>
      <c r="Q352" s="8">
        <v>0.216</v>
      </c>
      <c r="R352">
        <v>5888160000</v>
      </c>
      <c r="S352">
        <f t="shared" si="101"/>
        <v>3914640000</v>
      </c>
      <c r="T352">
        <f t="shared" si="102"/>
        <v>418520000</v>
      </c>
      <c r="U352">
        <f t="shared" si="103"/>
        <v>38990000</v>
      </c>
      <c r="V352">
        <v>2530410</v>
      </c>
      <c r="W352">
        <f t="shared" si="99"/>
        <v>6.0587064419398712E-10</v>
      </c>
      <c r="X352">
        <f t="shared" si="104"/>
        <v>4.2974545528654115E-4</v>
      </c>
    </row>
    <row r="353" spans="1:24">
      <c r="A353" s="33">
        <v>45378</v>
      </c>
      <c r="B353">
        <v>20.36</v>
      </c>
      <c r="C353" s="29">
        <f t="shared" si="94"/>
        <v>3.9447731755423224E-3</v>
      </c>
      <c r="D353">
        <f t="shared" si="100"/>
        <v>7.0649077810255201E-2</v>
      </c>
      <c r="E353">
        <v>20.48</v>
      </c>
      <c r="F353">
        <v>20.16</v>
      </c>
      <c r="G353">
        <f t="shared" si="95"/>
        <v>1.5748031496063006E-2</v>
      </c>
      <c r="H353">
        <v>20.239999999999998</v>
      </c>
      <c r="I353">
        <v>20.22</v>
      </c>
      <c r="J353">
        <f t="shared" si="96"/>
        <v>9.8863074641619263E-4</v>
      </c>
      <c r="K353">
        <v>211500</v>
      </c>
      <c r="L353">
        <v>251250000</v>
      </c>
      <c r="M353">
        <f t="shared" si="97"/>
        <v>4306140</v>
      </c>
      <c r="N353">
        <v>125625000</v>
      </c>
      <c r="O353">
        <f t="shared" si="98"/>
        <v>1.6835820895522388E-3</v>
      </c>
      <c r="P353">
        <v>66547.789999999994</v>
      </c>
      <c r="Q353" s="8">
        <v>0.216</v>
      </c>
      <c r="R353">
        <v>5888160000</v>
      </c>
      <c r="S353">
        <f t="shared" si="101"/>
        <v>3914640000</v>
      </c>
      <c r="T353">
        <f t="shared" si="102"/>
        <v>418520000</v>
      </c>
      <c r="U353">
        <f t="shared" si="103"/>
        <v>38990000</v>
      </c>
      <c r="V353">
        <v>2530410</v>
      </c>
      <c r="W353">
        <f t="shared" si="99"/>
        <v>9.1608103209424734E-10</v>
      </c>
      <c r="X353">
        <f t="shared" si="104"/>
        <v>4.2974545528654115E-4</v>
      </c>
    </row>
    <row r="354" spans="1:24">
      <c r="A354" s="33">
        <v>45377</v>
      </c>
      <c r="B354">
        <v>20.28</v>
      </c>
      <c r="C354" s="29">
        <f t="shared" si="94"/>
        <v>9.4574415131907057E-3</v>
      </c>
      <c r="D354">
        <f t="shared" si="100"/>
        <v>7.0649077810255201E-2</v>
      </c>
      <c r="E354">
        <v>20.350000000000001</v>
      </c>
      <c r="F354">
        <v>20.25</v>
      </c>
      <c r="G354">
        <f t="shared" si="95"/>
        <v>4.9261083743843059E-3</v>
      </c>
      <c r="H354">
        <v>20.45</v>
      </c>
      <c r="I354">
        <v>20.260000000000002</v>
      </c>
      <c r="J354">
        <f t="shared" si="96"/>
        <v>9.3343158929008949E-3</v>
      </c>
      <c r="K354">
        <v>152000</v>
      </c>
      <c r="L354">
        <v>251250000</v>
      </c>
      <c r="M354">
        <f t="shared" si="97"/>
        <v>3082560</v>
      </c>
      <c r="N354">
        <v>125625000</v>
      </c>
      <c r="O354">
        <f t="shared" si="98"/>
        <v>1.209950248756219E-3</v>
      </c>
      <c r="P354">
        <v>65906.28</v>
      </c>
      <c r="Q354" s="8">
        <v>0.216</v>
      </c>
      <c r="R354">
        <v>5888160000</v>
      </c>
      <c r="S354">
        <f t="shared" si="101"/>
        <v>3914640000</v>
      </c>
      <c r="T354">
        <f t="shared" si="102"/>
        <v>418520000</v>
      </c>
      <c r="U354">
        <f t="shared" si="103"/>
        <v>38990000</v>
      </c>
      <c r="V354">
        <v>2530410</v>
      </c>
      <c r="W354">
        <f t="shared" si="99"/>
        <v>3.0680478281657795E-9</v>
      </c>
      <c r="X354">
        <f t="shared" si="104"/>
        <v>4.2974545528654115E-4</v>
      </c>
    </row>
    <row r="355" spans="1:24">
      <c r="A355" s="33">
        <v>45376</v>
      </c>
      <c r="B355">
        <v>20.09</v>
      </c>
      <c r="C355" s="29">
        <f t="shared" si="94"/>
        <v>0</v>
      </c>
      <c r="D355">
        <f t="shared" si="100"/>
        <v>7.0649077810255201E-2</v>
      </c>
      <c r="E355">
        <v>20.239999999999998</v>
      </c>
      <c r="F355">
        <v>20.45</v>
      </c>
      <c r="G355">
        <f t="shared" si="95"/>
        <v>-1.0321946424182889E-2</v>
      </c>
      <c r="H355">
        <v>20.5</v>
      </c>
      <c r="I355">
        <v>20.46</v>
      </c>
      <c r="J355">
        <f t="shared" si="96"/>
        <v>1.9531249999999584E-3</v>
      </c>
      <c r="K355">
        <v>233000</v>
      </c>
      <c r="L355">
        <v>251250000</v>
      </c>
      <c r="M355">
        <f t="shared" si="97"/>
        <v>4680970</v>
      </c>
      <c r="N355">
        <v>125625000</v>
      </c>
      <c r="O355">
        <f t="shared" si="98"/>
        <v>1.854726368159204E-3</v>
      </c>
      <c r="P355">
        <v>65525.65</v>
      </c>
      <c r="Q355" s="8">
        <v>0.216</v>
      </c>
      <c r="R355">
        <v>5888160000</v>
      </c>
      <c r="S355">
        <f t="shared" si="101"/>
        <v>3914640000</v>
      </c>
      <c r="T355">
        <f t="shared" si="102"/>
        <v>418520000</v>
      </c>
      <c r="U355">
        <f t="shared" si="103"/>
        <v>38990000</v>
      </c>
      <c r="V355">
        <v>2530410</v>
      </c>
      <c r="W355">
        <f t="shared" si="99"/>
        <v>0</v>
      </c>
      <c r="X355">
        <f t="shared" si="104"/>
        <v>4.2974545528654115E-4</v>
      </c>
    </row>
    <row r="357" spans="1:24" ht="15" thickBot="1"/>
    <row r="358" spans="1:24" ht="16" thickBot="1">
      <c r="A358" s="184" t="s">
        <v>45</v>
      </c>
      <c r="B358" s="185"/>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6"/>
    </row>
    <row r="359" spans="1:24" ht="43.5">
      <c r="A359" s="6" t="s">
        <v>14</v>
      </c>
      <c r="B359" s="5" t="s">
        <v>15</v>
      </c>
      <c r="C359" s="7" t="s">
        <v>16</v>
      </c>
      <c r="D359" s="7" t="s">
        <v>17</v>
      </c>
      <c r="E359" s="6" t="s">
        <v>0</v>
      </c>
      <c r="F359" s="6" t="s">
        <v>13</v>
      </c>
      <c r="G359" s="7" t="s">
        <v>18</v>
      </c>
      <c r="H359" s="5" t="s">
        <v>12</v>
      </c>
      <c r="I359" s="6" t="s">
        <v>1</v>
      </c>
      <c r="J359" s="7" t="s">
        <v>19</v>
      </c>
      <c r="K359" s="5" t="s">
        <v>2</v>
      </c>
      <c r="L359" s="5" t="s">
        <v>3</v>
      </c>
      <c r="M359" s="7" t="s">
        <v>20</v>
      </c>
      <c r="N359" s="5" t="s">
        <v>22</v>
      </c>
      <c r="O359" s="7" t="s">
        <v>21</v>
      </c>
      <c r="P359" s="5" t="s">
        <v>5</v>
      </c>
      <c r="Q359" s="5" t="s">
        <v>6</v>
      </c>
      <c r="R359" s="5" t="s">
        <v>7</v>
      </c>
      <c r="S359" s="5" t="s">
        <v>8</v>
      </c>
      <c r="T359" s="5" t="s">
        <v>9</v>
      </c>
      <c r="U359" s="5" t="s">
        <v>10</v>
      </c>
      <c r="V359" s="5" t="s">
        <v>11</v>
      </c>
      <c r="W359" s="7" t="s">
        <v>73</v>
      </c>
      <c r="X359" s="7" t="s">
        <v>72</v>
      </c>
    </row>
    <row r="360" spans="1:24">
      <c r="A360" s="33">
        <v>45436</v>
      </c>
      <c r="B360">
        <v>31</v>
      </c>
      <c r="C360" s="29">
        <f t="shared" ref="C360:C399" si="105">IFERROR((B360-B361)/B361,0)</f>
        <v>3.5610229847847013E-3</v>
      </c>
      <c r="D360">
        <f>_xlfn.STDEV.S($C$360:$C$399)</f>
        <v>8.883510346974724E-2</v>
      </c>
      <c r="E360">
        <v>76.25</v>
      </c>
      <c r="F360">
        <v>81.239999999999995</v>
      </c>
      <c r="G360">
        <f t="shared" ref="G360:G399" si="106">(E360-F360)/((E360+F360)/2)</f>
        <v>-6.3369102800177726E-2</v>
      </c>
      <c r="H360">
        <v>79.5</v>
      </c>
      <c r="I360">
        <v>79.25</v>
      </c>
      <c r="J360">
        <f t="shared" ref="J360:J399" si="107">(H360-I360)/((H360+I360)/2)</f>
        <v>3.1496062992125984E-3</v>
      </c>
      <c r="K360">
        <v>2940425</v>
      </c>
      <c r="L360">
        <v>335633933</v>
      </c>
      <c r="M360">
        <f t="shared" ref="M360:M399" si="108">B360*K360</f>
        <v>91153175</v>
      </c>
      <c r="N360">
        <v>83908483</v>
      </c>
      <c r="O360">
        <f t="shared" ref="O360:O399" si="109">K360/N360</f>
        <v>3.5043238715208327E-2</v>
      </c>
      <c r="P360">
        <v>75983.039999999994</v>
      </c>
      <c r="Q360" s="8">
        <v>0.2157</v>
      </c>
      <c r="R360">
        <f>67110452.42*1000</f>
        <v>67110452420</v>
      </c>
      <c r="S360">
        <f>41420559.38*1000</f>
        <v>41420559380</v>
      </c>
      <c r="T360">
        <v>1359660.69</v>
      </c>
      <c r="U360">
        <v>98140892</v>
      </c>
      <c r="V360">
        <v>258003519</v>
      </c>
      <c r="W360">
        <f t="shared" ref="W360:W399" si="110">IFERROR(ABS(C360)/M360,0)</f>
        <v>3.9066362579084067E-11</v>
      </c>
      <c r="X360">
        <f>V360/R360</f>
        <v>3.8444610294880201E-3</v>
      </c>
    </row>
    <row r="361" spans="1:24">
      <c r="A361" s="33">
        <v>45435</v>
      </c>
      <c r="B361">
        <v>30.89</v>
      </c>
      <c r="C361" s="29">
        <f t="shared" si="105"/>
        <v>-6.7330917874396046E-2</v>
      </c>
      <c r="D361">
        <f t="shared" ref="D361:D399" si="111">_xlfn.STDEV.S($C$360:$C$399)</f>
        <v>8.883510346974724E-2</v>
      </c>
      <c r="E361">
        <v>74.55</v>
      </c>
      <c r="F361">
        <v>77.5</v>
      </c>
      <c r="G361">
        <f t="shared" si="106"/>
        <v>-3.8803025320618252E-2</v>
      </c>
      <c r="H361">
        <v>76.099999999999994</v>
      </c>
      <c r="I361">
        <v>75.72</v>
      </c>
      <c r="J361">
        <f t="shared" si="107"/>
        <v>5.005928072717632E-3</v>
      </c>
      <c r="K361">
        <v>756232</v>
      </c>
      <c r="L361">
        <v>335633933</v>
      </c>
      <c r="M361">
        <f t="shared" si="108"/>
        <v>23360006.48</v>
      </c>
      <c r="N361">
        <v>83908483</v>
      </c>
      <c r="O361">
        <f t="shared" si="109"/>
        <v>9.0125810044736476E-3</v>
      </c>
      <c r="P361">
        <v>75114.47</v>
      </c>
      <c r="Q361" s="8">
        <v>0.2157</v>
      </c>
      <c r="R361">
        <v>67110452.420000002</v>
      </c>
      <c r="S361">
        <v>41420559.380000003</v>
      </c>
      <c r="T361">
        <v>1359660.69</v>
      </c>
      <c r="U361">
        <v>98140892</v>
      </c>
      <c r="V361">
        <v>258003519</v>
      </c>
      <c r="W361">
        <f t="shared" si="110"/>
        <v>2.8823158902820666E-9</v>
      </c>
      <c r="X361">
        <f t="shared" ref="X361:X399" si="112">V361/R361</f>
        <v>3.8444610294880199</v>
      </c>
    </row>
    <row r="362" spans="1:24">
      <c r="A362" s="33">
        <v>45434</v>
      </c>
      <c r="B362">
        <v>33.119999999999997</v>
      </c>
      <c r="C362" s="29">
        <f t="shared" si="105"/>
        <v>-2.5595763459841263E-2</v>
      </c>
      <c r="D362">
        <f t="shared" si="111"/>
        <v>8.883510346974724E-2</v>
      </c>
      <c r="E362">
        <v>75.55</v>
      </c>
      <c r="F362">
        <v>77.989999999999995</v>
      </c>
      <c r="G362">
        <f t="shared" si="106"/>
        <v>-3.1783248664843007E-2</v>
      </c>
      <c r="H362">
        <v>76.2</v>
      </c>
      <c r="I362">
        <v>75.7</v>
      </c>
      <c r="J362">
        <f t="shared" si="107"/>
        <v>6.5832784726793945E-3</v>
      </c>
      <c r="K362">
        <v>341166</v>
      </c>
      <c r="L362">
        <v>335633933</v>
      </c>
      <c r="M362">
        <f t="shared" si="108"/>
        <v>11299417.92</v>
      </c>
      <c r="N362">
        <v>83908483</v>
      </c>
      <c r="O362">
        <f t="shared" si="109"/>
        <v>4.0659297820936652E-3</v>
      </c>
      <c r="P362">
        <v>74956.67</v>
      </c>
      <c r="Q362" s="8">
        <v>0.2157</v>
      </c>
      <c r="R362">
        <v>67110452.420000002</v>
      </c>
      <c r="S362">
        <v>41420559.380000003</v>
      </c>
      <c r="T362">
        <v>1359660.69</v>
      </c>
      <c r="U362">
        <v>98140892</v>
      </c>
      <c r="V362">
        <v>258003519</v>
      </c>
      <c r="W362">
        <f t="shared" si="110"/>
        <v>2.2652284959331127E-9</v>
      </c>
      <c r="X362">
        <f t="shared" si="112"/>
        <v>3.8444610294880199</v>
      </c>
    </row>
    <row r="363" spans="1:24">
      <c r="A363" s="33">
        <v>45433</v>
      </c>
      <c r="B363">
        <v>33.99</v>
      </c>
      <c r="C363" s="29">
        <f t="shared" si="105"/>
        <v>-1.7621145374447922E-3</v>
      </c>
      <c r="D363">
        <f t="shared" si="111"/>
        <v>8.883510346974724E-2</v>
      </c>
      <c r="E363">
        <v>77</v>
      </c>
      <c r="F363">
        <v>81.2</v>
      </c>
      <c r="G363">
        <f t="shared" si="106"/>
        <v>-5.3097345132743404E-2</v>
      </c>
      <c r="H363">
        <v>77.349999999999994</v>
      </c>
      <c r="I363">
        <v>77.150000000000006</v>
      </c>
      <c r="J363">
        <f t="shared" si="107"/>
        <v>2.5889967637538983E-3</v>
      </c>
      <c r="K363">
        <v>1874139</v>
      </c>
      <c r="L363">
        <v>335633933</v>
      </c>
      <c r="M363">
        <f t="shared" si="108"/>
        <v>63701984.610000007</v>
      </c>
      <c r="N363">
        <v>83908483</v>
      </c>
      <c r="O363">
        <f t="shared" si="109"/>
        <v>2.2335512846776172E-2</v>
      </c>
      <c r="P363">
        <v>75206.77</v>
      </c>
      <c r="Q363" s="8">
        <v>0.2157</v>
      </c>
      <c r="R363">
        <v>67110452.420000002</v>
      </c>
      <c r="S363">
        <v>41420559.380000003</v>
      </c>
      <c r="T363">
        <v>1359660.69</v>
      </c>
      <c r="U363">
        <v>98140892</v>
      </c>
      <c r="V363">
        <v>258003519</v>
      </c>
      <c r="W363">
        <f t="shared" si="110"/>
        <v>2.7661846773423344E-11</v>
      </c>
      <c r="X363">
        <f t="shared" si="112"/>
        <v>3.8444610294880199</v>
      </c>
    </row>
    <row r="364" spans="1:24">
      <c r="A364" s="33">
        <v>45432</v>
      </c>
      <c r="B364">
        <v>34.049999999999997</v>
      </c>
      <c r="C364" s="29">
        <f t="shared" si="105"/>
        <v>-4.1654939487756934E-2</v>
      </c>
      <c r="D364">
        <f t="shared" si="111"/>
        <v>8.883510346974724E-2</v>
      </c>
      <c r="E364">
        <v>76.599999999999994</v>
      </c>
      <c r="F364">
        <v>79.5</v>
      </c>
      <c r="G364">
        <f t="shared" si="106"/>
        <v>-3.7155669442665032E-2</v>
      </c>
      <c r="H364">
        <v>79</v>
      </c>
      <c r="I364">
        <v>78.900000000000006</v>
      </c>
      <c r="J364">
        <f t="shared" si="107"/>
        <v>1.266624445851733E-3</v>
      </c>
      <c r="K364">
        <v>1277816</v>
      </c>
      <c r="L364">
        <v>335633933</v>
      </c>
      <c r="M364">
        <f t="shared" si="108"/>
        <v>43509634.799999997</v>
      </c>
      <c r="N364">
        <v>83908483</v>
      </c>
      <c r="O364">
        <f t="shared" si="109"/>
        <v>1.5228686710972954E-2</v>
      </c>
      <c r="P364">
        <v>75084</v>
      </c>
      <c r="Q364" s="8">
        <v>0.2157</v>
      </c>
      <c r="R364">
        <v>67110452.420000002</v>
      </c>
      <c r="S364">
        <v>41420559.380000003</v>
      </c>
      <c r="T364">
        <v>1359660.69</v>
      </c>
      <c r="U364">
        <v>98140892</v>
      </c>
      <c r="V364">
        <v>258003519</v>
      </c>
      <c r="W364">
        <f t="shared" si="110"/>
        <v>9.5737276764632675E-10</v>
      </c>
      <c r="X364">
        <f t="shared" si="112"/>
        <v>3.8444610294880199</v>
      </c>
    </row>
    <row r="365" spans="1:24">
      <c r="A365" s="33">
        <v>45429</v>
      </c>
      <c r="B365">
        <v>35.53</v>
      </c>
      <c r="C365" s="29">
        <f t="shared" si="105"/>
        <v>-4.3864370290634974E-2</v>
      </c>
      <c r="D365">
        <f t="shared" si="111"/>
        <v>8.883510346974724E-2</v>
      </c>
      <c r="E365">
        <v>77.510000000000005</v>
      </c>
      <c r="F365">
        <v>79.989999999999995</v>
      </c>
      <c r="G365">
        <f t="shared" si="106"/>
        <v>-3.1492063492063363E-2</v>
      </c>
      <c r="H365">
        <v>78.94</v>
      </c>
      <c r="I365">
        <v>78.7</v>
      </c>
      <c r="J365">
        <f t="shared" si="107"/>
        <v>3.0449124587667458E-3</v>
      </c>
      <c r="K365">
        <v>3581577</v>
      </c>
      <c r="L365">
        <v>335633933</v>
      </c>
      <c r="M365">
        <f t="shared" si="108"/>
        <v>127253430.81</v>
      </c>
      <c r="N365">
        <v>83908483</v>
      </c>
      <c r="O365">
        <f t="shared" si="109"/>
        <v>4.2684325493049374E-2</v>
      </c>
      <c r="P365">
        <v>75342.350000000006</v>
      </c>
      <c r="Q365" s="8">
        <v>0.2157</v>
      </c>
      <c r="R365">
        <v>67110452.420000002</v>
      </c>
      <c r="S365">
        <v>41420559.380000003</v>
      </c>
      <c r="T365">
        <v>1359660.69</v>
      </c>
      <c r="U365">
        <v>98140892</v>
      </c>
      <c r="V365">
        <v>258003519</v>
      </c>
      <c r="W365">
        <f t="shared" si="110"/>
        <v>3.4470088555905531E-10</v>
      </c>
      <c r="X365">
        <f t="shared" si="112"/>
        <v>3.8444610294880199</v>
      </c>
    </row>
    <row r="366" spans="1:24">
      <c r="A366" s="33">
        <v>45428</v>
      </c>
      <c r="B366">
        <v>37.159999999999997</v>
      </c>
      <c r="C366" s="29">
        <f t="shared" si="105"/>
        <v>2.9689608636976907E-3</v>
      </c>
      <c r="D366">
        <f t="shared" si="111"/>
        <v>8.883510346974724E-2</v>
      </c>
      <c r="E366">
        <v>74.95</v>
      </c>
      <c r="F366">
        <v>78.400000000000006</v>
      </c>
      <c r="G366">
        <f t="shared" si="106"/>
        <v>-4.499510922725794E-2</v>
      </c>
      <c r="H366">
        <v>77.69</v>
      </c>
      <c r="I366">
        <v>77.25</v>
      </c>
      <c r="J366">
        <f t="shared" si="107"/>
        <v>5.679617916612853E-3</v>
      </c>
      <c r="K366">
        <v>1402503</v>
      </c>
      <c r="L366">
        <v>335633933</v>
      </c>
      <c r="M366">
        <f t="shared" si="108"/>
        <v>52117011.479999997</v>
      </c>
      <c r="N366">
        <v>83908483</v>
      </c>
      <c r="O366">
        <f t="shared" si="109"/>
        <v>1.6714674724842778E-2</v>
      </c>
      <c r="P366">
        <v>74930.7</v>
      </c>
      <c r="Q366" s="8">
        <v>0.2157</v>
      </c>
      <c r="R366">
        <v>67110452.420000002</v>
      </c>
      <c r="S366">
        <v>41420559.380000003</v>
      </c>
      <c r="T366">
        <v>1359660.69</v>
      </c>
      <c r="U366">
        <v>98140892</v>
      </c>
      <c r="V366">
        <v>258003519</v>
      </c>
      <c r="W366">
        <f t="shared" si="110"/>
        <v>5.6967212420402027E-11</v>
      </c>
      <c r="X366">
        <f t="shared" si="112"/>
        <v>3.8444610294880199</v>
      </c>
    </row>
    <row r="367" spans="1:24">
      <c r="A367" s="33">
        <v>45427</v>
      </c>
      <c r="B367">
        <v>37.049999999999997</v>
      </c>
      <c r="C367" s="29">
        <f t="shared" si="105"/>
        <v>8.9869281045751176E-3</v>
      </c>
      <c r="D367">
        <f t="shared" si="111"/>
        <v>8.883510346974724E-2</v>
      </c>
      <c r="E367">
        <v>74.81</v>
      </c>
      <c r="F367">
        <v>77.489999999999995</v>
      </c>
      <c r="G367">
        <f t="shared" si="106"/>
        <v>-3.5193696651345925E-2</v>
      </c>
      <c r="H367">
        <v>75</v>
      </c>
      <c r="I367">
        <v>74.83</v>
      </c>
      <c r="J367">
        <f t="shared" si="107"/>
        <v>2.2692384702663248E-3</v>
      </c>
      <c r="K367">
        <v>478695</v>
      </c>
      <c r="L367">
        <v>335633933</v>
      </c>
      <c r="M367">
        <f t="shared" si="108"/>
        <v>17735649.75</v>
      </c>
      <c r="N367">
        <v>83908483</v>
      </c>
      <c r="O367">
        <f t="shared" si="109"/>
        <v>5.7049654919872645E-3</v>
      </c>
      <c r="P367">
        <v>74663.98</v>
      </c>
      <c r="Q367" s="8">
        <v>0.2157</v>
      </c>
      <c r="R367">
        <v>67110452.420000002</v>
      </c>
      <c r="S367">
        <v>41420559.380000003</v>
      </c>
      <c r="T367">
        <v>1359660.69</v>
      </c>
      <c r="U367">
        <v>98140892</v>
      </c>
      <c r="V367">
        <v>258003519</v>
      </c>
      <c r="W367">
        <f t="shared" si="110"/>
        <v>5.0671547032412035E-10</v>
      </c>
      <c r="X367">
        <f t="shared" si="112"/>
        <v>3.8444610294880199</v>
      </c>
    </row>
    <row r="368" spans="1:24">
      <c r="A368" s="33">
        <v>45426</v>
      </c>
      <c r="B368">
        <v>36.72</v>
      </c>
      <c r="C368" s="29">
        <f t="shared" si="105"/>
        <v>-9.4415969786890049E-3</v>
      </c>
      <c r="D368">
        <f t="shared" si="111"/>
        <v>8.883510346974724E-2</v>
      </c>
      <c r="E368">
        <v>75.099999999999994</v>
      </c>
      <c r="F368">
        <v>79.989999999999995</v>
      </c>
      <c r="G368">
        <f t="shared" si="106"/>
        <v>-6.3060158617576911E-2</v>
      </c>
      <c r="H368">
        <v>76.989999999999995</v>
      </c>
      <c r="I368">
        <v>76.8</v>
      </c>
      <c r="J368">
        <f t="shared" si="107"/>
        <v>2.4709018791858736E-3</v>
      </c>
      <c r="K368">
        <v>602695</v>
      </c>
      <c r="L368">
        <v>335633933</v>
      </c>
      <c r="M368">
        <f t="shared" si="108"/>
        <v>22130960.399999999</v>
      </c>
      <c r="N368">
        <v>83908483</v>
      </c>
      <c r="O368">
        <f t="shared" si="109"/>
        <v>7.1827660142538864E-3</v>
      </c>
      <c r="P368">
        <v>74531.19</v>
      </c>
      <c r="Q368" s="8">
        <v>0.21590000000000001</v>
      </c>
      <c r="R368">
        <v>67110452.420000002</v>
      </c>
      <c r="S368">
        <v>41420559.380000003</v>
      </c>
      <c r="T368">
        <v>1359660.69</v>
      </c>
      <c r="U368">
        <v>2874936.22</v>
      </c>
      <c r="V368">
        <v>27656810.59</v>
      </c>
      <c r="W368">
        <f t="shared" si="110"/>
        <v>4.2662391545777678E-10</v>
      </c>
      <c r="X368">
        <f t="shared" si="112"/>
        <v>0.41210883838055934</v>
      </c>
    </row>
    <row r="369" spans="1:24">
      <c r="A369" s="33">
        <v>45425</v>
      </c>
      <c r="B369">
        <v>37.07</v>
      </c>
      <c r="C369" s="29">
        <f t="shared" si="105"/>
        <v>-0.53170793329964627</v>
      </c>
      <c r="D369">
        <f t="shared" si="111"/>
        <v>8.883510346974724E-2</v>
      </c>
      <c r="E369">
        <v>76.5</v>
      </c>
      <c r="F369">
        <v>81.239999999999995</v>
      </c>
      <c r="G369">
        <f t="shared" si="106"/>
        <v>-6.0098896918980529E-2</v>
      </c>
      <c r="H369">
        <v>78</v>
      </c>
      <c r="I369">
        <v>77.86</v>
      </c>
      <c r="J369">
        <f t="shared" si="107"/>
        <v>1.7964840241242212E-3</v>
      </c>
      <c r="K369">
        <v>2645124</v>
      </c>
      <c r="L369">
        <v>335633933</v>
      </c>
      <c r="M369">
        <f t="shared" si="108"/>
        <v>98054746.680000007</v>
      </c>
      <c r="N369">
        <v>83908483</v>
      </c>
      <c r="O369">
        <f t="shared" si="109"/>
        <v>3.1523916360161108E-2</v>
      </c>
      <c r="P369">
        <v>73799.11</v>
      </c>
      <c r="Q369" s="8">
        <v>0.21590000000000001</v>
      </c>
      <c r="R369">
        <v>67110452.420000002</v>
      </c>
      <c r="S369">
        <v>41420559.380000003</v>
      </c>
      <c r="T369">
        <v>1359660.69</v>
      </c>
      <c r="U369">
        <v>2874936.22</v>
      </c>
      <c r="V369">
        <v>27656810.59</v>
      </c>
      <c r="W369">
        <f t="shared" si="110"/>
        <v>5.4225618983532332E-9</v>
      </c>
      <c r="X369">
        <f t="shared" si="112"/>
        <v>0.41210883838055934</v>
      </c>
    </row>
    <row r="370" spans="1:24">
      <c r="A370" s="33">
        <v>45422</v>
      </c>
      <c r="B370">
        <v>79.16</v>
      </c>
      <c r="C370" s="29">
        <f t="shared" si="105"/>
        <v>4.1304919757958442E-2</v>
      </c>
      <c r="D370">
        <f t="shared" si="111"/>
        <v>8.883510346974724E-2</v>
      </c>
      <c r="E370">
        <v>71.010000000000005</v>
      </c>
      <c r="F370">
        <v>76.39</v>
      </c>
      <c r="G370">
        <f t="shared" si="106"/>
        <v>-7.2998643147896808E-2</v>
      </c>
      <c r="H370">
        <v>72</v>
      </c>
      <c r="I370">
        <v>76.39</v>
      </c>
      <c r="J370">
        <f t="shared" si="107"/>
        <v>-5.9168407574634423E-2</v>
      </c>
      <c r="K370">
        <v>3280441</v>
      </c>
      <c r="L370">
        <v>335633933</v>
      </c>
      <c r="M370">
        <f t="shared" si="108"/>
        <v>259679709.56</v>
      </c>
      <c r="N370">
        <v>83908483</v>
      </c>
      <c r="O370">
        <f t="shared" si="109"/>
        <v>3.9095463089232584E-2</v>
      </c>
      <c r="P370">
        <v>73085.5</v>
      </c>
      <c r="Q370" s="8">
        <v>0.21590000000000001</v>
      </c>
      <c r="R370">
        <v>67110452.420000002</v>
      </c>
      <c r="S370">
        <v>41420559.380000003</v>
      </c>
      <c r="T370">
        <v>1359660.69</v>
      </c>
      <c r="U370">
        <v>2874936.22</v>
      </c>
      <c r="V370">
        <v>27656810.59</v>
      </c>
      <c r="W370">
        <f t="shared" si="110"/>
        <v>1.5906102108611139E-10</v>
      </c>
      <c r="X370">
        <f t="shared" si="112"/>
        <v>0.41210883838055934</v>
      </c>
    </row>
    <row r="371" spans="1:24">
      <c r="A371" s="33">
        <v>45421</v>
      </c>
      <c r="B371">
        <v>76.02</v>
      </c>
      <c r="C371" s="29">
        <f t="shared" si="105"/>
        <v>-4.0613127210795529E-3</v>
      </c>
      <c r="D371">
        <f t="shared" si="111"/>
        <v>8.883510346974724E-2</v>
      </c>
      <c r="E371">
        <v>70</v>
      </c>
      <c r="F371">
        <v>71.7</v>
      </c>
      <c r="G371">
        <f t="shared" si="106"/>
        <v>-2.399435426958367E-2</v>
      </c>
      <c r="H371">
        <v>71.739999999999995</v>
      </c>
      <c r="I371">
        <v>71.7</v>
      </c>
      <c r="J371">
        <f t="shared" si="107"/>
        <v>5.5772448410474121E-4</v>
      </c>
      <c r="K371">
        <v>387017</v>
      </c>
      <c r="L371">
        <v>335633933</v>
      </c>
      <c r="M371">
        <f t="shared" si="108"/>
        <v>29421032.34</v>
      </c>
      <c r="N371">
        <v>83908483</v>
      </c>
      <c r="O371">
        <f t="shared" si="109"/>
        <v>4.6123703606940434E-3</v>
      </c>
      <c r="P371">
        <v>72658.05</v>
      </c>
      <c r="Q371" s="8">
        <v>0.21590000000000001</v>
      </c>
      <c r="R371">
        <v>67110452.420000002</v>
      </c>
      <c r="S371">
        <v>41420559.380000003</v>
      </c>
      <c r="T371">
        <v>1359660.69</v>
      </c>
      <c r="U371">
        <v>2874936.22</v>
      </c>
      <c r="V371">
        <v>27656810.59</v>
      </c>
      <c r="W371">
        <f t="shared" si="110"/>
        <v>1.3804113581554741E-10</v>
      </c>
      <c r="X371">
        <f t="shared" si="112"/>
        <v>0.41210883838055934</v>
      </c>
    </row>
    <row r="372" spans="1:24">
      <c r="A372" s="33">
        <v>45420</v>
      </c>
      <c r="B372">
        <v>76.33</v>
      </c>
      <c r="C372" s="29">
        <f t="shared" si="105"/>
        <v>-1.7125933556528437E-2</v>
      </c>
      <c r="D372">
        <f t="shared" si="111"/>
        <v>8.883510346974724E-2</v>
      </c>
      <c r="E372">
        <v>69.75</v>
      </c>
      <c r="F372">
        <v>72.849999999999994</v>
      </c>
      <c r="G372">
        <f t="shared" si="106"/>
        <v>-4.347826086956514E-2</v>
      </c>
      <c r="H372">
        <v>70.75</v>
      </c>
      <c r="I372">
        <v>70.7</v>
      </c>
      <c r="J372">
        <f t="shared" si="107"/>
        <v>7.069635913750041E-4</v>
      </c>
      <c r="K372">
        <v>354877</v>
      </c>
      <c r="L372">
        <v>335633933</v>
      </c>
      <c r="M372">
        <f t="shared" si="108"/>
        <v>27087761.41</v>
      </c>
      <c r="N372">
        <v>83908483</v>
      </c>
      <c r="O372">
        <f t="shared" si="109"/>
        <v>4.2293339995194525E-3</v>
      </c>
      <c r="P372">
        <v>72601.820000000007</v>
      </c>
      <c r="Q372" s="8">
        <v>0.21590000000000001</v>
      </c>
      <c r="R372">
        <v>67110452.420000002</v>
      </c>
      <c r="S372">
        <v>41420559.380000003</v>
      </c>
      <c r="T372">
        <v>1359660.69</v>
      </c>
      <c r="U372">
        <v>2874936.22</v>
      </c>
      <c r="V372">
        <v>27656810.59</v>
      </c>
      <c r="W372">
        <f t="shared" si="110"/>
        <v>6.3223879217298658E-10</v>
      </c>
      <c r="X372">
        <f t="shared" si="112"/>
        <v>0.41210883838055934</v>
      </c>
    </row>
    <row r="373" spans="1:24">
      <c r="A373" s="33">
        <v>45419</v>
      </c>
      <c r="B373">
        <v>77.66</v>
      </c>
      <c r="C373" s="29">
        <f t="shared" si="105"/>
        <v>-1.3465447154471575E-2</v>
      </c>
      <c r="D373">
        <f t="shared" si="111"/>
        <v>8.883510346974724E-2</v>
      </c>
      <c r="E373">
        <v>70.900000000000006</v>
      </c>
      <c r="F373">
        <v>73.5</v>
      </c>
      <c r="G373">
        <f t="shared" si="106"/>
        <v>-3.6011080332409892E-2</v>
      </c>
      <c r="H373">
        <v>71.900000000000006</v>
      </c>
      <c r="I373">
        <v>71.650000000000006</v>
      </c>
      <c r="J373">
        <f t="shared" si="107"/>
        <v>3.4831069313827931E-3</v>
      </c>
      <c r="K373">
        <v>2400289</v>
      </c>
      <c r="L373">
        <v>335633933</v>
      </c>
      <c r="M373">
        <f t="shared" si="108"/>
        <v>186406443.73999998</v>
      </c>
      <c r="N373">
        <v>83908483</v>
      </c>
      <c r="O373">
        <f t="shared" si="109"/>
        <v>2.86060349821841E-2</v>
      </c>
      <c r="P373">
        <v>72761.2</v>
      </c>
      <c r="Q373" s="8">
        <v>0.21590000000000001</v>
      </c>
      <c r="R373">
        <v>67110452.420000002</v>
      </c>
      <c r="S373">
        <v>41420559.380000003</v>
      </c>
      <c r="T373">
        <v>1359660.69</v>
      </c>
      <c r="U373">
        <v>2874936.22</v>
      </c>
      <c r="V373">
        <v>27656810.59</v>
      </c>
      <c r="W373">
        <f t="shared" si="110"/>
        <v>7.2237026168758432E-11</v>
      </c>
      <c r="X373">
        <f t="shared" si="112"/>
        <v>0.41210883838055934</v>
      </c>
    </row>
    <row r="374" spans="1:24">
      <c r="A374" s="33">
        <v>45418</v>
      </c>
      <c r="B374">
        <v>78.72</v>
      </c>
      <c r="C374" s="29">
        <f t="shared" si="105"/>
        <v>-3.5443037974683686E-3</v>
      </c>
      <c r="D374">
        <f t="shared" si="111"/>
        <v>8.883510346974724E-2</v>
      </c>
      <c r="E374">
        <v>68.599999999999994</v>
      </c>
      <c r="F374">
        <v>71.5</v>
      </c>
      <c r="G374">
        <f t="shared" si="106"/>
        <v>-4.139900071377596E-2</v>
      </c>
      <c r="H374">
        <v>70</v>
      </c>
      <c r="I374">
        <v>69.5</v>
      </c>
      <c r="J374">
        <f t="shared" si="107"/>
        <v>7.1684587813620072E-3</v>
      </c>
      <c r="K374">
        <v>1286442</v>
      </c>
      <c r="L374">
        <v>335633933</v>
      </c>
      <c r="M374">
        <f t="shared" si="108"/>
        <v>101268714.23999999</v>
      </c>
      <c r="N374">
        <v>83908483</v>
      </c>
      <c r="O374">
        <f t="shared" si="109"/>
        <v>1.5331489189239662E-2</v>
      </c>
      <c r="P374">
        <v>72764.240000000005</v>
      </c>
      <c r="Q374" s="8">
        <v>0.21590000000000001</v>
      </c>
      <c r="R374">
        <v>67110452.420000002</v>
      </c>
      <c r="S374">
        <v>41420559.380000003</v>
      </c>
      <c r="T374">
        <v>1359660.69</v>
      </c>
      <c r="U374">
        <v>2874936.22</v>
      </c>
      <c r="V374">
        <v>27656810.59</v>
      </c>
      <c r="W374">
        <f t="shared" si="110"/>
        <v>3.499900066933415E-11</v>
      </c>
      <c r="X374">
        <f t="shared" si="112"/>
        <v>0.41210883838055934</v>
      </c>
    </row>
    <row r="375" spans="1:24">
      <c r="A375" s="33">
        <v>45415</v>
      </c>
      <c r="B375">
        <v>79</v>
      </c>
      <c r="C375" s="29">
        <f t="shared" si="105"/>
        <v>1.6600180156994035E-2</v>
      </c>
      <c r="D375">
        <f t="shared" si="111"/>
        <v>8.883510346974724E-2</v>
      </c>
      <c r="E375">
        <v>64.11</v>
      </c>
      <c r="F375">
        <v>69.099999999999994</v>
      </c>
      <c r="G375">
        <f t="shared" si="106"/>
        <v>-7.4919300352826304E-2</v>
      </c>
      <c r="H375">
        <v>68.400000000000006</v>
      </c>
      <c r="I375">
        <v>68.099999999999994</v>
      </c>
      <c r="J375">
        <f t="shared" si="107"/>
        <v>4.3956043956045621E-3</v>
      </c>
      <c r="K375">
        <v>1123920</v>
      </c>
      <c r="L375">
        <v>335633933</v>
      </c>
      <c r="M375">
        <f t="shared" si="108"/>
        <v>88789680</v>
      </c>
      <c r="N375">
        <v>83908483</v>
      </c>
      <c r="O375">
        <f t="shared" si="109"/>
        <v>1.3394593249886308E-2</v>
      </c>
      <c r="P375">
        <v>71902.09</v>
      </c>
      <c r="Q375" s="8">
        <v>0.21590000000000001</v>
      </c>
      <c r="R375">
        <v>67110452.420000002</v>
      </c>
      <c r="S375">
        <v>41420559.380000003</v>
      </c>
      <c r="T375">
        <v>1359660.69</v>
      </c>
      <c r="U375">
        <v>2874936.22</v>
      </c>
      <c r="V375">
        <v>27656810.59</v>
      </c>
      <c r="W375">
        <f t="shared" si="110"/>
        <v>1.8696069359630574E-10</v>
      </c>
      <c r="X375">
        <f t="shared" si="112"/>
        <v>0.41210883838055934</v>
      </c>
    </row>
    <row r="376" spans="1:24">
      <c r="A376" s="33">
        <v>45414</v>
      </c>
      <c r="B376">
        <v>77.709999999999994</v>
      </c>
      <c r="C376" s="29">
        <f t="shared" si="105"/>
        <v>3.4891463577040753E-2</v>
      </c>
      <c r="D376">
        <f t="shared" si="111"/>
        <v>8.883510346974724E-2</v>
      </c>
      <c r="E376">
        <v>63</v>
      </c>
      <c r="F376">
        <v>65.5</v>
      </c>
      <c r="G376">
        <f t="shared" si="106"/>
        <v>-3.8910505836575876E-2</v>
      </c>
      <c r="H376">
        <v>64.900000000000006</v>
      </c>
      <c r="I376">
        <v>64.41</v>
      </c>
      <c r="J376">
        <f t="shared" si="107"/>
        <v>7.5786868764984782E-3</v>
      </c>
      <c r="K376">
        <v>565234</v>
      </c>
      <c r="L376">
        <v>335633933</v>
      </c>
      <c r="M376">
        <f t="shared" si="108"/>
        <v>43924334.139999993</v>
      </c>
      <c r="N376">
        <v>83908483</v>
      </c>
      <c r="O376">
        <f t="shared" si="109"/>
        <v>6.7363153258294516E-3</v>
      </c>
      <c r="P376">
        <v>70657.64</v>
      </c>
      <c r="Q376" s="8">
        <v>0.21590000000000001</v>
      </c>
      <c r="R376">
        <v>67110452.420000002</v>
      </c>
      <c r="S376">
        <v>41420559.380000003</v>
      </c>
      <c r="T376">
        <v>1359660.69</v>
      </c>
      <c r="U376">
        <v>2874936.22</v>
      </c>
      <c r="V376">
        <v>27656810.59</v>
      </c>
      <c r="W376">
        <f t="shared" si="110"/>
        <v>7.9435384190073821E-10</v>
      </c>
      <c r="X376">
        <f t="shared" si="112"/>
        <v>0.41210883838055934</v>
      </c>
    </row>
    <row r="377" spans="1:24">
      <c r="A377" s="33">
        <v>45412</v>
      </c>
      <c r="B377">
        <v>75.09</v>
      </c>
      <c r="C377" s="29">
        <f t="shared" si="105"/>
        <v>-2.3283038501560771E-2</v>
      </c>
      <c r="D377">
        <f t="shared" si="111"/>
        <v>8.883510346974724E-2</v>
      </c>
      <c r="E377">
        <v>62.01</v>
      </c>
      <c r="F377">
        <v>67.489999999999995</v>
      </c>
      <c r="G377">
        <f t="shared" si="106"/>
        <v>-8.463320463320459E-2</v>
      </c>
      <c r="H377">
        <v>63.91</v>
      </c>
      <c r="I377">
        <v>63.61</v>
      </c>
      <c r="J377">
        <f t="shared" si="107"/>
        <v>4.7051442910915489E-3</v>
      </c>
      <c r="K377">
        <v>2285608</v>
      </c>
      <c r="L377">
        <v>335633933</v>
      </c>
      <c r="M377">
        <f t="shared" si="108"/>
        <v>171626304.72</v>
      </c>
      <c r="N377">
        <v>83908483</v>
      </c>
      <c r="O377">
        <f t="shared" si="109"/>
        <v>2.7239295936264275E-2</v>
      </c>
      <c r="P377">
        <v>71102.55</v>
      </c>
      <c r="Q377" s="8">
        <v>0.21590000000000001</v>
      </c>
      <c r="R377">
        <v>67110452.420000002</v>
      </c>
      <c r="S377">
        <v>41420559.380000003</v>
      </c>
      <c r="T377">
        <v>1359660.69</v>
      </c>
      <c r="U377">
        <v>2874936.22</v>
      </c>
      <c r="V377">
        <v>27656810.59</v>
      </c>
      <c r="W377">
        <f t="shared" si="110"/>
        <v>1.3566124691402008E-10</v>
      </c>
      <c r="X377">
        <f t="shared" si="112"/>
        <v>0.41210883838055934</v>
      </c>
    </row>
    <row r="378" spans="1:24">
      <c r="A378" s="33">
        <v>45411</v>
      </c>
      <c r="B378">
        <v>76.88</v>
      </c>
      <c r="C378" s="29">
        <f t="shared" si="105"/>
        <v>-1.4864172219374817E-2</v>
      </c>
      <c r="D378">
        <f t="shared" si="111"/>
        <v>8.883510346974724E-2</v>
      </c>
      <c r="E378">
        <v>66.3</v>
      </c>
      <c r="F378">
        <v>69.599999999999994</v>
      </c>
      <c r="G378">
        <f t="shared" si="106"/>
        <v>-4.8565121412803496E-2</v>
      </c>
      <c r="H378">
        <v>66.849999999999994</v>
      </c>
      <c r="I378">
        <v>66.84</v>
      </c>
      <c r="J378">
        <f t="shared" si="107"/>
        <v>1.4959982048007937E-4</v>
      </c>
      <c r="K378">
        <v>1351050</v>
      </c>
      <c r="L378">
        <v>335633933</v>
      </c>
      <c r="M378">
        <f t="shared" si="108"/>
        <v>103868724</v>
      </c>
      <c r="N378">
        <v>83908483</v>
      </c>
      <c r="O378">
        <f t="shared" si="109"/>
        <v>1.6101470932325161E-2</v>
      </c>
      <c r="P378">
        <v>71695.03</v>
      </c>
      <c r="Q378" s="8">
        <v>0.21640000000000001</v>
      </c>
      <c r="R378">
        <v>67110452.420000002</v>
      </c>
      <c r="S378">
        <v>41420559.380000003</v>
      </c>
      <c r="T378">
        <v>1359660.69</v>
      </c>
      <c r="U378">
        <v>2874936.22</v>
      </c>
      <c r="V378">
        <v>27656810.59</v>
      </c>
      <c r="W378">
        <f t="shared" si="110"/>
        <v>1.4310537038439808E-10</v>
      </c>
      <c r="X378">
        <f t="shared" si="112"/>
        <v>0.41210883838055934</v>
      </c>
    </row>
    <row r="379" spans="1:24">
      <c r="A379" s="33">
        <v>45408</v>
      </c>
      <c r="B379">
        <v>78.040000000000006</v>
      </c>
      <c r="C379" s="29">
        <f t="shared" si="105"/>
        <v>2.3878247179218149E-2</v>
      </c>
      <c r="D379">
        <f t="shared" si="111"/>
        <v>8.883510346974724E-2</v>
      </c>
      <c r="E379">
        <v>67.25</v>
      </c>
      <c r="F379">
        <v>69.510000000000005</v>
      </c>
      <c r="G379">
        <f t="shared" si="106"/>
        <v>-3.3050599590523623E-2</v>
      </c>
      <c r="H379">
        <v>68.75</v>
      </c>
      <c r="I379">
        <v>68.55</v>
      </c>
      <c r="J379">
        <f t="shared" si="107"/>
        <v>2.9133284777859117E-3</v>
      </c>
      <c r="K379">
        <v>1500722</v>
      </c>
      <c r="L379">
        <v>335633933</v>
      </c>
      <c r="M379">
        <f t="shared" si="108"/>
        <v>117116344.88000001</v>
      </c>
      <c r="N379">
        <v>83908483</v>
      </c>
      <c r="O379">
        <f t="shared" si="109"/>
        <v>1.7885223833685564E-2</v>
      </c>
      <c r="P379">
        <v>72742.75</v>
      </c>
      <c r="Q379" s="8">
        <v>0.21640000000000001</v>
      </c>
      <c r="R379">
        <v>67110452.420000002</v>
      </c>
      <c r="S379">
        <v>41420559.380000003</v>
      </c>
      <c r="T379">
        <v>1359660.69</v>
      </c>
      <c r="U379">
        <v>2874936.22</v>
      </c>
      <c r="V379">
        <v>27656810.59</v>
      </c>
      <c r="W379">
        <f t="shared" si="110"/>
        <v>2.0388483950454846E-10</v>
      </c>
      <c r="X379">
        <f t="shared" si="112"/>
        <v>0.41210883838055934</v>
      </c>
    </row>
    <row r="380" spans="1:24">
      <c r="A380" s="33">
        <v>45407</v>
      </c>
      <c r="B380">
        <v>76.22</v>
      </c>
      <c r="C380" s="29">
        <f t="shared" si="105"/>
        <v>7.2614691809738202E-2</v>
      </c>
      <c r="D380">
        <f t="shared" si="111"/>
        <v>8.883510346974724E-2</v>
      </c>
      <c r="E380">
        <v>67</v>
      </c>
      <c r="F380">
        <v>70.349999999999994</v>
      </c>
      <c r="G380">
        <f t="shared" si="106"/>
        <v>-4.8780487804877967E-2</v>
      </c>
      <c r="H380">
        <v>68.25</v>
      </c>
      <c r="I380">
        <v>67.959999999999994</v>
      </c>
      <c r="J380">
        <f t="shared" si="107"/>
        <v>4.2581308273989616E-3</v>
      </c>
      <c r="K380">
        <v>830039</v>
      </c>
      <c r="L380">
        <v>335633933</v>
      </c>
      <c r="M380">
        <f t="shared" si="108"/>
        <v>63265572.579999998</v>
      </c>
      <c r="N380">
        <v>83908483</v>
      </c>
      <c r="O380">
        <f t="shared" si="109"/>
        <v>9.8921940943682649E-3</v>
      </c>
      <c r="P380">
        <v>71971.399999999994</v>
      </c>
      <c r="Q380" s="8">
        <v>0.21640000000000001</v>
      </c>
      <c r="R380">
        <v>67110452.420000002</v>
      </c>
      <c r="S380">
        <v>41420559.380000003</v>
      </c>
      <c r="T380">
        <v>1359660.69</v>
      </c>
      <c r="U380">
        <v>2874936.22</v>
      </c>
      <c r="V380">
        <v>27656810.59</v>
      </c>
      <c r="W380">
        <f t="shared" si="110"/>
        <v>1.147775778333724E-9</v>
      </c>
      <c r="X380">
        <f t="shared" si="112"/>
        <v>0.41210883838055934</v>
      </c>
    </row>
    <row r="381" spans="1:24">
      <c r="A381" s="33">
        <v>45406</v>
      </c>
      <c r="B381">
        <v>71.06</v>
      </c>
      <c r="C381" s="29">
        <f t="shared" si="105"/>
        <v>5.5186076128484586E-3</v>
      </c>
      <c r="D381">
        <f t="shared" si="111"/>
        <v>8.883510346974724E-2</v>
      </c>
      <c r="E381">
        <v>66.19</v>
      </c>
      <c r="F381">
        <v>69.75</v>
      </c>
      <c r="G381">
        <f t="shared" si="106"/>
        <v>-5.2376048256583818E-2</v>
      </c>
      <c r="H381">
        <v>69.739999999999995</v>
      </c>
      <c r="I381">
        <v>69.599999999999994</v>
      </c>
      <c r="J381">
        <f t="shared" si="107"/>
        <v>2.0094732309458964E-3</v>
      </c>
      <c r="K381">
        <v>2501736</v>
      </c>
      <c r="L381">
        <v>335633933</v>
      </c>
      <c r="M381">
        <f t="shared" si="108"/>
        <v>177773360.16</v>
      </c>
      <c r="N381">
        <v>83908483</v>
      </c>
      <c r="O381">
        <f t="shared" si="109"/>
        <v>2.9815054575590409E-2</v>
      </c>
      <c r="P381">
        <v>72051.89</v>
      </c>
      <c r="Q381" s="8">
        <v>0.21640000000000001</v>
      </c>
      <c r="R381">
        <v>67110452.420000002</v>
      </c>
      <c r="S381">
        <v>41420559.380000003</v>
      </c>
      <c r="T381">
        <v>1359660.69</v>
      </c>
      <c r="U381">
        <v>2874936.22</v>
      </c>
      <c r="V381">
        <v>27656810.59</v>
      </c>
      <c r="W381">
        <f t="shared" si="110"/>
        <v>3.104293921137334E-11</v>
      </c>
      <c r="X381">
        <f t="shared" si="112"/>
        <v>0.41210883838055934</v>
      </c>
    </row>
    <row r="382" spans="1:24">
      <c r="A382" s="33">
        <v>45405</v>
      </c>
      <c r="B382">
        <v>70.67</v>
      </c>
      <c r="C382" s="29">
        <f t="shared" si="105"/>
        <v>-1.27130483375244E-2</v>
      </c>
      <c r="D382">
        <f t="shared" si="111"/>
        <v>8.883510346974724E-2</v>
      </c>
      <c r="E382">
        <v>65</v>
      </c>
      <c r="F382">
        <v>67.5</v>
      </c>
      <c r="G382">
        <f t="shared" si="106"/>
        <v>-3.7735849056603772E-2</v>
      </c>
      <c r="H382">
        <v>66.45</v>
      </c>
      <c r="I382">
        <v>66.02</v>
      </c>
      <c r="J382">
        <f t="shared" si="107"/>
        <v>6.4920359326641024E-3</v>
      </c>
      <c r="K382">
        <v>1653900</v>
      </c>
      <c r="L382">
        <v>335633933</v>
      </c>
      <c r="M382">
        <f t="shared" si="108"/>
        <v>116881113</v>
      </c>
      <c r="N382">
        <v>83908483</v>
      </c>
      <c r="O382">
        <f t="shared" si="109"/>
        <v>1.971076035303844E-2</v>
      </c>
      <c r="P382">
        <v>71359.41</v>
      </c>
      <c r="Q382" s="8">
        <v>0.21640000000000001</v>
      </c>
      <c r="R382">
        <v>67110452.420000002</v>
      </c>
      <c r="S382">
        <v>41420559.380000003</v>
      </c>
      <c r="T382">
        <v>1359660.69</v>
      </c>
      <c r="U382">
        <v>2874936.22</v>
      </c>
      <c r="V382">
        <v>27656810.59</v>
      </c>
      <c r="W382">
        <f t="shared" si="110"/>
        <v>1.0876905610510742E-10</v>
      </c>
      <c r="X382">
        <f t="shared" si="112"/>
        <v>0.41210883838055934</v>
      </c>
    </row>
    <row r="383" spans="1:24">
      <c r="A383" s="33">
        <v>45404</v>
      </c>
      <c r="B383">
        <v>71.58</v>
      </c>
      <c r="C383" s="29">
        <f t="shared" si="105"/>
        <v>1.9658119658119592E-2</v>
      </c>
      <c r="D383">
        <f t="shared" si="111"/>
        <v>8.883510346974724E-2</v>
      </c>
      <c r="E383">
        <v>63</v>
      </c>
      <c r="F383">
        <v>65.8</v>
      </c>
      <c r="G383">
        <f t="shared" si="106"/>
        <v>-4.3478260869565168E-2</v>
      </c>
      <c r="H383">
        <v>64.5</v>
      </c>
      <c r="I383">
        <v>64.489999999999995</v>
      </c>
      <c r="J383">
        <f t="shared" si="107"/>
        <v>1.5505077913024445E-4</v>
      </c>
      <c r="K383">
        <v>888907</v>
      </c>
      <c r="L383">
        <v>335633933</v>
      </c>
      <c r="M383">
        <f t="shared" si="108"/>
        <v>63627963.059999995</v>
      </c>
      <c r="N383">
        <v>83908483</v>
      </c>
      <c r="O383">
        <f t="shared" si="109"/>
        <v>1.0593767974568197E-2</v>
      </c>
      <c r="P383">
        <v>71433.460000000006</v>
      </c>
      <c r="Q383" s="8">
        <v>0.21640000000000001</v>
      </c>
      <c r="R383">
        <v>67110452.420000002</v>
      </c>
      <c r="S383">
        <v>41420559.380000003</v>
      </c>
      <c r="T383">
        <v>1359660.69</v>
      </c>
      <c r="U383">
        <v>2874936.22</v>
      </c>
      <c r="V383">
        <v>27656810.59</v>
      </c>
      <c r="W383">
        <f t="shared" si="110"/>
        <v>3.0895409365191128E-10</v>
      </c>
      <c r="X383">
        <f t="shared" si="112"/>
        <v>0.41210883838055934</v>
      </c>
    </row>
    <row r="384" spans="1:24">
      <c r="A384" s="33">
        <v>45401</v>
      </c>
      <c r="B384">
        <v>70.2</v>
      </c>
      <c r="C384" s="29">
        <f t="shared" si="105"/>
        <v>3.038309114927356E-2</v>
      </c>
      <c r="D384">
        <f t="shared" si="111"/>
        <v>8.883510346974724E-2</v>
      </c>
      <c r="E384">
        <v>63.02</v>
      </c>
      <c r="F384">
        <v>63.89</v>
      </c>
      <c r="G384">
        <f t="shared" si="106"/>
        <v>-1.3710503506421834E-2</v>
      </c>
      <c r="H384">
        <v>63.4</v>
      </c>
      <c r="I384">
        <v>63.33</v>
      </c>
      <c r="J384">
        <f t="shared" si="107"/>
        <v>1.1047108024934947E-3</v>
      </c>
      <c r="K384">
        <v>134407</v>
      </c>
      <c r="L384">
        <v>335633933</v>
      </c>
      <c r="M384">
        <f t="shared" si="108"/>
        <v>9435371.4000000004</v>
      </c>
      <c r="N384">
        <v>83908483</v>
      </c>
      <c r="O384">
        <f t="shared" si="109"/>
        <v>1.6018285064216928E-3</v>
      </c>
      <c r="P384">
        <v>70909.899999999994</v>
      </c>
      <c r="Q384" s="8">
        <v>0.21640000000000001</v>
      </c>
      <c r="R384">
        <v>67110452.420000002</v>
      </c>
      <c r="S384">
        <v>41420559.380000003</v>
      </c>
      <c r="T384">
        <v>1359660.69</v>
      </c>
      <c r="U384">
        <v>2874936.22</v>
      </c>
      <c r="V384">
        <v>27656810.59</v>
      </c>
      <c r="W384">
        <f t="shared" si="110"/>
        <v>3.2201266766535083E-9</v>
      </c>
      <c r="X384">
        <f t="shared" si="112"/>
        <v>0.41210883838055934</v>
      </c>
    </row>
    <row r="385" spans="1:24">
      <c r="A385" s="33">
        <v>45400</v>
      </c>
      <c r="B385">
        <v>68.13</v>
      </c>
      <c r="C385" s="29">
        <f t="shared" si="105"/>
        <v>5.8083553346792903E-2</v>
      </c>
      <c r="D385">
        <f t="shared" si="111"/>
        <v>8.883510346974724E-2</v>
      </c>
      <c r="E385">
        <v>63.5</v>
      </c>
      <c r="F385">
        <v>64.489999999999995</v>
      </c>
      <c r="G385">
        <f t="shared" si="106"/>
        <v>-1.5469958590514804E-2</v>
      </c>
      <c r="H385">
        <v>63.8</v>
      </c>
      <c r="I385">
        <v>63.53</v>
      </c>
      <c r="J385">
        <f t="shared" si="107"/>
        <v>4.2409487159349099E-3</v>
      </c>
      <c r="K385">
        <v>186978</v>
      </c>
      <c r="L385">
        <v>335633933</v>
      </c>
      <c r="M385">
        <f t="shared" si="108"/>
        <v>12738811.139999999</v>
      </c>
      <c r="N385">
        <v>83908483</v>
      </c>
      <c r="O385">
        <f t="shared" si="109"/>
        <v>2.2283563391320041E-3</v>
      </c>
      <c r="P385">
        <v>70290.12</v>
      </c>
      <c r="Q385" s="8">
        <v>0.21640000000000001</v>
      </c>
      <c r="R385">
        <v>67110452.420000002</v>
      </c>
      <c r="S385">
        <v>41420559.380000003</v>
      </c>
      <c r="T385">
        <v>1359660.69</v>
      </c>
      <c r="U385">
        <v>2874936.22</v>
      </c>
      <c r="V385">
        <v>27656810.59</v>
      </c>
      <c r="W385">
        <f t="shared" si="110"/>
        <v>4.559574100632511E-9</v>
      </c>
      <c r="X385">
        <f t="shared" si="112"/>
        <v>0.41210883838055934</v>
      </c>
    </row>
    <row r="386" spans="1:24">
      <c r="A386" s="33">
        <v>45399</v>
      </c>
      <c r="B386">
        <v>64.39</v>
      </c>
      <c r="C386" s="29">
        <f t="shared" si="105"/>
        <v>1.0514752040175795E-2</v>
      </c>
      <c r="D386">
        <f t="shared" si="111"/>
        <v>8.883510346974724E-2</v>
      </c>
      <c r="E386">
        <v>63.75</v>
      </c>
      <c r="F386">
        <v>64.97</v>
      </c>
      <c r="G386">
        <f t="shared" si="106"/>
        <v>-1.8955873213175867E-2</v>
      </c>
      <c r="H386">
        <v>63.9</v>
      </c>
      <c r="I386">
        <v>63.8</v>
      </c>
      <c r="J386">
        <f t="shared" si="107"/>
        <v>1.5661707126076966E-3</v>
      </c>
      <c r="K386">
        <v>324976</v>
      </c>
      <c r="L386">
        <v>335633933</v>
      </c>
      <c r="M386">
        <f t="shared" si="108"/>
        <v>20925204.640000001</v>
      </c>
      <c r="N386">
        <v>83908483</v>
      </c>
      <c r="O386">
        <f t="shared" si="109"/>
        <v>3.8729814719686922E-3</v>
      </c>
      <c r="P386">
        <v>70333.320000000007</v>
      </c>
      <c r="Q386" s="8">
        <v>0.21640000000000001</v>
      </c>
      <c r="R386">
        <v>67110452.420000002</v>
      </c>
      <c r="S386">
        <v>41420559.380000003</v>
      </c>
      <c r="T386">
        <v>1359660.69</v>
      </c>
      <c r="U386">
        <v>2874936.22</v>
      </c>
      <c r="V386">
        <v>27656810.59</v>
      </c>
      <c r="W386">
        <f t="shared" si="110"/>
        <v>5.0249219642402477E-10</v>
      </c>
      <c r="X386">
        <f t="shared" si="112"/>
        <v>0.41210883838055934</v>
      </c>
    </row>
    <row r="387" spans="1:24">
      <c r="A387" s="33">
        <v>45398</v>
      </c>
      <c r="B387">
        <v>63.72</v>
      </c>
      <c r="C387" s="29">
        <f t="shared" si="105"/>
        <v>-4.5250224752771892E-2</v>
      </c>
      <c r="D387">
        <f t="shared" si="111"/>
        <v>8.883510346974724E-2</v>
      </c>
      <c r="E387">
        <v>64.05</v>
      </c>
      <c r="F387">
        <v>67.5</v>
      </c>
      <c r="G387">
        <f t="shared" si="106"/>
        <v>-5.245153933865454E-2</v>
      </c>
      <c r="H387">
        <v>64.78</v>
      </c>
      <c r="I387">
        <v>64.599999999999994</v>
      </c>
      <c r="J387">
        <f t="shared" si="107"/>
        <v>2.7825011593755884E-3</v>
      </c>
      <c r="K387">
        <v>900843</v>
      </c>
      <c r="L387">
        <v>335633933</v>
      </c>
      <c r="M387">
        <f t="shared" si="108"/>
        <v>57401715.960000001</v>
      </c>
      <c r="N387">
        <v>83908483</v>
      </c>
      <c r="O387">
        <f t="shared" si="109"/>
        <v>1.0736018192582507E-2</v>
      </c>
      <c r="P387">
        <v>70483.66</v>
      </c>
      <c r="Q387" s="8">
        <v>0.216</v>
      </c>
      <c r="R387">
        <v>67110452.420000002</v>
      </c>
      <c r="S387">
        <v>41420559.380000003</v>
      </c>
      <c r="T387">
        <v>1359660.69</v>
      </c>
      <c r="U387">
        <v>2874936.22</v>
      </c>
      <c r="V387">
        <v>27656810.59</v>
      </c>
      <c r="W387">
        <f t="shared" si="110"/>
        <v>7.8830787540052301E-10</v>
      </c>
      <c r="X387">
        <f t="shared" si="112"/>
        <v>0.41210883838055934</v>
      </c>
    </row>
    <row r="388" spans="1:24">
      <c r="A388" s="33">
        <v>45397</v>
      </c>
      <c r="B388">
        <v>66.739999999999995</v>
      </c>
      <c r="C388" s="29">
        <f t="shared" si="105"/>
        <v>-2.8671226895648362E-2</v>
      </c>
      <c r="D388">
        <f t="shared" si="111"/>
        <v>8.883510346974724E-2</v>
      </c>
      <c r="E388">
        <v>64.5</v>
      </c>
      <c r="F388">
        <v>65.98</v>
      </c>
      <c r="G388">
        <f t="shared" si="106"/>
        <v>-2.2685469037400426E-2</v>
      </c>
      <c r="H388">
        <v>64.989999999999995</v>
      </c>
      <c r="I388">
        <v>64.849999999999994</v>
      </c>
      <c r="J388">
        <f t="shared" si="107"/>
        <v>2.156500308071482E-3</v>
      </c>
      <c r="K388">
        <v>454580</v>
      </c>
      <c r="L388">
        <v>335633933</v>
      </c>
      <c r="M388">
        <f t="shared" si="108"/>
        <v>30338669.199999999</v>
      </c>
      <c r="N388">
        <v>83908483</v>
      </c>
      <c r="O388">
        <f t="shared" si="109"/>
        <v>5.4175690436448478E-3</v>
      </c>
      <c r="P388">
        <v>70544.58</v>
      </c>
      <c r="Q388" s="8">
        <v>0.216</v>
      </c>
      <c r="R388">
        <v>67110452.420000002</v>
      </c>
      <c r="S388">
        <v>41420559.380000003</v>
      </c>
      <c r="T388">
        <v>1359660.69</v>
      </c>
      <c r="U388">
        <v>2874936.22</v>
      </c>
      <c r="V388">
        <v>27656810.59</v>
      </c>
      <c r="W388">
        <f t="shared" si="110"/>
        <v>9.4503904263699093E-10</v>
      </c>
      <c r="X388">
        <f t="shared" si="112"/>
        <v>0.41210883838055934</v>
      </c>
    </row>
    <row r="389" spans="1:24">
      <c r="A389" s="33">
        <v>45391</v>
      </c>
      <c r="B389">
        <v>68.709999999999994</v>
      </c>
      <c r="C389" s="29">
        <f t="shared" si="105"/>
        <v>1.0589792616561244E-2</v>
      </c>
      <c r="D389">
        <f t="shared" si="111"/>
        <v>8.883510346974724E-2</v>
      </c>
      <c r="E389">
        <v>66</v>
      </c>
      <c r="F389">
        <v>67.739999999999995</v>
      </c>
      <c r="G389">
        <f t="shared" si="106"/>
        <v>-2.6020637056976145E-2</v>
      </c>
      <c r="H389">
        <v>66.599999999999994</v>
      </c>
      <c r="I389">
        <v>66.510000000000005</v>
      </c>
      <c r="J389">
        <f t="shared" si="107"/>
        <v>1.3522650439484515E-3</v>
      </c>
      <c r="K389">
        <v>692361</v>
      </c>
      <c r="L389">
        <v>335633933</v>
      </c>
      <c r="M389">
        <f t="shared" si="108"/>
        <v>47572124.309999995</v>
      </c>
      <c r="N389">
        <v>83908483</v>
      </c>
      <c r="O389">
        <f t="shared" si="109"/>
        <v>8.2513826402987166E-3</v>
      </c>
      <c r="P389">
        <v>70314.720000000001</v>
      </c>
      <c r="Q389" s="8">
        <v>0.216</v>
      </c>
      <c r="R389">
        <v>67110452.420000002</v>
      </c>
      <c r="S389">
        <v>41420559.380000003</v>
      </c>
      <c r="T389">
        <v>1359660.69</v>
      </c>
      <c r="U389">
        <v>2874936.22</v>
      </c>
      <c r="V389">
        <v>27656810.59</v>
      </c>
      <c r="W389">
        <f t="shared" si="110"/>
        <v>2.2260499757281587E-10</v>
      </c>
      <c r="X389">
        <f t="shared" si="112"/>
        <v>0.41210883838055934</v>
      </c>
    </row>
    <row r="390" spans="1:24">
      <c r="A390" s="33">
        <v>45390</v>
      </c>
      <c r="B390">
        <v>67.989999999999995</v>
      </c>
      <c r="C390" s="29">
        <f t="shared" si="105"/>
        <v>-2.0458147241031576E-2</v>
      </c>
      <c r="D390">
        <f t="shared" si="111"/>
        <v>8.883510346974724E-2</v>
      </c>
      <c r="E390">
        <v>64</v>
      </c>
      <c r="F390">
        <v>67.47</v>
      </c>
      <c r="G390">
        <f t="shared" si="106"/>
        <v>-5.2787708222408136E-2</v>
      </c>
      <c r="H390">
        <v>66.75</v>
      </c>
      <c r="I390">
        <v>66.650000000000006</v>
      </c>
      <c r="J390">
        <f t="shared" si="107"/>
        <v>1.4992503748125084E-3</v>
      </c>
      <c r="K390">
        <v>545396</v>
      </c>
      <c r="L390">
        <v>335633933</v>
      </c>
      <c r="M390">
        <f t="shared" si="108"/>
        <v>37081474.039999999</v>
      </c>
      <c r="N390">
        <v>83908483</v>
      </c>
      <c r="O390">
        <f t="shared" si="109"/>
        <v>6.4998910777590863E-3</v>
      </c>
      <c r="P390">
        <v>69619.990000000005</v>
      </c>
      <c r="Q390" s="8">
        <v>0.216</v>
      </c>
      <c r="R390">
        <v>67110452.420000002</v>
      </c>
      <c r="S390">
        <v>41420559.380000003</v>
      </c>
      <c r="T390">
        <v>1359660.69</v>
      </c>
      <c r="U390">
        <v>2874936.22</v>
      </c>
      <c r="V390">
        <v>27656810.59</v>
      </c>
      <c r="W390">
        <f t="shared" si="110"/>
        <v>5.5170803671297574E-10</v>
      </c>
      <c r="X390">
        <f t="shared" si="112"/>
        <v>0.41210883838055934</v>
      </c>
    </row>
    <row r="391" spans="1:24">
      <c r="A391" s="33">
        <v>45386</v>
      </c>
      <c r="B391">
        <v>69.41</v>
      </c>
      <c r="C391" s="29">
        <f t="shared" si="105"/>
        <v>4.8647831998791344E-2</v>
      </c>
      <c r="D391">
        <f t="shared" si="111"/>
        <v>8.883510346974724E-2</v>
      </c>
      <c r="E391">
        <v>64.400000000000006</v>
      </c>
      <c r="F391">
        <v>65.89</v>
      </c>
      <c r="G391">
        <f t="shared" si="106"/>
        <v>-2.2872054647325116E-2</v>
      </c>
      <c r="H391">
        <v>64.5</v>
      </c>
      <c r="I391">
        <v>64.400000000000006</v>
      </c>
      <c r="J391">
        <f t="shared" si="107"/>
        <v>1.5515903801395549E-3</v>
      </c>
      <c r="K391">
        <v>153968</v>
      </c>
      <c r="L391">
        <v>335633933</v>
      </c>
      <c r="M391">
        <f t="shared" si="108"/>
        <v>10686918.879999999</v>
      </c>
      <c r="N391">
        <v>83908483</v>
      </c>
      <c r="O391">
        <f t="shared" si="109"/>
        <v>1.8349515388092525E-3</v>
      </c>
      <c r="P391">
        <v>68416.78</v>
      </c>
      <c r="Q391" s="8">
        <v>0.216</v>
      </c>
      <c r="R391">
        <v>67110452.420000002</v>
      </c>
      <c r="S391">
        <v>41420559.380000003</v>
      </c>
      <c r="T391">
        <v>1359660.69</v>
      </c>
      <c r="U391">
        <v>2874936.22</v>
      </c>
      <c r="V391">
        <v>27656810.59</v>
      </c>
      <c r="W391">
        <f t="shared" si="110"/>
        <v>4.5520914442265657E-9</v>
      </c>
      <c r="X391">
        <f t="shared" si="112"/>
        <v>0.41210883838055934</v>
      </c>
    </row>
    <row r="392" spans="1:24">
      <c r="A392" s="33">
        <v>45385</v>
      </c>
      <c r="B392">
        <v>66.19</v>
      </c>
      <c r="C392" s="29">
        <f t="shared" si="105"/>
        <v>2.3662233219919598E-2</v>
      </c>
      <c r="D392">
        <f t="shared" si="111"/>
        <v>8.883510346974724E-2</v>
      </c>
      <c r="E392">
        <v>61.43</v>
      </c>
      <c r="F392">
        <v>65.540000000000006</v>
      </c>
      <c r="G392">
        <f t="shared" si="106"/>
        <v>-6.4739702291880072E-2</v>
      </c>
      <c r="H392">
        <v>64.680000000000007</v>
      </c>
      <c r="I392">
        <v>64.52</v>
      </c>
      <c r="J392">
        <f t="shared" si="107"/>
        <v>2.4767801857586815E-3</v>
      </c>
      <c r="K392">
        <v>524673</v>
      </c>
      <c r="L392">
        <v>335633933</v>
      </c>
      <c r="M392">
        <f t="shared" si="108"/>
        <v>34728105.869999997</v>
      </c>
      <c r="N392">
        <v>83908483</v>
      </c>
      <c r="O392">
        <f t="shared" si="109"/>
        <v>6.2529196243483508E-3</v>
      </c>
      <c r="P392">
        <v>67756.039999999994</v>
      </c>
      <c r="Q392" s="8">
        <v>0.216</v>
      </c>
      <c r="R392">
        <v>67110452.420000002</v>
      </c>
      <c r="S392">
        <v>41420559.380000003</v>
      </c>
      <c r="T392">
        <v>1359660.69</v>
      </c>
      <c r="U392">
        <v>2874936.22</v>
      </c>
      <c r="V392">
        <v>27656810.59</v>
      </c>
      <c r="W392">
        <f t="shared" si="110"/>
        <v>6.8135686145671147E-10</v>
      </c>
      <c r="X392">
        <f t="shared" si="112"/>
        <v>0.41210883838055934</v>
      </c>
    </row>
    <row r="393" spans="1:24">
      <c r="A393" s="33">
        <v>45384</v>
      </c>
      <c r="B393">
        <v>64.66</v>
      </c>
      <c r="C393" s="29">
        <f t="shared" si="105"/>
        <v>2.0839911588253761E-2</v>
      </c>
      <c r="D393">
        <f t="shared" si="111"/>
        <v>8.883510346974724E-2</v>
      </c>
      <c r="E393">
        <v>61.21</v>
      </c>
      <c r="F393">
        <v>62.99</v>
      </c>
      <c r="G393">
        <f t="shared" si="106"/>
        <v>-2.8663446054750422E-2</v>
      </c>
      <c r="H393">
        <v>61.75</v>
      </c>
      <c r="I393">
        <v>61.7</v>
      </c>
      <c r="J393">
        <f t="shared" si="107"/>
        <v>8.1004455245033873E-4</v>
      </c>
      <c r="K393">
        <v>23887</v>
      </c>
      <c r="L393">
        <v>335633933</v>
      </c>
      <c r="M393">
        <f t="shared" si="108"/>
        <v>1544533.42</v>
      </c>
      <c r="N393">
        <v>83908483</v>
      </c>
      <c r="O393">
        <f t="shared" si="109"/>
        <v>2.8467920222082909E-4</v>
      </c>
      <c r="P393">
        <v>66886.259999999995</v>
      </c>
      <c r="Q393" s="8">
        <v>0.216</v>
      </c>
      <c r="R393">
        <v>67110452.420000002</v>
      </c>
      <c r="S393">
        <v>41420559.380000003</v>
      </c>
      <c r="T393">
        <v>1359660.69</v>
      </c>
      <c r="U393">
        <v>2874936.22</v>
      </c>
      <c r="V393">
        <v>27656810.59</v>
      </c>
      <c r="W393">
        <f t="shared" si="110"/>
        <v>1.3492690619963252E-8</v>
      </c>
      <c r="X393">
        <f t="shared" si="112"/>
        <v>0.41210883838055934</v>
      </c>
    </row>
    <row r="394" spans="1:24">
      <c r="A394" s="33">
        <v>45383</v>
      </c>
      <c r="B394">
        <v>63.34</v>
      </c>
      <c r="C394" s="29">
        <f t="shared" si="105"/>
        <v>-4.4011317195849428E-3</v>
      </c>
      <c r="D394">
        <f t="shared" si="111"/>
        <v>8.883510346974724E-2</v>
      </c>
      <c r="E394">
        <v>61.8</v>
      </c>
      <c r="F394">
        <v>63.25</v>
      </c>
      <c r="G394">
        <f t="shared" si="106"/>
        <v>-2.319072371051584E-2</v>
      </c>
      <c r="H394">
        <v>61.95</v>
      </c>
      <c r="I394">
        <v>61.8</v>
      </c>
      <c r="J394">
        <f t="shared" si="107"/>
        <v>2.4242424242425162E-3</v>
      </c>
      <c r="K394">
        <v>493390</v>
      </c>
      <c r="L394">
        <v>335633933</v>
      </c>
      <c r="M394">
        <f t="shared" si="108"/>
        <v>31251322.600000001</v>
      </c>
      <c r="N394">
        <v>83908483</v>
      </c>
      <c r="O394">
        <f t="shared" si="109"/>
        <v>5.8800967716220063E-3</v>
      </c>
      <c r="P394">
        <v>66796.320000000007</v>
      </c>
      <c r="Q394" s="8">
        <v>0.216</v>
      </c>
      <c r="R394">
        <v>67110452.420000002</v>
      </c>
      <c r="S394">
        <v>41420559.380000003</v>
      </c>
      <c r="T394">
        <v>1359660.69</v>
      </c>
      <c r="U394">
        <v>2874936.22</v>
      </c>
      <c r="V394">
        <v>27656810.59</v>
      </c>
      <c r="W394">
        <f t="shared" si="110"/>
        <v>1.40830254639685E-10</v>
      </c>
      <c r="X394">
        <f t="shared" si="112"/>
        <v>0.41210883838055934</v>
      </c>
    </row>
    <row r="395" spans="1:24">
      <c r="A395" s="33">
        <v>45380</v>
      </c>
      <c r="B395">
        <v>63.62</v>
      </c>
      <c r="C395" s="29">
        <f t="shared" si="105"/>
        <v>-3.9142007202129323E-3</v>
      </c>
      <c r="D395">
        <f t="shared" si="111"/>
        <v>8.883510346974724E-2</v>
      </c>
      <c r="E395">
        <v>62.5</v>
      </c>
      <c r="F395">
        <v>64.11</v>
      </c>
      <c r="G395">
        <f t="shared" si="106"/>
        <v>-2.5432430297764781E-2</v>
      </c>
      <c r="H395">
        <v>63</v>
      </c>
      <c r="I395">
        <v>62.6</v>
      </c>
      <c r="J395">
        <f t="shared" si="107"/>
        <v>6.3694267515923345E-3</v>
      </c>
      <c r="K395">
        <v>280278</v>
      </c>
      <c r="L395">
        <v>335633933</v>
      </c>
      <c r="M395">
        <f t="shared" si="108"/>
        <v>17831286.359999999</v>
      </c>
      <c r="N395">
        <v>83908483</v>
      </c>
      <c r="O395">
        <f t="shared" si="109"/>
        <v>3.3402820546761642E-3</v>
      </c>
      <c r="P395">
        <v>67005.11</v>
      </c>
      <c r="Q395" s="8">
        <v>0.216</v>
      </c>
      <c r="R395">
        <v>67110452.420000002</v>
      </c>
      <c r="S395">
        <v>41420559.380000003</v>
      </c>
      <c r="T395">
        <v>1359660.69</v>
      </c>
      <c r="U395">
        <v>2874936.22</v>
      </c>
      <c r="V395">
        <v>27656810.59</v>
      </c>
      <c r="W395">
        <f t="shared" si="110"/>
        <v>2.1951308734480626E-10</v>
      </c>
      <c r="X395">
        <f t="shared" si="112"/>
        <v>0.41210883838055934</v>
      </c>
    </row>
    <row r="396" spans="1:24">
      <c r="A396" s="33">
        <v>45379</v>
      </c>
      <c r="B396">
        <v>63.87</v>
      </c>
      <c r="C396" s="29">
        <f t="shared" si="105"/>
        <v>-1.0687732342007509E-2</v>
      </c>
      <c r="D396">
        <f t="shared" si="111"/>
        <v>8.883510346974724E-2</v>
      </c>
      <c r="E396">
        <v>63.85</v>
      </c>
      <c r="F396">
        <v>65.290000000000006</v>
      </c>
      <c r="G396">
        <f t="shared" si="106"/>
        <v>-2.2301378349078593E-2</v>
      </c>
      <c r="H396">
        <v>64.75</v>
      </c>
      <c r="I396">
        <v>63.85</v>
      </c>
      <c r="J396">
        <f t="shared" si="107"/>
        <v>1.3996889580093291E-2</v>
      </c>
      <c r="K396">
        <v>178670</v>
      </c>
      <c r="L396">
        <v>335633933</v>
      </c>
      <c r="M396">
        <f t="shared" si="108"/>
        <v>11411652.9</v>
      </c>
      <c r="N396">
        <v>83908483</v>
      </c>
      <c r="O396">
        <f t="shared" si="109"/>
        <v>2.1293437041401404E-3</v>
      </c>
      <c r="P396">
        <v>67142.12</v>
      </c>
      <c r="Q396" s="8">
        <v>0.216</v>
      </c>
      <c r="R396">
        <v>67110452.420000002</v>
      </c>
      <c r="S396">
        <v>41420559.380000003</v>
      </c>
      <c r="T396">
        <v>1359660.69</v>
      </c>
      <c r="U396">
        <v>2874936.22</v>
      </c>
      <c r="V396">
        <v>27656810.59</v>
      </c>
      <c r="W396">
        <f t="shared" si="110"/>
        <v>9.365630409252553E-10</v>
      </c>
      <c r="X396">
        <f t="shared" si="112"/>
        <v>0.41210883838055934</v>
      </c>
    </row>
    <row r="397" spans="1:24">
      <c r="A397" s="33">
        <v>45378</v>
      </c>
      <c r="B397">
        <v>64.56</v>
      </c>
      <c r="C397" s="29">
        <f t="shared" si="105"/>
        <v>-6.0046189376443499E-3</v>
      </c>
      <c r="D397">
        <f t="shared" si="111"/>
        <v>8.883510346974724E-2</v>
      </c>
      <c r="E397">
        <v>64.010000000000005</v>
      </c>
      <c r="F397">
        <v>65.5</v>
      </c>
      <c r="G397">
        <f t="shared" si="106"/>
        <v>-2.3009806192571924E-2</v>
      </c>
      <c r="H397">
        <v>64.45</v>
      </c>
      <c r="I397">
        <v>64.400000000000006</v>
      </c>
      <c r="J397">
        <f t="shared" si="107"/>
        <v>7.7609623593321143E-4</v>
      </c>
      <c r="K397">
        <v>41853</v>
      </c>
      <c r="L397">
        <v>335633933</v>
      </c>
      <c r="M397">
        <f t="shared" si="108"/>
        <v>2702029.68</v>
      </c>
      <c r="N397">
        <v>83908483</v>
      </c>
      <c r="O397">
        <f t="shared" si="109"/>
        <v>4.9879342950342694E-4</v>
      </c>
      <c r="P397">
        <v>66547.789999999994</v>
      </c>
      <c r="Q397" s="8">
        <v>0.216</v>
      </c>
      <c r="R397">
        <v>67110452.420000002</v>
      </c>
      <c r="S397">
        <v>41420559.380000003</v>
      </c>
      <c r="T397">
        <v>1359660.69</v>
      </c>
      <c r="U397">
        <v>2874936.22</v>
      </c>
      <c r="V397">
        <v>27656810.59</v>
      </c>
      <c r="W397">
        <f t="shared" si="110"/>
        <v>2.2222623911534345E-9</v>
      </c>
      <c r="X397">
        <f t="shared" si="112"/>
        <v>0.41210883838055934</v>
      </c>
    </row>
    <row r="398" spans="1:24">
      <c r="A398" s="33">
        <v>45377</v>
      </c>
      <c r="B398">
        <v>64.95</v>
      </c>
      <c r="C398" s="29">
        <f t="shared" si="105"/>
        <v>-2.3601924233313188E-2</v>
      </c>
      <c r="D398">
        <f t="shared" si="111"/>
        <v>8.883510346974724E-2</v>
      </c>
      <c r="E398">
        <v>63.75</v>
      </c>
      <c r="F398">
        <v>64.989999999999995</v>
      </c>
      <c r="G398">
        <f t="shared" si="106"/>
        <v>-1.9263632126767048E-2</v>
      </c>
      <c r="H398">
        <v>64.5</v>
      </c>
      <c r="I398">
        <v>63.76</v>
      </c>
      <c r="J398">
        <f t="shared" si="107"/>
        <v>1.1539061281771434E-2</v>
      </c>
      <c r="K398">
        <v>91965</v>
      </c>
      <c r="L398">
        <v>335633933</v>
      </c>
      <c r="M398">
        <f t="shared" si="108"/>
        <v>5973126.75</v>
      </c>
      <c r="N398">
        <v>83908483</v>
      </c>
      <c r="O398">
        <f t="shared" si="109"/>
        <v>1.0960155244374994E-3</v>
      </c>
      <c r="P398">
        <v>65906.28</v>
      </c>
      <c r="Q398" s="8">
        <v>0.216</v>
      </c>
      <c r="R398">
        <v>67110452.420000002</v>
      </c>
      <c r="S398">
        <v>41420559.380000003</v>
      </c>
      <c r="T398">
        <v>1359660.69</v>
      </c>
      <c r="U398">
        <v>2874936.22</v>
      </c>
      <c r="V398">
        <v>27656810.59</v>
      </c>
      <c r="W398">
        <f t="shared" si="110"/>
        <v>3.9513516490024571E-9</v>
      </c>
      <c r="X398">
        <f t="shared" si="112"/>
        <v>0.41210883838055934</v>
      </c>
    </row>
    <row r="399" spans="1:24">
      <c r="A399" s="33">
        <v>45376</v>
      </c>
      <c r="B399">
        <v>66.52</v>
      </c>
      <c r="C399" s="29">
        <f t="shared" si="105"/>
        <v>0</v>
      </c>
      <c r="D399">
        <f t="shared" si="111"/>
        <v>8.883510346974724E-2</v>
      </c>
      <c r="E399">
        <v>63.51</v>
      </c>
      <c r="F399">
        <v>64.569999999999993</v>
      </c>
      <c r="G399">
        <f t="shared" si="106"/>
        <v>-1.6552154903185436E-2</v>
      </c>
      <c r="H399">
        <v>64.069999999999993</v>
      </c>
      <c r="I399">
        <v>63.55</v>
      </c>
      <c r="J399">
        <f t="shared" si="107"/>
        <v>8.1491929164707114E-3</v>
      </c>
      <c r="K399">
        <v>44622</v>
      </c>
      <c r="L399">
        <v>335633933</v>
      </c>
      <c r="M399">
        <f t="shared" si="108"/>
        <v>2968255.44</v>
      </c>
      <c r="N399">
        <v>83908483</v>
      </c>
      <c r="O399">
        <f t="shared" si="109"/>
        <v>5.3179366858533241E-4</v>
      </c>
      <c r="P399">
        <v>65525.65</v>
      </c>
      <c r="Q399" s="8">
        <v>0.216</v>
      </c>
      <c r="R399">
        <v>67110452.420000002</v>
      </c>
      <c r="S399">
        <v>41420559.380000003</v>
      </c>
      <c r="T399">
        <v>1359660.69</v>
      </c>
      <c r="U399">
        <v>2874936.22</v>
      </c>
      <c r="V399">
        <v>27656810.59</v>
      </c>
      <c r="W399">
        <f t="shared" si="110"/>
        <v>0</v>
      </c>
      <c r="X399">
        <f t="shared" si="112"/>
        <v>0.41210883838055934</v>
      </c>
    </row>
    <row r="401" spans="1:24" ht="15" thickBot="1"/>
    <row r="402" spans="1:24" ht="16" thickBot="1">
      <c r="A402" s="184" t="s">
        <v>46</v>
      </c>
      <c r="B402" s="185"/>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6"/>
    </row>
    <row r="403" spans="1:24" ht="43.5">
      <c r="A403" s="6" t="s">
        <v>14</v>
      </c>
      <c r="B403" s="5" t="s">
        <v>15</v>
      </c>
      <c r="C403" s="7" t="s">
        <v>16</v>
      </c>
      <c r="D403" s="7" t="s">
        <v>17</v>
      </c>
      <c r="E403" s="6" t="s">
        <v>0</v>
      </c>
      <c r="F403" s="6" t="s">
        <v>13</v>
      </c>
      <c r="G403" s="7" t="s">
        <v>18</v>
      </c>
      <c r="H403" s="5" t="s">
        <v>12</v>
      </c>
      <c r="I403" s="6" t="s">
        <v>1</v>
      </c>
      <c r="J403" s="7" t="s">
        <v>19</v>
      </c>
      <c r="K403" s="5" t="s">
        <v>2</v>
      </c>
      <c r="L403" s="5" t="s">
        <v>3</v>
      </c>
      <c r="M403" s="7" t="s">
        <v>20</v>
      </c>
      <c r="N403" s="5" t="s">
        <v>22</v>
      </c>
      <c r="O403" s="7" t="s">
        <v>21</v>
      </c>
      <c r="P403" s="5" t="s">
        <v>5</v>
      </c>
      <c r="Q403" s="5" t="s">
        <v>6</v>
      </c>
      <c r="R403" s="5" t="s">
        <v>7</v>
      </c>
      <c r="S403" s="5" t="s">
        <v>8</v>
      </c>
      <c r="T403" s="5" t="s">
        <v>9</v>
      </c>
      <c r="U403" s="5" t="s">
        <v>10</v>
      </c>
      <c r="V403" s="5" t="s">
        <v>11</v>
      </c>
      <c r="W403" s="7" t="s">
        <v>73</v>
      </c>
      <c r="X403" s="7" t="s">
        <v>72</v>
      </c>
    </row>
    <row r="404" spans="1:24">
      <c r="A404" s="33">
        <v>45436</v>
      </c>
      <c r="B404" s="38">
        <v>9.86</v>
      </c>
      <c r="C404" s="23">
        <f>IFERROR((B404-B405)/B405,0)</f>
        <v>6.2500000000000014E-2</v>
      </c>
      <c r="D404" s="22">
        <f>_xlfn.STDEV.S($C$404:$C$443)</f>
        <v>2.672059092276197E-2</v>
      </c>
      <c r="E404" s="38">
        <v>10.199999999999999</v>
      </c>
      <c r="F404" s="38">
        <v>9.25</v>
      </c>
      <c r="G404" s="22">
        <f>IFERROR((E404-F404)/((E404+F404)/2),0)</f>
        <v>9.7686375321336685E-2</v>
      </c>
      <c r="H404" s="38">
        <v>9.93</v>
      </c>
      <c r="I404" s="38">
        <v>9.52</v>
      </c>
      <c r="J404" s="22">
        <f>IFERROR((H404-I404)/((H404+I404)/2),0)</f>
        <v>4.215938303341904E-2</v>
      </c>
      <c r="K404" s="35">
        <v>88000</v>
      </c>
      <c r="L404" s="37">
        <f>15*1000000</f>
        <v>15000000</v>
      </c>
      <c r="M404">
        <f>B404*K404</f>
        <v>867680</v>
      </c>
      <c r="N404" s="37">
        <f>11.88*1000000</f>
        <v>11880000</v>
      </c>
      <c r="O404">
        <f>IFERROR(K404/N404,0)</f>
        <v>7.4074074074074077E-3</v>
      </c>
      <c r="P404">
        <v>75983.039999999994</v>
      </c>
      <c r="Q404" s="8">
        <v>0.2157</v>
      </c>
      <c r="R404" s="37">
        <f>207.53*1000000</f>
        <v>207530000</v>
      </c>
      <c r="S404" s="37">
        <f>23.45*1000000</f>
        <v>23450000</v>
      </c>
      <c r="T404" s="37">
        <f>0.39*100000000</f>
        <v>39000000</v>
      </c>
      <c r="U404" s="37">
        <f>41.64*1000000</f>
        <v>41640000</v>
      </c>
      <c r="V404" s="37">
        <f>41.64*1000000</f>
        <v>41640000</v>
      </c>
      <c r="W404">
        <f t="shared" ref="W404:W443" si="113">IFERROR(ABS(C404)/M404,0)</f>
        <v>7.2031163562603744E-8</v>
      </c>
      <c r="X404">
        <f>V404/R404</f>
        <v>0.20064568977979089</v>
      </c>
    </row>
    <row r="405" spans="1:24">
      <c r="A405" s="33">
        <v>45435</v>
      </c>
      <c r="B405" s="38">
        <v>9.2799999999999994</v>
      </c>
      <c r="C405" s="23">
        <f t="shared" ref="C405:C443" si="114">IFERROR((B405-B406)/B406,0)</f>
        <v>-1.902748414376337E-2</v>
      </c>
      <c r="D405" s="22">
        <f t="shared" ref="D405:D443" si="115">_xlfn.STDEV.S($C$404:$C$443)</f>
        <v>2.672059092276197E-2</v>
      </c>
      <c r="E405" s="38">
        <v>9.3000000000000007</v>
      </c>
      <c r="F405" s="38">
        <v>9.2799999999999994</v>
      </c>
      <c r="G405" s="22">
        <f t="shared" ref="G405:G443" si="116">IFERROR((E405-F405)/((E405+F405)/2),0)</f>
        <v>2.1528525296018678E-3</v>
      </c>
      <c r="H405" s="38">
        <v>9.59</v>
      </c>
      <c r="I405" s="38">
        <v>9.3000000000000007</v>
      </c>
      <c r="J405" s="22">
        <f t="shared" ref="J405:J443" si="117">IFERROR((H405-I405)/((H405+I405)/2),0)</f>
        <v>3.0704076230809861E-2</v>
      </c>
      <c r="K405" s="35">
        <v>3500</v>
      </c>
      <c r="L405" s="37">
        <f t="shared" ref="L405:L443" si="118">15*1000000</f>
        <v>15000000</v>
      </c>
      <c r="M405">
        <f t="shared" ref="M405:M443" si="119">B405*K405</f>
        <v>32479.999999999996</v>
      </c>
      <c r="N405" s="37">
        <f t="shared" ref="N405:N443" si="120">11.88*1000000</f>
        <v>11880000</v>
      </c>
      <c r="O405">
        <f t="shared" ref="O405:O443" si="121">IFERROR(K405/N405,0)</f>
        <v>2.9461279461279459E-4</v>
      </c>
      <c r="P405">
        <v>75114.47</v>
      </c>
      <c r="Q405" s="8">
        <v>0.2157</v>
      </c>
      <c r="R405" s="37">
        <f t="shared" ref="R405:R443" si="122">207.53*1000000</f>
        <v>207530000</v>
      </c>
      <c r="S405" s="37">
        <f t="shared" ref="S405:S443" si="123">23.45*1000000</f>
        <v>23450000</v>
      </c>
      <c r="T405" s="37">
        <f t="shared" ref="T405:T443" si="124">0.39*100000000</f>
        <v>39000000</v>
      </c>
      <c r="U405" s="37">
        <f t="shared" ref="U405:V443" si="125">41.64*1000000</f>
        <v>41640000</v>
      </c>
      <c r="V405" s="37">
        <f t="shared" si="125"/>
        <v>41640000</v>
      </c>
      <c r="W405">
        <f t="shared" si="113"/>
        <v>5.8582155615035017E-7</v>
      </c>
      <c r="X405">
        <f t="shared" ref="X405:X443" si="126">V405/R405</f>
        <v>0.20064568977979089</v>
      </c>
    </row>
    <row r="406" spans="1:24">
      <c r="A406" s="33">
        <v>45434</v>
      </c>
      <c r="B406" s="38">
        <v>9.4600000000000009</v>
      </c>
      <c r="C406" s="23">
        <f t="shared" si="114"/>
        <v>-4.2105263157893843E-3</v>
      </c>
      <c r="D406" s="22">
        <f t="shared" si="115"/>
        <v>2.672059092276197E-2</v>
      </c>
      <c r="E406" s="38">
        <v>9.8000000000000007</v>
      </c>
      <c r="F406" s="38">
        <v>9.15</v>
      </c>
      <c r="G406" s="22">
        <f t="shared" si="116"/>
        <v>6.8601583113456488E-2</v>
      </c>
      <c r="H406" s="38">
        <v>9.6300000000000008</v>
      </c>
      <c r="I406" s="38">
        <v>9.25</v>
      </c>
      <c r="J406" s="22">
        <f t="shared" si="117"/>
        <v>4.0254237288135673E-2</v>
      </c>
      <c r="K406" s="35">
        <v>66000</v>
      </c>
      <c r="L406" s="37">
        <f t="shared" si="118"/>
        <v>15000000</v>
      </c>
      <c r="M406">
        <f t="shared" si="119"/>
        <v>624360</v>
      </c>
      <c r="N406" s="37">
        <f t="shared" si="120"/>
        <v>11880000</v>
      </c>
      <c r="O406">
        <f t="shared" si="121"/>
        <v>5.5555555555555558E-3</v>
      </c>
      <c r="P406">
        <v>74956.67</v>
      </c>
      <c r="Q406" s="8">
        <v>0.2157</v>
      </c>
      <c r="R406" s="37">
        <f t="shared" si="122"/>
        <v>207530000</v>
      </c>
      <c r="S406" s="37">
        <f t="shared" si="123"/>
        <v>23450000</v>
      </c>
      <c r="T406" s="37">
        <f t="shared" si="124"/>
        <v>39000000</v>
      </c>
      <c r="U406" s="37">
        <f t="shared" si="125"/>
        <v>41640000</v>
      </c>
      <c r="V406" s="37">
        <f t="shared" si="125"/>
        <v>41640000</v>
      </c>
      <c r="W406">
        <f t="shared" si="113"/>
        <v>6.7437477029107953E-9</v>
      </c>
      <c r="X406">
        <f t="shared" si="126"/>
        <v>0.20064568977979089</v>
      </c>
    </row>
    <row r="407" spans="1:24">
      <c r="A407" s="33">
        <v>45433</v>
      </c>
      <c r="B407" s="38">
        <v>9.5</v>
      </c>
      <c r="C407" s="23">
        <f t="shared" si="114"/>
        <v>-1.7580144777662867E-2</v>
      </c>
      <c r="D407" s="22">
        <f t="shared" si="115"/>
        <v>2.672059092276197E-2</v>
      </c>
      <c r="E407" s="38">
        <v>9.61</v>
      </c>
      <c r="F407" s="38">
        <v>9.5</v>
      </c>
      <c r="G407" s="22">
        <f t="shared" si="116"/>
        <v>1.1512297226582882E-2</v>
      </c>
      <c r="H407" s="38">
        <v>9.5</v>
      </c>
      <c r="I407" s="38">
        <v>9.3800000000000008</v>
      </c>
      <c r="J407" s="22">
        <f t="shared" si="117"/>
        <v>1.2711864406779577E-2</v>
      </c>
      <c r="K407" s="35">
        <v>18500</v>
      </c>
      <c r="L407" s="37">
        <f t="shared" si="118"/>
        <v>15000000</v>
      </c>
      <c r="M407">
        <f t="shared" si="119"/>
        <v>175750</v>
      </c>
      <c r="N407" s="37">
        <f t="shared" si="120"/>
        <v>11880000</v>
      </c>
      <c r="O407">
        <f t="shared" si="121"/>
        <v>1.5572390572390572E-3</v>
      </c>
      <c r="P407">
        <v>75206.77</v>
      </c>
      <c r="Q407" s="8">
        <v>0.2157</v>
      </c>
      <c r="R407" s="37">
        <f t="shared" si="122"/>
        <v>207530000</v>
      </c>
      <c r="S407" s="37">
        <f t="shared" si="123"/>
        <v>23450000</v>
      </c>
      <c r="T407" s="37">
        <f t="shared" si="124"/>
        <v>39000000</v>
      </c>
      <c r="U407" s="37">
        <f t="shared" si="125"/>
        <v>41640000</v>
      </c>
      <c r="V407" s="37">
        <f t="shared" si="125"/>
        <v>41640000</v>
      </c>
      <c r="W407">
        <f t="shared" si="113"/>
        <v>1.0002927327261945E-7</v>
      </c>
      <c r="X407">
        <f t="shared" si="126"/>
        <v>0.20064568977979089</v>
      </c>
    </row>
    <row r="408" spans="1:24">
      <c r="A408" s="33">
        <v>45432</v>
      </c>
      <c r="B408" s="38">
        <v>9.67</v>
      </c>
      <c r="C408" s="23">
        <f t="shared" si="114"/>
        <v>-1.1247443762781129E-2</v>
      </c>
      <c r="D408" s="22">
        <f t="shared" si="115"/>
        <v>2.672059092276197E-2</v>
      </c>
      <c r="E408" s="38">
        <v>9.7200000000000006</v>
      </c>
      <c r="F408" s="38">
        <v>9.61</v>
      </c>
      <c r="G408" s="22">
        <f t="shared" si="116"/>
        <v>1.1381272633212749E-2</v>
      </c>
      <c r="H408" s="38">
        <v>10</v>
      </c>
      <c r="I408" s="38">
        <v>9.6</v>
      </c>
      <c r="J408" s="22">
        <f t="shared" si="117"/>
        <v>4.0816326530612276E-2</v>
      </c>
      <c r="K408" s="35">
        <v>6500</v>
      </c>
      <c r="L408" s="37">
        <f t="shared" si="118"/>
        <v>15000000</v>
      </c>
      <c r="M408">
        <f t="shared" si="119"/>
        <v>62855</v>
      </c>
      <c r="N408" s="37">
        <f t="shared" si="120"/>
        <v>11880000</v>
      </c>
      <c r="O408">
        <f t="shared" si="121"/>
        <v>5.4713804713804712E-4</v>
      </c>
      <c r="P408">
        <v>75084</v>
      </c>
      <c r="Q408" s="8">
        <v>0.2157</v>
      </c>
      <c r="R408" s="37">
        <f t="shared" si="122"/>
        <v>207530000</v>
      </c>
      <c r="S408" s="37">
        <f t="shared" si="123"/>
        <v>23450000</v>
      </c>
      <c r="T408" s="37">
        <f t="shared" si="124"/>
        <v>39000000</v>
      </c>
      <c r="U408" s="37">
        <f t="shared" si="125"/>
        <v>41640000</v>
      </c>
      <c r="V408" s="37">
        <f t="shared" si="125"/>
        <v>41640000</v>
      </c>
      <c r="W408">
        <f t="shared" si="113"/>
        <v>1.7894270563648285E-7</v>
      </c>
      <c r="X408">
        <f t="shared" si="126"/>
        <v>0.20064568977979089</v>
      </c>
    </row>
    <row r="409" spans="1:24">
      <c r="A409" s="33">
        <v>45429</v>
      </c>
      <c r="B409" s="38">
        <v>9.7799999999999994</v>
      </c>
      <c r="C409" s="23">
        <f t="shared" si="114"/>
        <v>-2.0040080160320748E-2</v>
      </c>
      <c r="D409" s="22">
        <f t="shared" si="115"/>
        <v>2.672059092276197E-2</v>
      </c>
      <c r="E409" s="38">
        <v>10.29</v>
      </c>
      <c r="F409" s="38">
        <v>9.6999999999999993</v>
      </c>
      <c r="G409" s="22">
        <f t="shared" si="116"/>
        <v>5.9029514757378679E-2</v>
      </c>
      <c r="H409" s="38">
        <v>10</v>
      </c>
      <c r="I409" s="38">
        <v>9.75</v>
      </c>
      <c r="J409" s="22">
        <f t="shared" si="117"/>
        <v>2.5316455696202531E-2</v>
      </c>
      <c r="K409" s="35">
        <v>25500</v>
      </c>
      <c r="L409" s="37">
        <f t="shared" si="118"/>
        <v>15000000</v>
      </c>
      <c r="M409">
        <f t="shared" si="119"/>
        <v>249389.99999999997</v>
      </c>
      <c r="N409" s="37">
        <f t="shared" si="120"/>
        <v>11880000</v>
      </c>
      <c r="O409">
        <f t="shared" si="121"/>
        <v>2.1464646464646464E-3</v>
      </c>
      <c r="P409">
        <v>75342.350000000006</v>
      </c>
      <c r="Q409" s="8">
        <v>0.2157</v>
      </c>
      <c r="R409" s="37">
        <f t="shared" si="122"/>
        <v>207530000</v>
      </c>
      <c r="S409" s="37">
        <f t="shared" si="123"/>
        <v>23450000</v>
      </c>
      <c r="T409" s="37">
        <f t="shared" si="124"/>
        <v>39000000</v>
      </c>
      <c r="U409" s="37">
        <f t="shared" si="125"/>
        <v>41640000</v>
      </c>
      <c r="V409" s="37">
        <f t="shared" si="125"/>
        <v>41640000</v>
      </c>
      <c r="W409">
        <f t="shared" si="113"/>
        <v>8.0356390233452624E-8</v>
      </c>
      <c r="X409">
        <f t="shared" si="126"/>
        <v>0.20064568977979089</v>
      </c>
    </row>
    <row r="410" spans="1:24">
      <c r="A410" s="33">
        <v>45428</v>
      </c>
      <c r="B410" s="38">
        <v>9.98</v>
      </c>
      <c r="C410" s="23">
        <f t="shared" si="114"/>
        <v>-4.9523809523809484E-2</v>
      </c>
      <c r="D410" s="22">
        <f t="shared" si="115"/>
        <v>2.672059092276197E-2</v>
      </c>
      <c r="E410" s="38">
        <v>10</v>
      </c>
      <c r="F410" s="38">
        <v>9.61</v>
      </c>
      <c r="G410" s="22">
        <f t="shared" si="116"/>
        <v>3.9775624681285121E-2</v>
      </c>
      <c r="H410" s="38">
        <v>10.25</v>
      </c>
      <c r="I410" s="38">
        <v>9.8800000000000008</v>
      </c>
      <c r="J410" s="22">
        <f t="shared" si="117"/>
        <v>3.6761053154495696E-2</v>
      </c>
      <c r="K410" s="35">
        <v>26000</v>
      </c>
      <c r="L410" s="37">
        <f t="shared" si="118"/>
        <v>15000000</v>
      </c>
      <c r="M410">
        <f t="shared" si="119"/>
        <v>259480</v>
      </c>
      <c r="N410" s="37">
        <f t="shared" si="120"/>
        <v>11880000</v>
      </c>
      <c r="O410">
        <f t="shared" si="121"/>
        <v>2.1885521885521885E-3</v>
      </c>
      <c r="P410">
        <v>74930.7</v>
      </c>
      <c r="Q410" s="8">
        <v>0.2157</v>
      </c>
      <c r="R410" s="37">
        <f t="shared" si="122"/>
        <v>207530000</v>
      </c>
      <c r="S410" s="37">
        <f t="shared" si="123"/>
        <v>23450000</v>
      </c>
      <c r="T410" s="37">
        <f t="shared" si="124"/>
        <v>39000000</v>
      </c>
      <c r="U410" s="37">
        <f t="shared" si="125"/>
        <v>41640000</v>
      </c>
      <c r="V410" s="37">
        <f t="shared" si="125"/>
        <v>41640000</v>
      </c>
      <c r="W410">
        <f t="shared" si="113"/>
        <v>1.9085790628876786E-7</v>
      </c>
      <c r="X410">
        <f t="shared" si="126"/>
        <v>0.20064568977979089</v>
      </c>
    </row>
    <row r="411" spans="1:24">
      <c r="A411" s="33">
        <v>45427</v>
      </c>
      <c r="B411" s="38">
        <v>10.5</v>
      </c>
      <c r="C411" s="23">
        <f t="shared" si="114"/>
        <v>4.0634291377601599E-2</v>
      </c>
      <c r="D411" s="22">
        <f t="shared" si="115"/>
        <v>2.672059092276197E-2</v>
      </c>
      <c r="E411" s="38">
        <v>11.09</v>
      </c>
      <c r="F411" s="38">
        <v>10.25</v>
      </c>
      <c r="G411" s="22">
        <f t="shared" si="116"/>
        <v>7.8725398313027162E-2</v>
      </c>
      <c r="H411" s="38">
        <v>10.5</v>
      </c>
      <c r="I411" s="38">
        <v>10.41</v>
      </c>
      <c r="J411" s="22">
        <f t="shared" si="117"/>
        <v>8.6083213773314061E-3</v>
      </c>
      <c r="K411" s="35">
        <v>290500</v>
      </c>
      <c r="L411" s="37">
        <f t="shared" si="118"/>
        <v>15000000</v>
      </c>
      <c r="M411">
        <f t="shared" si="119"/>
        <v>3050250</v>
      </c>
      <c r="N411" s="37">
        <f t="shared" si="120"/>
        <v>11880000</v>
      </c>
      <c r="O411">
        <f t="shared" si="121"/>
        <v>2.4452861952861952E-2</v>
      </c>
      <c r="P411">
        <v>74663.98</v>
      </c>
      <c r="Q411" s="8">
        <v>0.2157</v>
      </c>
      <c r="R411" s="37">
        <f t="shared" si="122"/>
        <v>207530000</v>
      </c>
      <c r="S411" s="37">
        <f t="shared" si="123"/>
        <v>23450000</v>
      </c>
      <c r="T411" s="37">
        <f t="shared" si="124"/>
        <v>39000000</v>
      </c>
      <c r="U411" s="37">
        <f t="shared" si="125"/>
        <v>41640000</v>
      </c>
      <c r="V411" s="37">
        <f t="shared" si="125"/>
        <v>41640000</v>
      </c>
      <c r="W411">
        <f t="shared" si="113"/>
        <v>1.3321626547857257E-8</v>
      </c>
      <c r="X411">
        <f t="shared" si="126"/>
        <v>0.20064568977979089</v>
      </c>
    </row>
    <row r="412" spans="1:24">
      <c r="A412" s="33">
        <v>45426</v>
      </c>
      <c r="B412" s="38">
        <v>10.09</v>
      </c>
      <c r="C412" s="23">
        <f t="shared" si="114"/>
        <v>7.5692963752665141E-2</v>
      </c>
      <c r="D412" s="22">
        <f t="shared" si="115"/>
        <v>2.672059092276197E-2</v>
      </c>
      <c r="E412" s="38">
        <v>10.26</v>
      </c>
      <c r="F412" s="38">
        <v>9.0500000000000007</v>
      </c>
      <c r="G412" s="22">
        <f t="shared" si="116"/>
        <v>0.12532366649404442</v>
      </c>
      <c r="H412" s="38">
        <v>10.1</v>
      </c>
      <c r="I412" s="38">
        <v>10.02</v>
      </c>
      <c r="J412" s="22">
        <f t="shared" si="117"/>
        <v>7.9522862823061709E-3</v>
      </c>
      <c r="K412" s="35">
        <v>1350500</v>
      </c>
      <c r="L412" s="37">
        <f t="shared" si="118"/>
        <v>15000000</v>
      </c>
      <c r="M412">
        <f t="shared" si="119"/>
        <v>13626545</v>
      </c>
      <c r="N412" s="37">
        <f t="shared" si="120"/>
        <v>11880000</v>
      </c>
      <c r="O412">
        <f t="shared" si="121"/>
        <v>0.11367845117845118</v>
      </c>
      <c r="P412">
        <v>74531.19</v>
      </c>
      <c r="Q412" s="8">
        <v>0.21590000000000001</v>
      </c>
      <c r="R412" s="37">
        <f t="shared" si="122"/>
        <v>207530000</v>
      </c>
      <c r="S412" s="37">
        <f t="shared" si="123"/>
        <v>23450000</v>
      </c>
      <c r="T412" s="37">
        <f t="shared" si="124"/>
        <v>39000000</v>
      </c>
      <c r="U412" s="37">
        <f t="shared" si="125"/>
        <v>41640000</v>
      </c>
      <c r="V412" s="37">
        <f t="shared" si="125"/>
        <v>41640000</v>
      </c>
      <c r="W412">
        <f t="shared" si="113"/>
        <v>5.5548169952592636E-9</v>
      </c>
      <c r="X412">
        <f t="shared" si="126"/>
        <v>0.20064568977979089</v>
      </c>
    </row>
    <row r="413" spans="1:24">
      <c r="A413" s="33">
        <v>45425</v>
      </c>
      <c r="B413" s="38">
        <v>9.3800000000000008</v>
      </c>
      <c r="C413" s="23">
        <f t="shared" si="114"/>
        <v>1.4054054054054138E-2</v>
      </c>
      <c r="D413" s="22">
        <f t="shared" si="115"/>
        <v>2.672059092276197E-2</v>
      </c>
      <c r="E413" s="38">
        <v>9.44</v>
      </c>
      <c r="F413" s="38">
        <v>8.8000000000000007</v>
      </c>
      <c r="G413" s="22">
        <f t="shared" si="116"/>
        <v>7.0175438596491085E-2</v>
      </c>
      <c r="H413" s="38">
        <v>9.43</v>
      </c>
      <c r="I413" s="38">
        <v>9.33</v>
      </c>
      <c r="J413" s="22">
        <f t="shared" si="117"/>
        <v>1.0660980810234505E-2</v>
      </c>
      <c r="K413" s="35">
        <v>976000</v>
      </c>
      <c r="L413" s="37">
        <f t="shared" si="118"/>
        <v>15000000</v>
      </c>
      <c r="M413">
        <f t="shared" si="119"/>
        <v>9154880</v>
      </c>
      <c r="N413" s="37">
        <f t="shared" si="120"/>
        <v>11880000</v>
      </c>
      <c r="O413">
        <f t="shared" si="121"/>
        <v>8.2154882154882161E-2</v>
      </c>
      <c r="P413">
        <v>73799.11</v>
      </c>
      <c r="Q413" s="8">
        <v>0.21590000000000001</v>
      </c>
      <c r="R413" s="37">
        <f t="shared" si="122"/>
        <v>207530000</v>
      </c>
      <c r="S413" s="37">
        <f t="shared" si="123"/>
        <v>23450000</v>
      </c>
      <c r="T413" s="37">
        <f t="shared" si="124"/>
        <v>39000000</v>
      </c>
      <c r="U413" s="37">
        <f t="shared" si="125"/>
        <v>41640000</v>
      </c>
      <c r="V413" s="37">
        <f t="shared" si="125"/>
        <v>41640000</v>
      </c>
      <c r="W413">
        <f t="shared" si="113"/>
        <v>1.5351434485273577E-9</v>
      </c>
      <c r="X413">
        <f t="shared" si="126"/>
        <v>0.20064568977979089</v>
      </c>
    </row>
    <row r="414" spans="1:24">
      <c r="A414" s="33">
        <v>45422</v>
      </c>
      <c r="B414" s="38">
        <v>9.25</v>
      </c>
      <c r="C414" s="23">
        <f t="shared" si="114"/>
        <v>2.6637069922308569E-2</v>
      </c>
      <c r="D414" s="22">
        <f t="shared" si="115"/>
        <v>2.672059092276197E-2</v>
      </c>
      <c r="E414" s="38">
        <v>9.89</v>
      </c>
      <c r="F414" s="38">
        <v>9.1</v>
      </c>
      <c r="G414" s="22">
        <f t="shared" si="116"/>
        <v>8.3201685097419778E-2</v>
      </c>
      <c r="H414" s="38">
        <v>9.25</v>
      </c>
      <c r="I414" s="38">
        <v>8.82</v>
      </c>
      <c r="J414" s="22">
        <f t="shared" si="117"/>
        <v>4.759269507470943E-2</v>
      </c>
      <c r="K414" s="35">
        <v>28000</v>
      </c>
      <c r="L414" s="37">
        <f t="shared" si="118"/>
        <v>15000000</v>
      </c>
      <c r="M414">
        <f t="shared" si="119"/>
        <v>259000</v>
      </c>
      <c r="N414" s="37">
        <f t="shared" si="120"/>
        <v>11880000</v>
      </c>
      <c r="O414">
        <f t="shared" si="121"/>
        <v>2.3569023569023568E-3</v>
      </c>
      <c r="P414">
        <v>73085.5</v>
      </c>
      <c r="Q414" s="8">
        <v>0.21590000000000001</v>
      </c>
      <c r="R414" s="37">
        <f t="shared" si="122"/>
        <v>207530000</v>
      </c>
      <c r="S414" s="37">
        <f t="shared" si="123"/>
        <v>23450000</v>
      </c>
      <c r="T414" s="37">
        <f t="shared" si="124"/>
        <v>39000000</v>
      </c>
      <c r="U414" s="37">
        <f t="shared" si="125"/>
        <v>41640000</v>
      </c>
      <c r="V414" s="37">
        <f t="shared" si="125"/>
        <v>41640000</v>
      </c>
      <c r="W414">
        <f t="shared" si="113"/>
        <v>1.028458298158632E-7</v>
      </c>
      <c r="X414">
        <f t="shared" si="126"/>
        <v>0.20064568977979089</v>
      </c>
    </row>
    <row r="415" spans="1:24">
      <c r="A415" s="33">
        <v>45421</v>
      </c>
      <c r="B415" s="38">
        <v>9.01</v>
      </c>
      <c r="C415" s="23">
        <f t="shared" si="114"/>
        <v>-1.1086474501108411E-3</v>
      </c>
      <c r="D415" s="22">
        <f t="shared" si="115"/>
        <v>2.672059092276197E-2</v>
      </c>
      <c r="E415" s="38">
        <v>9.0299999999999994</v>
      </c>
      <c r="F415" s="38">
        <v>9</v>
      </c>
      <c r="G415" s="22">
        <f t="shared" si="116"/>
        <v>3.3277870216305446E-3</v>
      </c>
      <c r="H415" s="38">
        <v>9.1999999999999993</v>
      </c>
      <c r="I415" s="38">
        <v>8.9499999999999993</v>
      </c>
      <c r="J415" s="22">
        <f t="shared" si="117"/>
        <v>2.7548209366391185E-2</v>
      </c>
      <c r="K415" s="35">
        <v>7500</v>
      </c>
      <c r="L415" s="37">
        <f t="shared" si="118"/>
        <v>15000000</v>
      </c>
      <c r="M415">
        <f t="shared" si="119"/>
        <v>67575</v>
      </c>
      <c r="N415" s="37">
        <f t="shared" si="120"/>
        <v>11880000</v>
      </c>
      <c r="O415">
        <f t="shared" si="121"/>
        <v>6.3131313131313137E-4</v>
      </c>
      <c r="P415">
        <v>72658.05</v>
      </c>
      <c r="Q415" s="8">
        <v>0.21590000000000001</v>
      </c>
      <c r="R415" s="37">
        <f t="shared" si="122"/>
        <v>207530000</v>
      </c>
      <c r="S415" s="37">
        <f t="shared" si="123"/>
        <v>23450000</v>
      </c>
      <c r="T415" s="37">
        <f t="shared" si="124"/>
        <v>39000000</v>
      </c>
      <c r="U415" s="37">
        <f t="shared" si="125"/>
        <v>41640000</v>
      </c>
      <c r="V415" s="37">
        <f t="shared" si="125"/>
        <v>41640000</v>
      </c>
      <c r="W415">
        <f t="shared" si="113"/>
        <v>1.6406177582106418E-8</v>
      </c>
      <c r="X415">
        <f t="shared" si="126"/>
        <v>0.20064568977979089</v>
      </c>
    </row>
    <row r="416" spans="1:24">
      <c r="A416" s="33">
        <v>45420</v>
      </c>
      <c r="B416" s="38">
        <v>9.02</v>
      </c>
      <c r="C416" s="23">
        <f t="shared" si="114"/>
        <v>-1.9565217391304318E-2</v>
      </c>
      <c r="D416" s="22">
        <f t="shared" si="115"/>
        <v>2.672059092276197E-2</v>
      </c>
      <c r="E416" s="38"/>
      <c r="F416" s="38"/>
      <c r="G416" s="22">
        <f t="shared" si="116"/>
        <v>0</v>
      </c>
      <c r="H416" s="38">
        <v>9.1999999999999993</v>
      </c>
      <c r="I416" s="38">
        <v>8.94</v>
      </c>
      <c r="J416" s="22">
        <f t="shared" si="117"/>
        <v>2.8665931642778367E-2</v>
      </c>
      <c r="K416" s="35"/>
      <c r="L416" s="37">
        <f t="shared" si="118"/>
        <v>15000000</v>
      </c>
      <c r="M416">
        <f t="shared" si="119"/>
        <v>0</v>
      </c>
      <c r="N416" s="37">
        <f t="shared" si="120"/>
        <v>11880000</v>
      </c>
      <c r="O416">
        <f t="shared" si="121"/>
        <v>0</v>
      </c>
      <c r="P416">
        <v>72601.820000000007</v>
      </c>
      <c r="Q416" s="8">
        <v>0.21590000000000001</v>
      </c>
      <c r="R416" s="37">
        <f t="shared" si="122"/>
        <v>207530000</v>
      </c>
      <c r="S416" s="37">
        <f t="shared" si="123"/>
        <v>23450000</v>
      </c>
      <c r="T416" s="37">
        <f t="shared" si="124"/>
        <v>39000000</v>
      </c>
      <c r="U416" s="37">
        <f t="shared" si="125"/>
        <v>41640000</v>
      </c>
      <c r="V416" s="37">
        <f t="shared" si="125"/>
        <v>41640000</v>
      </c>
      <c r="W416">
        <f t="shared" si="113"/>
        <v>0</v>
      </c>
      <c r="X416">
        <f t="shared" si="126"/>
        <v>0.20064568977979089</v>
      </c>
    </row>
    <row r="417" spans="1:24">
      <c r="A417" s="33">
        <v>45419</v>
      </c>
      <c r="B417" s="38">
        <v>9.1999999999999993</v>
      </c>
      <c r="C417" s="23">
        <f t="shared" si="114"/>
        <v>-3.157894736842113E-2</v>
      </c>
      <c r="D417" s="22">
        <f t="shared" si="115"/>
        <v>2.672059092276197E-2</v>
      </c>
      <c r="E417" s="38">
        <v>9.1999999999999993</v>
      </c>
      <c r="F417" s="38">
        <v>9</v>
      </c>
      <c r="G417" s="22">
        <f t="shared" si="116"/>
        <v>2.19780219780219E-2</v>
      </c>
      <c r="H417" s="38">
        <v>9.2799999999999994</v>
      </c>
      <c r="I417" s="38">
        <v>9.0500000000000007</v>
      </c>
      <c r="J417" s="22">
        <f t="shared" si="117"/>
        <v>2.5095471903982397E-2</v>
      </c>
      <c r="K417" s="35">
        <v>74000</v>
      </c>
      <c r="L417" s="37">
        <f t="shared" si="118"/>
        <v>15000000</v>
      </c>
      <c r="M417">
        <f t="shared" si="119"/>
        <v>680800</v>
      </c>
      <c r="N417" s="37">
        <f t="shared" si="120"/>
        <v>11880000</v>
      </c>
      <c r="O417">
        <f t="shared" si="121"/>
        <v>6.2289562289562289E-3</v>
      </c>
      <c r="P417">
        <v>72761.2</v>
      </c>
      <c r="Q417" s="8">
        <v>0.21590000000000001</v>
      </c>
      <c r="R417" s="37">
        <f t="shared" si="122"/>
        <v>207530000</v>
      </c>
      <c r="S417" s="37">
        <f t="shared" si="123"/>
        <v>23450000</v>
      </c>
      <c r="T417" s="37">
        <f t="shared" si="124"/>
        <v>39000000</v>
      </c>
      <c r="U417" s="37">
        <f t="shared" si="125"/>
        <v>41640000</v>
      </c>
      <c r="V417" s="37">
        <f t="shared" si="125"/>
        <v>41640000</v>
      </c>
      <c r="W417">
        <f t="shared" si="113"/>
        <v>4.6385057826705536E-8</v>
      </c>
      <c r="X417">
        <f t="shared" si="126"/>
        <v>0.20064568977979089</v>
      </c>
    </row>
    <row r="418" spans="1:24">
      <c r="A418" s="33">
        <v>45418</v>
      </c>
      <c r="B418" s="38">
        <v>9.5</v>
      </c>
      <c r="C418" s="23">
        <f t="shared" si="114"/>
        <v>3.3732317736670347E-2</v>
      </c>
      <c r="D418" s="22">
        <f t="shared" si="115"/>
        <v>2.672059092276197E-2</v>
      </c>
      <c r="E418" s="38">
        <v>9.5</v>
      </c>
      <c r="F418" s="38">
        <v>9.39</v>
      </c>
      <c r="G418" s="22">
        <f t="shared" si="116"/>
        <v>1.1646373742720956E-2</v>
      </c>
      <c r="H418" s="38">
        <v>9.4700000000000006</v>
      </c>
      <c r="I418" s="38">
        <v>9.0500000000000007</v>
      </c>
      <c r="J418" s="22">
        <f t="shared" si="117"/>
        <v>4.535637149028076E-2</v>
      </c>
      <c r="K418" s="35">
        <v>9000</v>
      </c>
      <c r="L418" s="37">
        <f t="shared" si="118"/>
        <v>15000000</v>
      </c>
      <c r="M418">
        <f t="shared" si="119"/>
        <v>85500</v>
      </c>
      <c r="N418" s="37">
        <f t="shared" si="120"/>
        <v>11880000</v>
      </c>
      <c r="O418">
        <f t="shared" si="121"/>
        <v>7.5757575757575758E-4</v>
      </c>
      <c r="P418">
        <v>72764.240000000005</v>
      </c>
      <c r="Q418" s="8">
        <v>0.21590000000000001</v>
      </c>
      <c r="R418" s="37">
        <f t="shared" si="122"/>
        <v>207530000</v>
      </c>
      <c r="S418" s="37">
        <f t="shared" si="123"/>
        <v>23450000</v>
      </c>
      <c r="T418" s="37">
        <f t="shared" si="124"/>
        <v>39000000</v>
      </c>
      <c r="U418" s="37">
        <f t="shared" si="125"/>
        <v>41640000</v>
      </c>
      <c r="V418" s="37">
        <f t="shared" si="125"/>
        <v>41640000</v>
      </c>
      <c r="W418">
        <f t="shared" si="113"/>
        <v>3.9453003200784033E-7</v>
      </c>
      <c r="X418">
        <f t="shared" si="126"/>
        <v>0.20064568977979089</v>
      </c>
    </row>
    <row r="419" spans="1:24">
      <c r="A419" s="33">
        <v>45415</v>
      </c>
      <c r="B419" s="38">
        <v>9.19</v>
      </c>
      <c r="C419" s="23">
        <f t="shared" si="114"/>
        <v>-1.1827956989247441E-2</v>
      </c>
      <c r="D419" s="22">
        <f t="shared" si="115"/>
        <v>2.672059092276197E-2</v>
      </c>
      <c r="E419" s="38">
        <v>9.25</v>
      </c>
      <c r="F419" s="38">
        <v>9</v>
      </c>
      <c r="G419" s="22">
        <f t="shared" si="116"/>
        <v>2.7397260273972601E-2</v>
      </c>
      <c r="H419" s="38">
        <v>9.2899999999999991</v>
      </c>
      <c r="I419" s="38">
        <v>9</v>
      </c>
      <c r="J419" s="22">
        <f t="shared" si="117"/>
        <v>3.1711317659923362E-2</v>
      </c>
      <c r="K419" s="35">
        <v>5000</v>
      </c>
      <c r="L419" s="37">
        <f t="shared" si="118"/>
        <v>15000000</v>
      </c>
      <c r="M419">
        <f t="shared" si="119"/>
        <v>45950</v>
      </c>
      <c r="N419" s="37">
        <f t="shared" si="120"/>
        <v>11880000</v>
      </c>
      <c r="O419">
        <f t="shared" si="121"/>
        <v>4.2087542087542086E-4</v>
      </c>
      <c r="P419">
        <v>71902.09</v>
      </c>
      <c r="Q419" s="8">
        <v>0.21590000000000001</v>
      </c>
      <c r="R419" s="37">
        <f t="shared" si="122"/>
        <v>207530000</v>
      </c>
      <c r="S419" s="37">
        <f t="shared" si="123"/>
        <v>23450000</v>
      </c>
      <c r="T419" s="37">
        <f t="shared" si="124"/>
        <v>39000000</v>
      </c>
      <c r="U419" s="37">
        <f t="shared" si="125"/>
        <v>41640000</v>
      </c>
      <c r="V419" s="37">
        <f t="shared" si="125"/>
        <v>41640000</v>
      </c>
      <c r="W419">
        <f t="shared" si="113"/>
        <v>2.5740929247546119E-7</v>
      </c>
      <c r="X419">
        <f t="shared" si="126"/>
        <v>0.20064568977979089</v>
      </c>
    </row>
    <row r="420" spans="1:24">
      <c r="A420" s="33">
        <v>45414</v>
      </c>
      <c r="B420" s="38">
        <v>9.3000000000000007</v>
      </c>
      <c r="C420" s="23">
        <f t="shared" si="114"/>
        <v>0</v>
      </c>
      <c r="D420" s="22">
        <f t="shared" si="115"/>
        <v>2.672059092276197E-2</v>
      </c>
      <c r="E420" s="38">
        <v>9</v>
      </c>
      <c r="F420" s="38">
        <v>9</v>
      </c>
      <c r="G420" s="22">
        <f t="shared" si="116"/>
        <v>0</v>
      </c>
      <c r="H420" s="38">
        <v>11.3</v>
      </c>
      <c r="I420" s="38">
        <v>8.61</v>
      </c>
      <c r="J420" s="22">
        <f t="shared" si="117"/>
        <v>0.27021597187343055</v>
      </c>
      <c r="K420" s="35"/>
      <c r="L420" s="37">
        <f t="shared" si="118"/>
        <v>15000000</v>
      </c>
      <c r="M420">
        <f t="shared" si="119"/>
        <v>0</v>
      </c>
      <c r="N420" s="37">
        <f t="shared" si="120"/>
        <v>11880000</v>
      </c>
      <c r="O420">
        <f t="shared" si="121"/>
        <v>0</v>
      </c>
      <c r="P420">
        <v>70657.64</v>
      </c>
      <c r="Q420" s="8">
        <v>0.21590000000000001</v>
      </c>
      <c r="R420" s="37">
        <f t="shared" si="122"/>
        <v>207530000</v>
      </c>
      <c r="S420" s="37">
        <f t="shared" si="123"/>
        <v>23450000</v>
      </c>
      <c r="T420" s="37">
        <f t="shared" si="124"/>
        <v>39000000</v>
      </c>
      <c r="U420" s="37">
        <f t="shared" si="125"/>
        <v>41640000</v>
      </c>
      <c r="V420" s="37">
        <f t="shared" si="125"/>
        <v>41640000</v>
      </c>
      <c r="W420">
        <f t="shared" si="113"/>
        <v>0</v>
      </c>
      <c r="X420">
        <f t="shared" si="126"/>
        <v>0.20064568977979089</v>
      </c>
    </row>
    <row r="421" spans="1:24">
      <c r="A421" s="33">
        <v>45412</v>
      </c>
      <c r="B421" s="38">
        <v>9.3000000000000007</v>
      </c>
      <c r="C421" s="23">
        <f t="shared" si="114"/>
        <v>1.086956521739146E-2</v>
      </c>
      <c r="D421" s="22">
        <f t="shared" si="115"/>
        <v>2.672059092276197E-2</v>
      </c>
      <c r="E421" s="38">
        <v>9.4700000000000006</v>
      </c>
      <c r="F421" s="38">
        <v>9</v>
      </c>
      <c r="G421" s="22">
        <f t="shared" si="116"/>
        <v>5.0893340552246959E-2</v>
      </c>
      <c r="H421" s="38">
        <v>9.2899999999999991</v>
      </c>
      <c r="I421" s="38">
        <v>9.02</v>
      </c>
      <c r="J421" s="22">
        <f t="shared" si="117"/>
        <v>2.9492080830147416E-2</v>
      </c>
      <c r="K421" s="35">
        <v>9500</v>
      </c>
      <c r="L421" s="37">
        <f t="shared" si="118"/>
        <v>15000000</v>
      </c>
      <c r="M421">
        <f t="shared" si="119"/>
        <v>88350</v>
      </c>
      <c r="N421" s="37">
        <f t="shared" si="120"/>
        <v>11880000</v>
      </c>
      <c r="O421">
        <f t="shared" si="121"/>
        <v>7.9966329966329964E-4</v>
      </c>
      <c r="P421">
        <v>71102.55</v>
      </c>
      <c r="Q421" s="8">
        <v>0.21590000000000001</v>
      </c>
      <c r="R421" s="37">
        <f t="shared" si="122"/>
        <v>207530000</v>
      </c>
      <c r="S421" s="37">
        <f t="shared" si="123"/>
        <v>23450000</v>
      </c>
      <c r="T421" s="37">
        <f t="shared" si="124"/>
        <v>39000000</v>
      </c>
      <c r="U421" s="37">
        <f t="shared" si="125"/>
        <v>41640000</v>
      </c>
      <c r="V421" s="37">
        <f t="shared" si="125"/>
        <v>41640000</v>
      </c>
      <c r="W421">
        <f t="shared" si="113"/>
        <v>1.2302846878767924E-7</v>
      </c>
      <c r="X421">
        <f t="shared" si="126"/>
        <v>0.20064568977979089</v>
      </c>
    </row>
    <row r="422" spans="1:24">
      <c r="A422" s="33">
        <v>45411</v>
      </c>
      <c r="B422" s="38">
        <v>9.1999999999999993</v>
      </c>
      <c r="C422" s="23">
        <f t="shared" si="114"/>
        <v>2.2222222222222143E-2</v>
      </c>
      <c r="D422" s="22">
        <f t="shared" si="115"/>
        <v>2.672059092276197E-2</v>
      </c>
      <c r="E422" s="38">
        <v>9.3000000000000007</v>
      </c>
      <c r="F422" s="38">
        <v>9</v>
      </c>
      <c r="G422" s="22">
        <f t="shared" si="116"/>
        <v>3.2786885245901717E-2</v>
      </c>
      <c r="H422" s="38">
        <v>9.4</v>
      </c>
      <c r="I422" s="38">
        <v>8.83</v>
      </c>
      <c r="J422" s="22">
        <f t="shared" si="117"/>
        <v>6.2534284147010455E-2</v>
      </c>
      <c r="K422" s="35">
        <v>946000</v>
      </c>
      <c r="L422" s="37">
        <f t="shared" si="118"/>
        <v>15000000</v>
      </c>
      <c r="M422">
        <f t="shared" si="119"/>
        <v>8703200</v>
      </c>
      <c r="N422" s="37">
        <f t="shared" si="120"/>
        <v>11880000</v>
      </c>
      <c r="O422">
        <f t="shared" si="121"/>
        <v>7.9629629629629634E-2</v>
      </c>
      <c r="P422">
        <v>71695.03</v>
      </c>
      <c r="Q422" s="8">
        <v>0.21640000000000001</v>
      </c>
      <c r="R422" s="37">
        <f t="shared" si="122"/>
        <v>207530000</v>
      </c>
      <c r="S422" s="37">
        <f t="shared" si="123"/>
        <v>23450000</v>
      </c>
      <c r="T422" s="37">
        <f t="shared" si="124"/>
        <v>39000000</v>
      </c>
      <c r="U422" s="37">
        <f t="shared" si="125"/>
        <v>41640000</v>
      </c>
      <c r="V422" s="37">
        <f t="shared" si="125"/>
        <v>41640000</v>
      </c>
      <c r="W422">
        <f t="shared" si="113"/>
        <v>2.5533392570804009E-9</v>
      </c>
      <c r="X422">
        <f t="shared" si="126"/>
        <v>0.20064568977979089</v>
      </c>
    </row>
    <row r="423" spans="1:24">
      <c r="A423" s="33">
        <v>45408</v>
      </c>
      <c r="B423" s="38">
        <v>9</v>
      </c>
      <c r="C423" s="23">
        <f t="shared" si="114"/>
        <v>-5.2631578947368418E-2</v>
      </c>
      <c r="D423" s="22">
        <f t="shared" si="115"/>
        <v>2.672059092276197E-2</v>
      </c>
      <c r="E423" s="38">
        <v>9.5</v>
      </c>
      <c r="F423" s="38">
        <v>8.91</v>
      </c>
      <c r="G423" s="22">
        <f t="shared" si="116"/>
        <v>6.4095600217273202E-2</v>
      </c>
      <c r="H423" s="38">
        <v>9</v>
      </c>
      <c r="I423" s="38">
        <v>8.9</v>
      </c>
      <c r="J423" s="22">
        <f t="shared" si="117"/>
        <v>1.117318435754186E-2</v>
      </c>
      <c r="K423" s="35">
        <v>964000</v>
      </c>
      <c r="L423" s="37">
        <f t="shared" si="118"/>
        <v>15000000</v>
      </c>
      <c r="M423">
        <f t="shared" si="119"/>
        <v>8676000</v>
      </c>
      <c r="N423" s="37">
        <f t="shared" si="120"/>
        <v>11880000</v>
      </c>
      <c r="O423">
        <f t="shared" si="121"/>
        <v>8.1144781144781145E-2</v>
      </c>
      <c r="P423">
        <v>72742.75</v>
      </c>
      <c r="Q423" s="8">
        <v>0.21640000000000001</v>
      </c>
      <c r="R423" s="37">
        <f t="shared" si="122"/>
        <v>207530000</v>
      </c>
      <c r="S423" s="37">
        <f t="shared" si="123"/>
        <v>23450000</v>
      </c>
      <c r="T423" s="37">
        <f t="shared" si="124"/>
        <v>39000000</v>
      </c>
      <c r="U423" s="37">
        <f t="shared" si="125"/>
        <v>41640000</v>
      </c>
      <c r="V423" s="37">
        <f t="shared" si="125"/>
        <v>41640000</v>
      </c>
      <c r="W423">
        <f t="shared" si="113"/>
        <v>6.0663415107616893E-9</v>
      </c>
      <c r="X423">
        <f t="shared" si="126"/>
        <v>0.20064568977979089</v>
      </c>
    </row>
    <row r="424" spans="1:24">
      <c r="A424" s="33">
        <v>45407</v>
      </c>
      <c r="B424" s="38">
        <v>9.5</v>
      </c>
      <c r="C424" s="23">
        <f t="shared" si="114"/>
        <v>0</v>
      </c>
      <c r="D424" s="22">
        <f t="shared" si="115"/>
        <v>2.672059092276197E-2</v>
      </c>
      <c r="E424" s="38">
        <v>9.51</v>
      </c>
      <c r="F424" s="38">
        <v>9.5</v>
      </c>
      <c r="G424" s="22">
        <f t="shared" si="116"/>
        <v>1.052077853761156E-3</v>
      </c>
      <c r="H424" s="38">
        <v>9.5</v>
      </c>
      <c r="I424" s="38">
        <v>9.23</v>
      </c>
      <c r="J424" s="22">
        <f t="shared" si="117"/>
        <v>2.8830752802989811E-2</v>
      </c>
      <c r="K424" s="35">
        <v>10000</v>
      </c>
      <c r="L424" s="37">
        <f t="shared" si="118"/>
        <v>15000000</v>
      </c>
      <c r="M424">
        <f t="shared" si="119"/>
        <v>95000</v>
      </c>
      <c r="N424" s="37">
        <f t="shared" si="120"/>
        <v>11880000</v>
      </c>
      <c r="O424">
        <f t="shared" si="121"/>
        <v>8.4175084175084171E-4</v>
      </c>
      <c r="P424">
        <v>71971.399999999994</v>
      </c>
      <c r="Q424" s="8">
        <v>0.21640000000000001</v>
      </c>
      <c r="R424" s="37">
        <f t="shared" si="122"/>
        <v>207530000</v>
      </c>
      <c r="S424" s="37">
        <f t="shared" si="123"/>
        <v>23450000</v>
      </c>
      <c r="T424" s="37">
        <f t="shared" si="124"/>
        <v>39000000</v>
      </c>
      <c r="U424" s="37">
        <f t="shared" si="125"/>
        <v>41640000</v>
      </c>
      <c r="V424" s="37">
        <f t="shared" si="125"/>
        <v>41640000</v>
      </c>
      <c r="W424">
        <f t="shared" si="113"/>
        <v>0</v>
      </c>
      <c r="X424">
        <f t="shared" si="126"/>
        <v>0.20064568977979089</v>
      </c>
    </row>
    <row r="425" spans="1:24">
      <c r="A425" s="33">
        <v>45406</v>
      </c>
      <c r="B425" s="38">
        <v>9.5</v>
      </c>
      <c r="C425" s="23">
        <f t="shared" si="114"/>
        <v>-1.0515247108306822E-3</v>
      </c>
      <c r="D425" s="22">
        <f t="shared" si="115"/>
        <v>2.672059092276197E-2</v>
      </c>
      <c r="E425" s="38">
        <v>9.8000000000000007</v>
      </c>
      <c r="F425" s="38">
        <v>9.5</v>
      </c>
      <c r="G425" s="22">
        <f t="shared" si="116"/>
        <v>3.1088082901554476E-2</v>
      </c>
      <c r="H425" s="38">
        <v>9.65</v>
      </c>
      <c r="I425" s="38">
        <v>9.5299999999999994</v>
      </c>
      <c r="J425" s="22">
        <f t="shared" si="117"/>
        <v>1.2513034410844734E-2</v>
      </c>
      <c r="K425" s="35">
        <v>10500</v>
      </c>
      <c r="L425" s="37">
        <f t="shared" si="118"/>
        <v>15000000</v>
      </c>
      <c r="M425">
        <f t="shared" si="119"/>
        <v>99750</v>
      </c>
      <c r="N425" s="37">
        <f t="shared" si="120"/>
        <v>11880000</v>
      </c>
      <c r="O425">
        <f t="shared" si="121"/>
        <v>8.8383838383838389E-4</v>
      </c>
      <c r="P425">
        <v>72051.89</v>
      </c>
      <c r="Q425" s="8">
        <v>0.21640000000000001</v>
      </c>
      <c r="R425" s="37">
        <f t="shared" si="122"/>
        <v>207530000</v>
      </c>
      <c r="S425" s="37">
        <f t="shared" si="123"/>
        <v>23450000</v>
      </c>
      <c r="T425" s="37">
        <f t="shared" si="124"/>
        <v>39000000</v>
      </c>
      <c r="U425" s="37">
        <f t="shared" si="125"/>
        <v>41640000</v>
      </c>
      <c r="V425" s="37">
        <f t="shared" si="125"/>
        <v>41640000</v>
      </c>
      <c r="W425">
        <f t="shared" si="113"/>
        <v>1.0541601111084532E-8</v>
      </c>
      <c r="X425">
        <f t="shared" si="126"/>
        <v>0.20064568977979089</v>
      </c>
    </row>
    <row r="426" spans="1:24">
      <c r="A426" s="33">
        <v>45405</v>
      </c>
      <c r="B426" s="38">
        <v>9.51</v>
      </c>
      <c r="C426" s="23">
        <f t="shared" si="114"/>
        <v>-1.7561983471074374E-2</v>
      </c>
      <c r="D426" s="22">
        <f t="shared" si="115"/>
        <v>2.672059092276197E-2</v>
      </c>
      <c r="E426" s="38">
        <v>9.75</v>
      </c>
      <c r="F426" s="38">
        <v>9.51</v>
      </c>
      <c r="G426" s="22">
        <f t="shared" si="116"/>
        <v>2.4922118380062329E-2</v>
      </c>
      <c r="H426" s="38">
        <v>9.83</v>
      </c>
      <c r="I426" s="38">
        <v>9.52</v>
      </c>
      <c r="J426" s="22">
        <f t="shared" si="117"/>
        <v>3.2041343669250696E-2</v>
      </c>
      <c r="K426" s="35">
        <v>3000</v>
      </c>
      <c r="L426" s="37">
        <f t="shared" si="118"/>
        <v>15000000</v>
      </c>
      <c r="M426">
        <f t="shared" si="119"/>
        <v>28530</v>
      </c>
      <c r="N426" s="37">
        <f t="shared" si="120"/>
        <v>11880000</v>
      </c>
      <c r="O426">
        <f t="shared" si="121"/>
        <v>2.5252525252525253E-4</v>
      </c>
      <c r="P426">
        <v>71359.41</v>
      </c>
      <c r="Q426" s="8">
        <v>0.21640000000000001</v>
      </c>
      <c r="R426" s="37">
        <f t="shared" si="122"/>
        <v>207530000</v>
      </c>
      <c r="S426" s="37">
        <f t="shared" si="123"/>
        <v>23450000</v>
      </c>
      <c r="T426" s="37">
        <f t="shared" si="124"/>
        <v>39000000</v>
      </c>
      <c r="U426" s="37">
        <f t="shared" si="125"/>
        <v>41640000</v>
      </c>
      <c r="V426" s="37">
        <f t="shared" si="125"/>
        <v>41640000</v>
      </c>
      <c r="W426">
        <f t="shared" si="113"/>
        <v>6.1556198636783649E-7</v>
      </c>
      <c r="X426">
        <f t="shared" si="126"/>
        <v>0.20064568977979089</v>
      </c>
    </row>
    <row r="427" spans="1:24">
      <c r="A427" s="33">
        <v>45404</v>
      </c>
      <c r="B427" s="38">
        <v>9.68</v>
      </c>
      <c r="C427" s="23">
        <f t="shared" si="114"/>
        <v>1.6806722689075647E-2</v>
      </c>
      <c r="D427" s="22">
        <f t="shared" si="115"/>
        <v>2.672059092276197E-2</v>
      </c>
      <c r="E427" s="38">
        <v>9.9</v>
      </c>
      <c r="F427" s="38">
        <v>9.5500000000000007</v>
      </c>
      <c r="G427" s="22">
        <f t="shared" si="116"/>
        <v>3.5989717223650346E-2</v>
      </c>
      <c r="H427" s="38">
        <v>9.8000000000000007</v>
      </c>
      <c r="I427" s="38">
        <v>9.51</v>
      </c>
      <c r="J427" s="22">
        <f t="shared" si="117"/>
        <v>3.003625064733308E-2</v>
      </c>
      <c r="K427" s="35">
        <v>205500</v>
      </c>
      <c r="L427" s="37">
        <f t="shared" si="118"/>
        <v>15000000</v>
      </c>
      <c r="M427">
        <f t="shared" si="119"/>
        <v>1989240</v>
      </c>
      <c r="N427" s="37">
        <f t="shared" si="120"/>
        <v>11880000</v>
      </c>
      <c r="O427">
        <f t="shared" si="121"/>
        <v>1.7297979797979798E-2</v>
      </c>
      <c r="P427">
        <v>71433.460000000006</v>
      </c>
      <c r="Q427" s="8">
        <v>0.21640000000000001</v>
      </c>
      <c r="R427" s="37">
        <f t="shared" si="122"/>
        <v>207530000</v>
      </c>
      <c r="S427" s="37">
        <f t="shared" si="123"/>
        <v>23450000</v>
      </c>
      <c r="T427" s="37">
        <f t="shared" si="124"/>
        <v>39000000</v>
      </c>
      <c r="U427" s="37">
        <f t="shared" si="125"/>
        <v>41640000</v>
      </c>
      <c r="V427" s="37">
        <f t="shared" si="125"/>
        <v>41640000</v>
      </c>
      <c r="W427">
        <f t="shared" si="113"/>
        <v>8.4488159744805295E-9</v>
      </c>
      <c r="X427">
        <f t="shared" si="126"/>
        <v>0.20064568977979089</v>
      </c>
    </row>
    <row r="428" spans="1:24">
      <c r="A428" s="33">
        <v>45401</v>
      </c>
      <c r="B428" s="38">
        <v>9.52</v>
      </c>
      <c r="C428" s="23">
        <f t="shared" si="114"/>
        <v>-2.0576131687242906E-2</v>
      </c>
      <c r="D428" s="22">
        <f t="shared" si="115"/>
        <v>2.672059092276197E-2</v>
      </c>
      <c r="E428" s="38">
        <v>9.8000000000000007</v>
      </c>
      <c r="F428" s="38">
        <v>9.35</v>
      </c>
      <c r="G428" s="22">
        <f t="shared" si="116"/>
        <v>4.6997389033942676E-2</v>
      </c>
      <c r="H428" s="38">
        <v>9.7899999999999991</v>
      </c>
      <c r="I428" s="38">
        <v>9.36</v>
      </c>
      <c r="J428" s="22">
        <f t="shared" si="117"/>
        <v>4.4908616187989532E-2</v>
      </c>
      <c r="K428" s="35">
        <v>14500</v>
      </c>
      <c r="L428" s="37">
        <f t="shared" si="118"/>
        <v>15000000</v>
      </c>
      <c r="M428">
        <f t="shared" si="119"/>
        <v>138040</v>
      </c>
      <c r="N428" s="37">
        <f t="shared" si="120"/>
        <v>11880000</v>
      </c>
      <c r="O428">
        <f t="shared" si="121"/>
        <v>1.2205387205387204E-3</v>
      </c>
      <c r="P428">
        <v>70909.899999999994</v>
      </c>
      <c r="Q428" s="8">
        <v>0.21640000000000001</v>
      </c>
      <c r="R428" s="37">
        <f t="shared" si="122"/>
        <v>207530000</v>
      </c>
      <c r="S428" s="37">
        <f t="shared" si="123"/>
        <v>23450000</v>
      </c>
      <c r="T428" s="37">
        <f t="shared" si="124"/>
        <v>39000000</v>
      </c>
      <c r="U428" s="37">
        <f t="shared" si="125"/>
        <v>41640000</v>
      </c>
      <c r="V428" s="37">
        <f t="shared" si="125"/>
        <v>41640000</v>
      </c>
      <c r="W428">
        <f t="shared" si="113"/>
        <v>1.4905919796611782E-7</v>
      </c>
      <c r="X428">
        <f t="shared" si="126"/>
        <v>0.20064568977979089</v>
      </c>
    </row>
    <row r="429" spans="1:24">
      <c r="A429" s="33">
        <v>45400</v>
      </c>
      <c r="B429" s="38">
        <v>9.7200000000000006</v>
      </c>
      <c r="C429" s="23">
        <f t="shared" si="114"/>
        <v>2.061855670103232E-3</v>
      </c>
      <c r="D429" s="22">
        <f t="shared" si="115"/>
        <v>2.672059092276197E-2</v>
      </c>
      <c r="E429" s="38">
        <v>9.9</v>
      </c>
      <c r="F429" s="38">
        <v>9.6999999999999993</v>
      </c>
      <c r="G429" s="22">
        <f t="shared" si="116"/>
        <v>2.0408163265306228E-2</v>
      </c>
      <c r="H429" s="38">
        <v>9.6999999999999993</v>
      </c>
      <c r="I429" s="38">
        <v>9.6199999999999992</v>
      </c>
      <c r="J429" s="22">
        <f t="shared" si="117"/>
        <v>8.2815734989648108E-3</v>
      </c>
      <c r="K429" s="35">
        <v>12500</v>
      </c>
      <c r="L429" s="37">
        <f t="shared" si="118"/>
        <v>15000000</v>
      </c>
      <c r="M429">
        <f t="shared" si="119"/>
        <v>121500.00000000001</v>
      </c>
      <c r="N429" s="37">
        <f t="shared" si="120"/>
        <v>11880000</v>
      </c>
      <c r="O429">
        <f t="shared" si="121"/>
        <v>1.0521885521885522E-3</v>
      </c>
      <c r="P429">
        <v>70290.12</v>
      </c>
      <c r="Q429" s="8">
        <v>0.21640000000000001</v>
      </c>
      <c r="R429" s="37">
        <f t="shared" si="122"/>
        <v>207530000</v>
      </c>
      <c r="S429" s="37">
        <f t="shared" si="123"/>
        <v>23450000</v>
      </c>
      <c r="T429" s="37">
        <f t="shared" si="124"/>
        <v>39000000</v>
      </c>
      <c r="U429" s="37">
        <f t="shared" si="125"/>
        <v>41640000</v>
      </c>
      <c r="V429" s="37">
        <f t="shared" si="125"/>
        <v>41640000</v>
      </c>
      <c r="W429">
        <f t="shared" si="113"/>
        <v>1.6970005515252935E-8</v>
      </c>
      <c r="X429">
        <f t="shared" si="126"/>
        <v>0.20064568977979089</v>
      </c>
    </row>
    <row r="430" spans="1:24">
      <c r="A430" s="33">
        <v>45399</v>
      </c>
      <c r="B430" s="38">
        <v>9.6999999999999993</v>
      </c>
      <c r="C430" s="23">
        <f t="shared" si="114"/>
        <v>-6.1475409836066084E-3</v>
      </c>
      <c r="D430" s="22">
        <f t="shared" si="115"/>
        <v>2.672059092276197E-2</v>
      </c>
      <c r="E430" s="38">
        <v>9.9</v>
      </c>
      <c r="F430" s="38">
        <v>9.61</v>
      </c>
      <c r="G430" s="22">
        <f t="shared" si="116"/>
        <v>2.9728344438749457E-2</v>
      </c>
      <c r="H430" s="38">
        <v>9.8000000000000007</v>
      </c>
      <c r="I430" s="38">
        <v>9.6999999999999993</v>
      </c>
      <c r="J430" s="22">
        <f t="shared" si="117"/>
        <v>1.0256410256410402E-2</v>
      </c>
      <c r="K430" s="35">
        <v>14500</v>
      </c>
      <c r="L430" s="37">
        <f t="shared" si="118"/>
        <v>15000000</v>
      </c>
      <c r="M430">
        <f t="shared" si="119"/>
        <v>140650</v>
      </c>
      <c r="N430" s="37">
        <f t="shared" si="120"/>
        <v>11880000</v>
      </c>
      <c r="O430">
        <f t="shared" si="121"/>
        <v>1.2205387205387204E-3</v>
      </c>
      <c r="P430">
        <v>70333.320000000007</v>
      </c>
      <c r="Q430" s="8">
        <v>0.21640000000000001</v>
      </c>
      <c r="R430" s="37">
        <f t="shared" si="122"/>
        <v>207530000</v>
      </c>
      <c r="S430" s="37">
        <f t="shared" si="123"/>
        <v>23450000</v>
      </c>
      <c r="T430" s="37">
        <f t="shared" si="124"/>
        <v>39000000</v>
      </c>
      <c r="U430" s="37">
        <f t="shared" si="125"/>
        <v>41640000</v>
      </c>
      <c r="V430" s="37">
        <f t="shared" si="125"/>
        <v>41640000</v>
      </c>
      <c r="W430">
        <f t="shared" si="113"/>
        <v>4.3708076669794586E-8</v>
      </c>
      <c r="X430">
        <f t="shared" si="126"/>
        <v>0.20064568977979089</v>
      </c>
    </row>
    <row r="431" spans="1:24">
      <c r="A431" s="33">
        <v>45398</v>
      </c>
      <c r="B431" s="38">
        <v>9.76</v>
      </c>
      <c r="C431" s="23">
        <f t="shared" si="114"/>
        <v>-1.4141414141414198E-2</v>
      </c>
      <c r="D431" s="22">
        <f t="shared" si="115"/>
        <v>2.672059092276197E-2</v>
      </c>
      <c r="E431" s="38">
        <v>9.98</v>
      </c>
      <c r="F431" s="38">
        <v>9.6999999999999993</v>
      </c>
      <c r="G431" s="22">
        <f t="shared" si="116"/>
        <v>2.8455284552845645E-2</v>
      </c>
      <c r="H431" s="38">
        <v>9.8000000000000007</v>
      </c>
      <c r="I431" s="38">
        <v>9.6999999999999993</v>
      </c>
      <c r="J431" s="22">
        <f t="shared" si="117"/>
        <v>1.0256410256410402E-2</v>
      </c>
      <c r="K431" s="35">
        <v>664500</v>
      </c>
      <c r="L431" s="37">
        <f t="shared" si="118"/>
        <v>15000000</v>
      </c>
      <c r="M431">
        <f t="shared" si="119"/>
        <v>6485520</v>
      </c>
      <c r="N431" s="37">
        <f t="shared" si="120"/>
        <v>11880000</v>
      </c>
      <c r="O431">
        <f t="shared" si="121"/>
        <v>5.5934343434343434E-2</v>
      </c>
      <c r="P431">
        <v>70483.66</v>
      </c>
      <c r="Q431" s="8">
        <v>0.216</v>
      </c>
      <c r="R431" s="37">
        <f t="shared" si="122"/>
        <v>207530000</v>
      </c>
      <c r="S431" s="37">
        <f t="shared" si="123"/>
        <v>23450000</v>
      </c>
      <c r="T431" s="37">
        <f t="shared" si="124"/>
        <v>39000000</v>
      </c>
      <c r="U431" s="37">
        <f t="shared" si="125"/>
        <v>41640000</v>
      </c>
      <c r="V431" s="37">
        <f t="shared" si="125"/>
        <v>41640000</v>
      </c>
      <c r="W431">
        <f t="shared" si="113"/>
        <v>2.1804595686104119E-9</v>
      </c>
      <c r="X431">
        <f t="shared" si="126"/>
        <v>0.20064568977979089</v>
      </c>
    </row>
    <row r="432" spans="1:24">
      <c r="A432" s="33">
        <v>45397</v>
      </c>
      <c r="B432" s="38">
        <v>9.9</v>
      </c>
      <c r="C432" s="23">
        <f t="shared" si="114"/>
        <v>-6.0240963855422184E-3</v>
      </c>
      <c r="D432" s="22">
        <f t="shared" si="115"/>
        <v>2.672059092276197E-2</v>
      </c>
      <c r="E432" s="38">
        <v>10</v>
      </c>
      <c r="F432" s="38">
        <v>9.6999999999999993</v>
      </c>
      <c r="G432" s="22">
        <f t="shared" si="116"/>
        <v>3.0456852791878247E-2</v>
      </c>
      <c r="H432" s="38">
        <v>9.9</v>
      </c>
      <c r="I432" s="38">
        <v>9.8000000000000007</v>
      </c>
      <c r="J432" s="22">
        <f t="shared" si="117"/>
        <v>1.0152284263959354E-2</v>
      </c>
      <c r="K432" s="35">
        <v>106000</v>
      </c>
      <c r="L432" s="37">
        <f t="shared" si="118"/>
        <v>15000000</v>
      </c>
      <c r="M432">
        <f t="shared" si="119"/>
        <v>1049400</v>
      </c>
      <c r="N432" s="37">
        <f t="shared" si="120"/>
        <v>11880000</v>
      </c>
      <c r="O432">
        <f t="shared" si="121"/>
        <v>8.9225589225589222E-3</v>
      </c>
      <c r="P432">
        <v>70544.58</v>
      </c>
      <c r="Q432" s="8">
        <v>0.216</v>
      </c>
      <c r="R432" s="37">
        <f t="shared" si="122"/>
        <v>207530000</v>
      </c>
      <c r="S432" s="37">
        <f t="shared" si="123"/>
        <v>23450000</v>
      </c>
      <c r="T432" s="37">
        <f t="shared" si="124"/>
        <v>39000000</v>
      </c>
      <c r="U432" s="37">
        <f t="shared" si="125"/>
        <v>41640000</v>
      </c>
      <c r="V432" s="37">
        <f t="shared" si="125"/>
        <v>41640000</v>
      </c>
      <c r="W432">
        <f t="shared" si="113"/>
        <v>5.7405149471528667E-9</v>
      </c>
      <c r="X432">
        <f t="shared" si="126"/>
        <v>0.20064568977979089</v>
      </c>
    </row>
    <row r="433" spans="1:24">
      <c r="A433" s="33">
        <v>45391</v>
      </c>
      <c r="B433" s="38">
        <v>9.9600000000000009</v>
      </c>
      <c r="C433" s="23">
        <f t="shared" si="114"/>
        <v>3.2124352331606265E-2</v>
      </c>
      <c r="D433" s="22">
        <f t="shared" si="115"/>
        <v>2.672059092276197E-2</v>
      </c>
      <c r="E433" s="38">
        <v>9.9700000000000006</v>
      </c>
      <c r="F433" s="38">
        <v>9.6999999999999993</v>
      </c>
      <c r="G433" s="22">
        <f t="shared" si="116"/>
        <v>2.7452974072191289E-2</v>
      </c>
      <c r="H433" s="38">
        <v>9.94</v>
      </c>
      <c r="I433" s="38">
        <v>9.82</v>
      </c>
      <c r="J433" s="22">
        <f t="shared" si="117"/>
        <v>1.2145748987854173E-2</v>
      </c>
      <c r="K433" s="35">
        <v>582000</v>
      </c>
      <c r="L433" s="37">
        <f t="shared" si="118"/>
        <v>15000000</v>
      </c>
      <c r="M433">
        <f t="shared" si="119"/>
        <v>5796720.0000000009</v>
      </c>
      <c r="N433" s="37">
        <f t="shared" si="120"/>
        <v>11880000</v>
      </c>
      <c r="O433">
        <f t="shared" si="121"/>
        <v>4.8989898989898993E-2</v>
      </c>
      <c r="P433">
        <v>70314.720000000001</v>
      </c>
      <c r="Q433" s="8">
        <v>0.216</v>
      </c>
      <c r="R433" s="37">
        <f t="shared" si="122"/>
        <v>207530000</v>
      </c>
      <c r="S433" s="37">
        <f t="shared" si="123"/>
        <v>23450000</v>
      </c>
      <c r="T433" s="37">
        <f t="shared" si="124"/>
        <v>39000000</v>
      </c>
      <c r="U433" s="37">
        <f t="shared" si="125"/>
        <v>41640000</v>
      </c>
      <c r="V433" s="37">
        <f t="shared" si="125"/>
        <v>41640000</v>
      </c>
      <c r="W433">
        <f t="shared" si="113"/>
        <v>5.5418154286572852E-9</v>
      </c>
      <c r="X433">
        <f t="shared" si="126"/>
        <v>0.20064568977979089</v>
      </c>
    </row>
    <row r="434" spans="1:24">
      <c r="A434" s="33">
        <v>45390</v>
      </c>
      <c r="B434" s="38">
        <v>9.65</v>
      </c>
      <c r="C434" s="23">
        <f t="shared" si="114"/>
        <v>-2.2289766970617922E-2</v>
      </c>
      <c r="D434" s="22">
        <f t="shared" si="115"/>
        <v>2.672059092276197E-2</v>
      </c>
      <c r="E434" s="38">
        <v>9.9700000000000006</v>
      </c>
      <c r="F434" s="38">
        <v>9.65</v>
      </c>
      <c r="G434" s="22">
        <f t="shared" si="116"/>
        <v>3.2619775739041824E-2</v>
      </c>
      <c r="H434" s="38">
        <v>9.6999999999999993</v>
      </c>
      <c r="I434" s="38">
        <v>9.61</v>
      </c>
      <c r="J434" s="22">
        <f t="shared" si="117"/>
        <v>9.3215950284826366E-3</v>
      </c>
      <c r="K434" s="35">
        <v>588500</v>
      </c>
      <c r="L434" s="37">
        <f t="shared" si="118"/>
        <v>15000000</v>
      </c>
      <c r="M434">
        <f t="shared" si="119"/>
        <v>5679025</v>
      </c>
      <c r="N434" s="37">
        <f t="shared" si="120"/>
        <v>11880000</v>
      </c>
      <c r="O434">
        <f t="shared" si="121"/>
        <v>4.9537037037037039E-2</v>
      </c>
      <c r="P434">
        <v>69619.990000000005</v>
      </c>
      <c r="Q434" s="8">
        <v>0.216</v>
      </c>
      <c r="R434" s="37">
        <f t="shared" si="122"/>
        <v>207530000</v>
      </c>
      <c r="S434" s="37">
        <f t="shared" si="123"/>
        <v>23450000</v>
      </c>
      <c r="T434" s="37">
        <f t="shared" si="124"/>
        <v>39000000</v>
      </c>
      <c r="U434" s="37">
        <f t="shared" si="125"/>
        <v>41640000</v>
      </c>
      <c r="V434" s="37">
        <f t="shared" si="125"/>
        <v>41640000</v>
      </c>
      <c r="W434">
        <f t="shared" si="113"/>
        <v>3.9249284816703435E-9</v>
      </c>
      <c r="X434">
        <f t="shared" si="126"/>
        <v>0.20064568977979089</v>
      </c>
    </row>
    <row r="435" spans="1:24">
      <c r="A435" s="33">
        <v>45386</v>
      </c>
      <c r="B435" s="38">
        <v>9.8699999999999992</v>
      </c>
      <c r="C435" s="23">
        <f t="shared" si="114"/>
        <v>-9.0361445783134157E-3</v>
      </c>
      <c r="D435" s="22">
        <f t="shared" si="115"/>
        <v>2.672059092276197E-2</v>
      </c>
      <c r="E435" s="38">
        <v>9.9</v>
      </c>
      <c r="F435" s="38">
        <v>9.6</v>
      </c>
      <c r="G435" s="22">
        <f t="shared" si="116"/>
        <v>3.0769230769230844E-2</v>
      </c>
      <c r="H435" s="38">
        <v>9.9499999999999993</v>
      </c>
      <c r="I435" s="38">
        <v>9.6999999999999993</v>
      </c>
      <c r="J435" s="22">
        <f t="shared" si="117"/>
        <v>2.5445292620865142E-2</v>
      </c>
      <c r="K435" s="35">
        <v>15500</v>
      </c>
      <c r="L435" s="37">
        <f t="shared" si="118"/>
        <v>15000000</v>
      </c>
      <c r="M435">
        <f t="shared" si="119"/>
        <v>152985</v>
      </c>
      <c r="N435" s="37">
        <f t="shared" si="120"/>
        <v>11880000</v>
      </c>
      <c r="O435">
        <f t="shared" si="121"/>
        <v>1.3047138047138048E-3</v>
      </c>
      <c r="P435">
        <v>68416.78</v>
      </c>
      <c r="Q435" s="8">
        <v>0.216</v>
      </c>
      <c r="R435" s="37">
        <f t="shared" si="122"/>
        <v>207530000</v>
      </c>
      <c r="S435" s="37">
        <f t="shared" si="123"/>
        <v>23450000</v>
      </c>
      <c r="T435" s="37">
        <f t="shared" si="124"/>
        <v>39000000</v>
      </c>
      <c r="U435" s="37">
        <f t="shared" si="125"/>
        <v>41640000</v>
      </c>
      <c r="V435" s="37">
        <f t="shared" si="125"/>
        <v>41640000</v>
      </c>
      <c r="W435">
        <f t="shared" si="113"/>
        <v>5.9065559226809267E-8</v>
      </c>
      <c r="X435">
        <f t="shared" si="126"/>
        <v>0.20064568977979089</v>
      </c>
    </row>
    <row r="436" spans="1:24">
      <c r="A436" s="33">
        <v>45385</v>
      </c>
      <c r="B436" s="38">
        <v>9.9600000000000009</v>
      </c>
      <c r="C436" s="23">
        <f t="shared" si="114"/>
        <v>-3.9999999999999151E-3</v>
      </c>
      <c r="D436" s="22">
        <f t="shared" si="115"/>
        <v>2.672059092276197E-2</v>
      </c>
      <c r="E436" s="38">
        <v>9.9600000000000009</v>
      </c>
      <c r="F436" s="38">
        <v>9.6</v>
      </c>
      <c r="G436" s="22">
        <f t="shared" si="116"/>
        <v>3.6809815950920366E-2</v>
      </c>
      <c r="H436" s="38">
        <v>9.9499999999999993</v>
      </c>
      <c r="I436" s="38">
        <v>9.7200000000000006</v>
      </c>
      <c r="J436" s="22">
        <f t="shared" si="117"/>
        <v>2.3385866802236768E-2</v>
      </c>
      <c r="K436" s="35">
        <v>29000</v>
      </c>
      <c r="L436" s="37">
        <f t="shared" si="118"/>
        <v>15000000</v>
      </c>
      <c r="M436">
        <f t="shared" si="119"/>
        <v>288840</v>
      </c>
      <c r="N436" s="37">
        <f t="shared" si="120"/>
        <v>11880000</v>
      </c>
      <c r="O436">
        <f t="shared" si="121"/>
        <v>2.4410774410774409E-3</v>
      </c>
      <c r="P436">
        <v>67756.039999999994</v>
      </c>
      <c r="Q436" s="8">
        <v>0.216</v>
      </c>
      <c r="R436" s="37">
        <f t="shared" si="122"/>
        <v>207530000</v>
      </c>
      <c r="S436" s="37">
        <f t="shared" si="123"/>
        <v>23450000</v>
      </c>
      <c r="T436" s="37">
        <f t="shared" si="124"/>
        <v>39000000</v>
      </c>
      <c r="U436" s="37">
        <f t="shared" si="125"/>
        <v>41640000</v>
      </c>
      <c r="V436" s="37">
        <f t="shared" si="125"/>
        <v>41640000</v>
      </c>
      <c r="W436">
        <f t="shared" si="113"/>
        <v>1.3848497438027681E-8</v>
      </c>
      <c r="X436">
        <f t="shared" si="126"/>
        <v>0.20064568977979089</v>
      </c>
    </row>
    <row r="437" spans="1:24">
      <c r="A437" s="33">
        <v>45384</v>
      </c>
      <c r="B437" s="38">
        <v>10</v>
      </c>
      <c r="C437" s="23">
        <f t="shared" si="114"/>
        <v>0</v>
      </c>
      <c r="D437" s="22">
        <f t="shared" si="115"/>
        <v>2.672059092276197E-2</v>
      </c>
      <c r="E437" s="38">
        <v>9.8000000000000007</v>
      </c>
      <c r="F437" s="38">
        <v>9.31</v>
      </c>
      <c r="G437" s="22">
        <f t="shared" si="116"/>
        <v>5.1282051282051308E-2</v>
      </c>
      <c r="H437" s="38">
        <v>9.9600000000000009</v>
      </c>
      <c r="I437" s="38">
        <v>9.6</v>
      </c>
      <c r="J437" s="22">
        <f t="shared" si="117"/>
        <v>3.6809815950920366E-2</v>
      </c>
      <c r="K437" s="35"/>
      <c r="L437" s="37">
        <f t="shared" si="118"/>
        <v>15000000</v>
      </c>
      <c r="M437">
        <f t="shared" si="119"/>
        <v>0</v>
      </c>
      <c r="N437" s="37">
        <f t="shared" si="120"/>
        <v>11880000</v>
      </c>
      <c r="O437">
        <f t="shared" si="121"/>
        <v>0</v>
      </c>
      <c r="P437">
        <v>66886.259999999995</v>
      </c>
      <c r="Q437" s="8">
        <v>0.216</v>
      </c>
      <c r="R437" s="37">
        <f t="shared" si="122"/>
        <v>207530000</v>
      </c>
      <c r="S437" s="37">
        <f t="shared" si="123"/>
        <v>23450000</v>
      </c>
      <c r="T437" s="37">
        <f t="shared" si="124"/>
        <v>39000000</v>
      </c>
      <c r="U437" s="37">
        <f t="shared" si="125"/>
        <v>41640000</v>
      </c>
      <c r="V437" s="37">
        <f t="shared" si="125"/>
        <v>41640000</v>
      </c>
      <c r="W437">
        <f t="shared" si="113"/>
        <v>0</v>
      </c>
      <c r="X437">
        <f t="shared" si="126"/>
        <v>0.20064568977979089</v>
      </c>
    </row>
    <row r="438" spans="1:24">
      <c r="A438" s="33">
        <v>45383</v>
      </c>
      <c r="B438" s="38">
        <v>10</v>
      </c>
      <c r="C438" s="23">
        <f t="shared" si="114"/>
        <v>2.0040080160320215E-3</v>
      </c>
      <c r="D438" s="22">
        <f t="shared" si="115"/>
        <v>2.672059092276197E-2</v>
      </c>
      <c r="E438" s="38">
        <v>10</v>
      </c>
      <c r="F438" s="38">
        <v>9.9499999999999993</v>
      </c>
      <c r="G438" s="22">
        <f t="shared" si="116"/>
        <v>5.0125313283208737E-3</v>
      </c>
      <c r="H438" s="38">
        <v>10</v>
      </c>
      <c r="I438" s="38">
        <v>9.7100000000000009</v>
      </c>
      <c r="J438" s="22">
        <f t="shared" si="117"/>
        <v>2.9426686960933448E-2</v>
      </c>
      <c r="K438" s="35">
        <v>47500</v>
      </c>
      <c r="L438" s="37">
        <f t="shared" si="118"/>
        <v>15000000</v>
      </c>
      <c r="M438">
        <f t="shared" si="119"/>
        <v>475000</v>
      </c>
      <c r="N438" s="37">
        <f t="shared" si="120"/>
        <v>11880000</v>
      </c>
      <c r="O438">
        <f t="shared" si="121"/>
        <v>3.9983164983164983E-3</v>
      </c>
      <c r="P438">
        <v>66796.320000000007</v>
      </c>
      <c r="Q438" s="8">
        <v>0.216</v>
      </c>
      <c r="R438" s="37">
        <f t="shared" si="122"/>
        <v>207530000</v>
      </c>
      <c r="S438" s="37">
        <f t="shared" si="123"/>
        <v>23450000</v>
      </c>
      <c r="T438" s="37">
        <f t="shared" si="124"/>
        <v>39000000</v>
      </c>
      <c r="U438" s="37">
        <f t="shared" si="125"/>
        <v>41640000</v>
      </c>
      <c r="V438" s="37">
        <f t="shared" si="125"/>
        <v>41640000</v>
      </c>
      <c r="W438">
        <f t="shared" si="113"/>
        <v>4.2189642442779398E-9</v>
      </c>
      <c r="X438">
        <f t="shared" si="126"/>
        <v>0.20064568977979089</v>
      </c>
    </row>
    <row r="439" spans="1:24">
      <c r="A439" s="33">
        <v>45380</v>
      </c>
      <c r="B439" s="38">
        <v>9.98</v>
      </c>
      <c r="C439" s="23">
        <f t="shared" si="114"/>
        <v>3.0150753768845365E-3</v>
      </c>
      <c r="D439" s="22">
        <f t="shared" si="115"/>
        <v>2.672059092276197E-2</v>
      </c>
      <c r="E439" s="38">
        <v>10</v>
      </c>
      <c r="F439" s="38">
        <v>9.65</v>
      </c>
      <c r="G439" s="22">
        <f t="shared" si="116"/>
        <v>3.562340966921116E-2</v>
      </c>
      <c r="H439" s="38">
        <v>9.99</v>
      </c>
      <c r="I439" s="38">
        <v>9.7100000000000009</v>
      </c>
      <c r="J439" s="22">
        <f t="shared" si="117"/>
        <v>2.8426395939086226E-2</v>
      </c>
      <c r="K439" s="35">
        <v>27000</v>
      </c>
      <c r="L439" s="37">
        <f t="shared" si="118"/>
        <v>15000000</v>
      </c>
      <c r="M439">
        <f t="shared" si="119"/>
        <v>269460</v>
      </c>
      <c r="N439" s="37">
        <f t="shared" si="120"/>
        <v>11880000</v>
      </c>
      <c r="O439">
        <f t="shared" si="121"/>
        <v>2.2727272727272726E-3</v>
      </c>
      <c r="P439">
        <v>67005.11</v>
      </c>
      <c r="Q439" s="8">
        <v>0.216</v>
      </c>
      <c r="R439" s="37">
        <f t="shared" si="122"/>
        <v>207530000</v>
      </c>
      <c r="S439" s="37">
        <f t="shared" si="123"/>
        <v>23450000</v>
      </c>
      <c r="T439" s="37">
        <f t="shared" si="124"/>
        <v>39000000</v>
      </c>
      <c r="U439" s="37">
        <f t="shared" si="125"/>
        <v>41640000</v>
      </c>
      <c r="V439" s="37">
        <f t="shared" si="125"/>
        <v>41640000</v>
      </c>
      <c r="W439">
        <f t="shared" si="113"/>
        <v>1.1189324489291681E-8</v>
      </c>
      <c r="X439">
        <f t="shared" si="126"/>
        <v>0.20064568977979089</v>
      </c>
    </row>
    <row r="440" spans="1:24">
      <c r="A440" s="33">
        <v>45379</v>
      </c>
      <c r="B440" s="38">
        <v>9.9499999999999993</v>
      </c>
      <c r="C440" s="23">
        <f t="shared" si="114"/>
        <v>3.6458333333333301E-2</v>
      </c>
      <c r="D440" s="22">
        <f t="shared" si="115"/>
        <v>2.672059092276197E-2</v>
      </c>
      <c r="E440" s="38">
        <v>10.09</v>
      </c>
      <c r="F440" s="38">
        <v>9.68</v>
      </c>
      <c r="G440" s="22">
        <f t="shared" si="116"/>
        <v>4.1476985331310084E-2</v>
      </c>
      <c r="H440" s="38">
        <v>9.99</v>
      </c>
      <c r="I440" s="38">
        <v>9.7100000000000009</v>
      </c>
      <c r="J440" s="22">
        <f t="shared" si="117"/>
        <v>2.8426395939086226E-2</v>
      </c>
      <c r="K440" s="35">
        <v>505500</v>
      </c>
      <c r="L440" s="37">
        <f t="shared" si="118"/>
        <v>15000000</v>
      </c>
      <c r="M440">
        <f t="shared" si="119"/>
        <v>5029725</v>
      </c>
      <c r="N440" s="37">
        <f t="shared" si="120"/>
        <v>11880000</v>
      </c>
      <c r="O440">
        <f t="shared" si="121"/>
        <v>4.2550505050505054E-2</v>
      </c>
      <c r="P440">
        <v>67142.12</v>
      </c>
      <c r="Q440" s="8">
        <v>0.216</v>
      </c>
      <c r="R440" s="37">
        <f t="shared" si="122"/>
        <v>207530000</v>
      </c>
      <c r="S440" s="37">
        <f t="shared" si="123"/>
        <v>23450000</v>
      </c>
      <c r="T440" s="37">
        <f t="shared" si="124"/>
        <v>39000000</v>
      </c>
      <c r="U440" s="37">
        <f t="shared" si="125"/>
        <v>41640000</v>
      </c>
      <c r="V440" s="37">
        <f t="shared" si="125"/>
        <v>41640000</v>
      </c>
      <c r="W440">
        <f t="shared" si="113"/>
        <v>7.248573894861707E-9</v>
      </c>
      <c r="X440">
        <f t="shared" si="126"/>
        <v>0.20064568977979089</v>
      </c>
    </row>
    <row r="441" spans="1:24">
      <c r="A441" s="33">
        <v>45378</v>
      </c>
      <c r="B441" s="38">
        <v>9.6</v>
      </c>
      <c r="C441" s="23">
        <f t="shared" si="114"/>
        <v>-4.0959040959040974E-2</v>
      </c>
      <c r="D441" s="22">
        <f t="shared" si="115"/>
        <v>2.672059092276197E-2</v>
      </c>
      <c r="E441" s="38">
        <v>10.34</v>
      </c>
      <c r="F441" s="38">
        <v>9.34</v>
      </c>
      <c r="G441" s="22">
        <f t="shared" si="116"/>
        <v>0.1016260162601626</v>
      </c>
      <c r="H441" s="38">
        <v>9.69</v>
      </c>
      <c r="I441" s="38">
        <v>9.35</v>
      </c>
      <c r="J441" s="22">
        <f t="shared" si="117"/>
        <v>3.5714285714285698E-2</v>
      </c>
      <c r="K441" s="35">
        <v>510500</v>
      </c>
      <c r="L441" s="37">
        <f t="shared" si="118"/>
        <v>15000000</v>
      </c>
      <c r="M441">
        <f t="shared" si="119"/>
        <v>4900800</v>
      </c>
      <c r="N441" s="37">
        <f t="shared" si="120"/>
        <v>11880000</v>
      </c>
      <c r="O441">
        <f t="shared" si="121"/>
        <v>4.2971380471380473E-2</v>
      </c>
      <c r="P441">
        <v>66547.789999999994</v>
      </c>
      <c r="Q441" s="8">
        <v>0.216</v>
      </c>
      <c r="R441" s="37">
        <f t="shared" si="122"/>
        <v>207530000</v>
      </c>
      <c r="S441" s="37">
        <f t="shared" si="123"/>
        <v>23450000</v>
      </c>
      <c r="T441" s="37">
        <f t="shared" si="124"/>
        <v>39000000</v>
      </c>
      <c r="U441" s="37">
        <f t="shared" si="125"/>
        <v>41640000</v>
      </c>
      <c r="V441" s="37">
        <f t="shared" si="125"/>
        <v>41640000</v>
      </c>
      <c r="W441">
        <f t="shared" si="113"/>
        <v>8.3576234408751583E-9</v>
      </c>
      <c r="X441">
        <f t="shared" si="126"/>
        <v>0.20064568977979089</v>
      </c>
    </row>
    <row r="442" spans="1:24">
      <c r="A442" s="33">
        <v>45377</v>
      </c>
      <c r="B442" s="38">
        <v>10.01</v>
      </c>
      <c r="C442" s="23">
        <f t="shared" si="114"/>
        <v>9.9999999999997877E-4</v>
      </c>
      <c r="D442" s="22">
        <f t="shared" si="115"/>
        <v>2.672059092276197E-2</v>
      </c>
      <c r="E442" s="38">
        <v>10.39</v>
      </c>
      <c r="F442" s="38">
        <v>10</v>
      </c>
      <c r="G442" s="22">
        <f t="shared" si="116"/>
        <v>3.8254046101029969E-2</v>
      </c>
      <c r="H442" s="38">
        <v>10.19</v>
      </c>
      <c r="I442" s="38">
        <v>10.050000000000001</v>
      </c>
      <c r="J442" s="22">
        <f t="shared" si="117"/>
        <v>1.3833992094861539E-2</v>
      </c>
      <c r="K442" s="35">
        <v>35000</v>
      </c>
      <c r="L442" s="37">
        <f t="shared" si="118"/>
        <v>15000000</v>
      </c>
      <c r="M442">
        <f t="shared" si="119"/>
        <v>350350</v>
      </c>
      <c r="N442" s="37">
        <f t="shared" si="120"/>
        <v>11880000</v>
      </c>
      <c r="O442">
        <f t="shared" si="121"/>
        <v>2.9461279461279462E-3</v>
      </c>
      <c r="P442">
        <v>65906.28</v>
      </c>
      <c r="Q442" s="8">
        <v>0.216</v>
      </c>
      <c r="R442" s="37">
        <f t="shared" si="122"/>
        <v>207530000</v>
      </c>
      <c r="S442" s="37">
        <f t="shared" si="123"/>
        <v>23450000</v>
      </c>
      <c r="T442" s="37">
        <f t="shared" si="124"/>
        <v>39000000</v>
      </c>
      <c r="U442" s="37">
        <f t="shared" si="125"/>
        <v>41640000</v>
      </c>
      <c r="V442" s="37">
        <f t="shared" si="125"/>
        <v>41640000</v>
      </c>
      <c r="W442">
        <f t="shared" si="113"/>
        <v>2.8542885685742224E-9</v>
      </c>
      <c r="X442">
        <f t="shared" si="126"/>
        <v>0.20064568977979089</v>
      </c>
    </row>
    <row r="443" spans="1:24">
      <c r="A443" s="33">
        <v>45376</v>
      </c>
      <c r="B443" s="38">
        <v>10</v>
      </c>
      <c r="C443" s="23">
        <f t="shared" si="114"/>
        <v>0</v>
      </c>
      <c r="D443" s="22">
        <f t="shared" si="115"/>
        <v>2.672059092276197E-2</v>
      </c>
      <c r="E443" s="38">
        <v>10.3</v>
      </c>
      <c r="F443" s="38">
        <v>9.25</v>
      </c>
      <c r="G443" s="22">
        <f t="shared" si="116"/>
        <v>0.10741687979539649</v>
      </c>
      <c r="H443" s="38">
        <v>10.1</v>
      </c>
      <c r="I443" s="38">
        <v>10</v>
      </c>
      <c r="J443" s="22">
        <f t="shared" si="117"/>
        <v>9.9502487562188689E-3</v>
      </c>
      <c r="K443" s="35">
        <v>90500</v>
      </c>
      <c r="L443" s="37">
        <f t="shared" si="118"/>
        <v>15000000</v>
      </c>
      <c r="M443">
        <f t="shared" si="119"/>
        <v>905000</v>
      </c>
      <c r="N443" s="37">
        <f t="shared" si="120"/>
        <v>11880000</v>
      </c>
      <c r="O443">
        <f t="shared" si="121"/>
        <v>7.617845117845118E-3</v>
      </c>
      <c r="P443">
        <v>65525.65</v>
      </c>
      <c r="Q443" s="8">
        <v>0.216</v>
      </c>
      <c r="R443" s="37">
        <f t="shared" si="122"/>
        <v>207530000</v>
      </c>
      <c r="S443" s="37">
        <f t="shared" si="123"/>
        <v>23450000</v>
      </c>
      <c r="T443" s="37">
        <f t="shared" si="124"/>
        <v>39000000</v>
      </c>
      <c r="U443" s="37">
        <f t="shared" si="125"/>
        <v>41640000</v>
      </c>
      <c r="V443" s="37">
        <f t="shared" si="125"/>
        <v>41640000</v>
      </c>
      <c r="W443">
        <f t="shared" si="113"/>
        <v>0</v>
      </c>
      <c r="X443">
        <f t="shared" si="126"/>
        <v>0.20064568977979089</v>
      </c>
    </row>
    <row r="445" spans="1:24" ht="15" thickBot="1"/>
    <row r="446" spans="1:24" ht="16" thickBot="1">
      <c r="A446" s="184" t="s">
        <v>47</v>
      </c>
      <c r="B446" s="185"/>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6"/>
    </row>
    <row r="447" spans="1:24" ht="43.5">
      <c r="A447" s="6" t="s">
        <v>14</v>
      </c>
      <c r="B447" s="5" t="s">
        <v>15</v>
      </c>
      <c r="C447" s="7" t="s">
        <v>16</v>
      </c>
      <c r="D447" s="7" t="s">
        <v>17</v>
      </c>
      <c r="E447" s="6" t="s">
        <v>0</v>
      </c>
      <c r="F447" s="6" t="s">
        <v>13</v>
      </c>
      <c r="G447" s="7" t="s">
        <v>18</v>
      </c>
      <c r="H447" s="5" t="s">
        <v>12</v>
      </c>
      <c r="I447" s="6" t="s">
        <v>1</v>
      </c>
      <c r="J447" s="7" t="s">
        <v>19</v>
      </c>
      <c r="K447" s="5" t="s">
        <v>2</v>
      </c>
      <c r="L447" s="5" t="s">
        <v>3</v>
      </c>
      <c r="M447" s="7" t="s">
        <v>20</v>
      </c>
      <c r="N447" s="5" t="s">
        <v>22</v>
      </c>
      <c r="O447" s="7" t="s">
        <v>21</v>
      </c>
      <c r="P447" s="5" t="s">
        <v>5</v>
      </c>
      <c r="Q447" s="5" t="s">
        <v>6</v>
      </c>
      <c r="R447" s="5" t="s">
        <v>7</v>
      </c>
      <c r="S447" s="5" t="s">
        <v>8</v>
      </c>
      <c r="T447" s="5" t="s">
        <v>9</v>
      </c>
      <c r="U447" s="5" t="s">
        <v>10</v>
      </c>
      <c r="V447" s="5" t="s">
        <v>11</v>
      </c>
      <c r="W447" s="7" t="s">
        <v>73</v>
      </c>
      <c r="X447" s="7" t="s">
        <v>72</v>
      </c>
    </row>
    <row r="448" spans="1:24">
      <c r="A448" s="33">
        <v>45436</v>
      </c>
      <c r="B448" s="38">
        <v>38</v>
      </c>
      <c r="C448" s="23">
        <f>IFERROR((B448-B449)/B449,0)</f>
        <v>1.6042780748663141E-2</v>
      </c>
      <c r="D448" s="22">
        <f>_xlfn.STDEV.S($C$448:$C$487)</f>
        <v>0.22304981335270066</v>
      </c>
      <c r="E448" s="38">
        <v>38</v>
      </c>
      <c r="F448" s="38">
        <v>38</v>
      </c>
      <c r="G448" s="22">
        <f>IFERROR((E448-F448)/((E448+F448)/2),0)</f>
        <v>0</v>
      </c>
      <c r="H448" s="38">
        <v>38</v>
      </c>
      <c r="I448" s="38">
        <v>37.409999999999997</v>
      </c>
      <c r="J448" s="22">
        <f>IFERROR((H448-I448)/((H448+I448)/2),0)</f>
        <v>1.5647792070017329E-2</v>
      </c>
      <c r="K448" s="35">
        <v>1500</v>
      </c>
      <c r="L448" s="37">
        <f>380.86*1000000</f>
        <v>380860000</v>
      </c>
      <c r="M448">
        <f>B448*K448</f>
        <v>57000</v>
      </c>
      <c r="N448">
        <f>179.25*1000000</f>
        <v>179250000</v>
      </c>
      <c r="O448">
        <f>K448/N448</f>
        <v>8.3682008368200836E-6</v>
      </c>
      <c r="P448">
        <v>75983.039999999994</v>
      </c>
      <c r="Q448" s="8">
        <v>0.2157</v>
      </c>
      <c r="R448">
        <f>41194*1000000</f>
        <v>41194000000</v>
      </c>
      <c r="S448">
        <f>16376*1000000</f>
        <v>16376000000</v>
      </c>
      <c r="T448" s="37">
        <f>389.68*1000000</f>
        <v>389680000</v>
      </c>
      <c r="U448" s="37">
        <f>494.58*1000000</f>
        <v>494580000</v>
      </c>
      <c r="V448" s="37">
        <f>10107.42*1000000</f>
        <v>10107420000</v>
      </c>
      <c r="W448">
        <f t="shared" ref="W448:W487" si="127">IFERROR(ABS(C448)/M448,0)</f>
        <v>2.8145229383619545E-7</v>
      </c>
      <c r="X448">
        <f>V448/R448</f>
        <v>0.24536146040685536</v>
      </c>
    </row>
    <row r="449" spans="1:24">
      <c r="A449" s="33">
        <v>45435</v>
      </c>
      <c r="B449" s="38">
        <v>37.4</v>
      </c>
      <c r="C449" s="23">
        <f t="shared" ref="C449:C487" si="128">IFERROR((B449-B450)/B450,0)</f>
        <v>0</v>
      </c>
      <c r="D449" s="22">
        <f t="shared" ref="D449:D487" si="129">_xlfn.STDEV.S($C$448:$C$487)</f>
        <v>0.22304981335270066</v>
      </c>
      <c r="E449" s="38">
        <v>38</v>
      </c>
      <c r="F449" s="38">
        <v>35.5</v>
      </c>
      <c r="G449" s="22">
        <f t="shared" ref="G449:G487" si="130">IFERROR((E449-F449)/((E449+F449)/2),0)</f>
        <v>6.8027210884353748E-2</v>
      </c>
      <c r="H449" s="38">
        <v>39</v>
      </c>
      <c r="I449" s="38">
        <v>37.020000000000003</v>
      </c>
      <c r="J449" s="22">
        <f t="shared" ref="J449:J487" si="131">IFERROR((H449-I449)/((H449+I449)/2),0)</f>
        <v>5.2091554853985707E-2</v>
      </c>
      <c r="K449" s="35"/>
      <c r="L449" s="37">
        <f t="shared" ref="L449:L487" si="132">380.86*1000000</f>
        <v>380860000</v>
      </c>
      <c r="M449">
        <f t="shared" ref="M449:M487" si="133">B449*K449</f>
        <v>0</v>
      </c>
      <c r="N449">
        <f t="shared" ref="N449:N487" si="134">179.25*1000000</f>
        <v>179250000</v>
      </c>
      <c r="O449">
        <f t="shared" ref="O449:O487" si="135">K449/N449</f>
        <v>0</v>
      </c>
      <c r="P449">
        <v>75114.47</v>
      </c>
      <c r="Q449" s="8">
        <v>0.2157</v>
      </c>
      <c r="R449">
        <f t="shared" ref="R449:R487" si="136">41194*1000000</f>
        <v>41194000000</v>
      </c>
      <c r="S449">
        <f t="shared" ref="S449:S487" si="137">16376*1000000</f>
        <v>16376000000</v>
      </c>
      <c r="T449" s="37">
        <f t="shared" ref="T449:T487" si="138">389.68*1000000</f>
        <v>389680000</v>
      </c>
      <c r="U449" s="37">
        <f t="shared" ref="U449:U487" si="139">494.58*1000000</f>
        <v>494580000</v>
      </c>
      <c r="V449" s="37">
        <f t="shared" ref="V449:V487" si="140">10107.42*1000000</f>
        <v>10107420000</v>
      </c>
      <c r="W449">
        <f t="shared" si="127"/>
        <v>0</v>
      </c>
      <c r="X449">
        <f t="shared" ref="X449:X487" si="141">V449/R449</f>
        <v>0.24536146040685536</v>
      </c>
    </row>
    <row r="450" spans="1:24">
      <c r="A450" s="33">
        <v>45434</v>
      </c>
      <c r="B450" s="38">
        <v>37.4</v>
      </c>
      <c r="C450" s="23">
        <f t="shared" si="128"/>
        <v>-4.102564102564106E-2</v>
      </c>
      <c r="D450" s="22">
        <f t="shared" si="129"/>
        <v>0.22304981335270066</v>
      </c>
      <c r="E450" s="38">
        <v>38</v>
      </c>
      <c r="F450" s="38">
        <v>36.08</v>
      </c>
      <c r="G450" s="22">
        <f t="shared" si="130"/>
        <v>5.1835853131749508E-2</v>
      </c>
      <c r="H450" s="38">
        <v>37.99</v>
      </c>
      <c r="I450" s="38">
        <v>37.4</v>
      </c>
      <c r="J450" s="22">
        <f t="shared" si="131"/>
        <v>1.565194322854499E-2</v>
      </c>
      <c r="K450" s="35">
        <v>20000</v>
      </c>
      <c r="L450" s="37">
        <f t="shared" si="132"/>
        <v>380860000</v>
      </c>
      <c r="M450">
        <f t="shared" si="133"/>
        <v>748000</v>
      </c>
      <c r="N450">
        <f t="shared" si="134"/>
        <v>179250000</v>
      </c>
      <c r="O450">
        <f t="shared" si="135"/>
        <v>1.1157601115760112E-4</v>
      </c>
      <c r="P450">
        <v>74956.67</v>
      </c>
      <c r="Q450" s="8">
        <v>0.2157</v>
      </c>
      <c r="R450">
        <f t="shared" si="136"/>
        <v>41194000000</v>
      </c>
      <c r="S450">
        <f t="shared" si="137"/>
        <v>16376000000</v>
      </c>
      <c r="T450" s="37">
        <f t="shared" si="138"/>
        <v>389680000</v>
      </c>
      <c r="U450" s="37">
        <f t="shared" si="139"/>
        <v>494580000</v>
      </c>
      <c r="V450" s="37">
        <f t="shared" si="140"/>
        <v>10107420000</v>
      </c>
      <c r="W450">
        <f t="shared" si="127"/>
        <v>5.4847113670643128E-8</v>
      </c>
      <c r="X450">
        <f t="shared" si="141"/>
        <v>0.24536146040685536</v>
      </c>
    </row>
    <row r="451" spans="1:24">
      <c r="A451" s="33">
        <v>45433</v>
      </c>
      <c r="B451" s="38">
        <v>39</v>
      </c>
      <c r="C451" s="23">
        <f t="shared" si="128"/>
        <v>0</v>
      </c>
      <c r="D451" s="22">
        <f t="shared" si="129"/>
        <v>0.22304981335270066</v>
      </c>
      <c r="E451" s="38">
        <v>39.4</v>
      </c>
      <c r="F451" s="38">
        <v>39</v>
      </c>
      <c r="G451" s="22">
        <f t="shared" si="130"/>
        <v>1.0204081632653024E-2</v>
      </c>
      <c r="H451" s="38">
        <v>39</v>
      </c>
      <c r="I451" s="38">
        <v>37.01</v>
      </c>
      <c r="J451" s="22">
        <f t="shared" si="131"/>
        <v>5.2361531377450393E-2</v>
      </c>
      <c r="K451" s="35">
        <v>1500</v>
      </c>
      <c r="L451" s="37">
        <f t="shared" si="132"/>
        <v>380860000</v>
      </c>
      <c r="M451">
        <f t="shared" si="133"/>
        <v>58500</v>
      </c>
      <c r="N451">
        <f t="shared" si="134"/>
        <v>179250000</v>
      </c>
      <c r="O451">
        <f t="shared" si="135"/>
        <v>8.3682008368200836E-6</v>
      </c>
      <c r="P451">
        <v>75206.77</v>
      </c>
      <c r="Q451" s="8">
        <v>0.2157</v>
      </c>
      <c r="R451">
        <f t="shared" si="136"/>
        <v>41194000000</v>
      </c>
      <c r="S451">
        <f t="shared" si="137"/>
        <v>16376000000</v>
      </c>
      <c r="T451" s="37">
        <f t="shared" si="138"/>
        <v>389680000</v>
      </c>
      <c r="U451" s="37">
        <f t="shared" si="139"/>
        <v>494580000</v>
      </c>
      <c r="V451" s="37">
        <f t="shared" si="140"/>
        <v>10107420000</v>
      </c>
      <c r="W451">
        <f t="shared" si="127"/>
        <v>0</v>
      </c>
      <c r="X451">
        <f t="shared" si="141"/>
        <v>0.24536146040685536</v>
      </c>
    </row>
    <row r="452" spans="1:24">
      <c r="A452" s="33">
        <v>45432</v>
      </c>
      <c r="B452" s="38"/>
      <c r="C452" s="23">
        <f t="shared" si="128"/>
        <v>-1</v>
      </c>
      <c r="D452" s="22">
        <f t="shared" si="129"/>
        <v>0.22304981335270066</v>
      </c>
      <c r="E452" s="38"/>
      <c r="F452" s="38"/>
      <c r="G452" s="22">
        <f t="shared" si="130"/>
        <v>0</v>
      </c>
      <c r="H452" s="38">
        <v>39</v>
      </c>
      <c r="I452" s="38">
        <v>37.01</v>
      </c>
      <c r="J452" s="22">
        <f t="shared" si="131"/>
        <v>5.2361531377450393E-2</v>
      </c>
      <c r="K452" s="35"/>
      <c r="L452" s="37">
        <f t="shared" si="132"/>
        <v>380860000</v>
      </c>
      <c r="M452">
        <f t="shared" si="133"/>
        <v>0</v>
      </c>
      <c r="N452">
        <f t="shared" si="134"/>
        <v>179250000</v>
      </c>
      <c r="O452">
        <f t="shared" si="135"/>
        <v>0</v>
      </c>
      <c r="P452">
        <v>75084</v>
      </c>
      <c r="Q452" s="8">
        <v>0.2157</v>
      </c>
      <c r="R452">
        <f t="shared" si="136"/>
        <v>41194000000</v>
      </c>
      <c r="S452">
        <f t="shared" si="137"/>
        <v>16376000000</v>
      </c>
      <c r="T452" s="37">
        <f t="shared" si="138"/>
        <v>389680000</v>
      </c>
      <c r="U452" s="37">
        <f t="shared" si="139"/>
        <v>494580000</v>
      </c>
      <c r="V452" s="37">
        <f t="shared" si="140"/>
        <v>10107420000</v>
      </c>
      <c r="W452">
        <f t="shared" si="127"/>
        <v>0</v>
      </c>
      <c r="X452">
        <f t="shared" si="141"/>
        <v>0.24536146040685536</v>
      </c>
    </row>
    <row r="453" spans="1:24">
      <c r="A453" s="33">
        <v>45429</v>
      </c>
      <c r="B453" s="38">
        <v>38.46</v>
      </c>
      <c r="C453" s="23">
        <f t="shared" si="128"/>
        <v>5.3698630136986322E-2</v>
      </c>
      <c r="D453" s="22">
        <f t="shared" si="129"/>
        <v>0.22304981335270066</v>
      </c>
      <c r="E453" s="38">
        <v>38.950000000000003</v>
      </c>
      <c r="F453" s="38">
        <v>37</v>
      </c>
      <c r="G453" s="22">
        <f t="shared" si="130"/>
        <v>5.1349572086899352E-2</v>
      </c>
      <c r="H453" s="38">
        <v>38.75</v>
      </c>
      <c r="I453" s="38">
        <v>37.35</v>
      </c>
      <c r="J453" s="22">
        <f t="shared" si="131"/>
        <v>3.6793692509855418E-2</v>
      </c>
      <c r="K453" s="35">
        <v>20000</v>
      </c>
      <c r="L453" s="37">
        <f t="shared" si="132"/>
        <v>380860000</v>
      </c>
      <c r="M453">
        <f t="shared" si="133"/>
        <v>769200</v>
      </c>
      <c r="N453">
        <f t="shared" si="134"/>
        <v>179250000</v>
      </c>
      <c r="O453">
        <f t="shared" si="135"/>
        <v>1.1157601115760112E-4</v>
      </c>
      <c r="P453">
        <v>75342.350000000006</v>
      </c>
      <c r="Q453" s="8">
        <v>0.2157</v>
      </c>
      <c r="R453">
        <f t="shared" si="136"/>
        <v>41194000000</v>
      </c>
      <c r="S453">
        <f t="shared" si="137"/>
        <v>16376000000</v>
      </c>
      <c r="T453" s="37">
        <f t="shared" si="138"/>
        <v>389680000</v>
      </c>
      <c r="U453" s="37">
        <f t="shared" si="139"/>
        <v>494580000</v>
      </c>
      <c r="V453" s="37">
        <f t="shared" si="140"/>
        <v>10107420000</v>
      </c>
      <c r="W453">
        <f t="shared" si="127"/>
        <v>6.9811011618546964E-8</v>
      </c>
      <c r="X453">
        <f t="shared" si="141"/>
        <v>0.24536146040685536</v>
      </c>
    </row>
    <row r="454" spans="1:24">
      <c r="A454" s="33">
        <v>45428</v>
      </c>
      <c r="B454" s="38">
        <v>36.5</v>
      </c>
      <c r="C454" s="23">
        <f t="shared" si="128"/>
        <v>-2.5367156208277779E-2</v>
      </c>
      <c r="D454" s="22">
        <f t="shared" si="129"/>
        <v>0.22304981335270066</v>
      </c>
      <c r="E454" s="38">
        <v>36.5</v>
      </c>
      <c r="F454" s="38">
        <v>36.5</v>
      </c>
      <c r="G454" s="22">
        <f t="shared" si="130"/>
        <v>0</v>
      </c>
      <c r="H454" s="38">
        <v>37.25</v>
      </c>
      <c r="I454" s="38">
        <v>36.5</v>
      </c>
      <c r="J454" s="22">
        <f t="shared" si="131"/>
        <v>2.0338983050847456E-2</v>
      </c>
      <c r="K454" s="35">
        <v>2000</v>
      </c>
      <c r="L454" s="37">
        <f t="shared" si="132"/>
        <v>380860000</v>
      </c>
      <c r="M454">
        <f t="shared" si="133"/>
        <v>73000</v>
      </c>
      <c r="N454">
        <f t="shared" si="134"/>
        <v>179250000</v>
      </c>
      <c r="O454">
        <f t="shared" si="135"/>
        <v>1.1157601115760111E-5</v>
      </c>
      <c r="P454">
        <v>74930.7</v>
      </c>
      <c r="Q454" s="8">
        <v>0.2157</v>
      </c>
      <c r="R454">
        <f t="shared" si="136"/>
        <v>41194000000</v>
      </c>
      <c r="S454">
        <f t="shared" si="137"/>
        <v>16376000000</v>
      </c>
      <c r="T454" s="37">
        <f t="shared" si="138"/>
        <v>389680000</v>
      </c>
      <c r="U454" s="37">
        <f t="shared" si="139"/>
        <v>494580000</v>
      </c>
      <c r="V454" s="37">
        <f t="shared" si="140"/>
        <v>10107420000</v>
      </c>
      <c r="W454">
        <f t="shared" si="127"/>
        <v>3.4749529052435312E-7</v>
      </c>
      <c r="X454">
        <f t="shared" si="141"/>
        <v>0.24536146040685536</v>
      </c>
    </row>
    <row r="455" spans="1:24">
      <c r="A455" s="33">
        <v>45427</v>
      </c>
      <c r="B455" s="38">
        <v>37.450000000000003</v>
      </c>
      <c r="C455" s="23">
        <f t="shared" si="128"/>
        <v>4.0277777777777857E-2</v>
      </c>
      <c r="D455" s="22">
        <f t="shared" si="129"/>
        <v>0.22304981335270066</v>
      </c>
      <c r="E455" s="38">
        <v>37.5</v>
      </c>
      <c r="F455" s="38">
        <v>36.99</v>
      </c>
      <c r="G455" s="22">
        <f t="shared" si="130"/>
        <v>1.3693113169552905E-2</v>
      </c>
      <c r="H455" s="38">
        <v>37.979999999999997</v>
      </c>
      <c r="I455" s="38">
        <v>37.450000000000003</v>
      </c>
      <c r="J455" s="22">
        <f t="shared" si="131"/>
        <v>1.4052764152193928E-2</v>
      </c>
      <c r="K455" s="35">
        <v>7500</v>
      </c>
      <c r="L455" s="37">
        <f t="shared" si="132"/>
        <v>380860000</v>
      </c>
      <c r="M455">
        <f t="shared" si="133"/>
        <v>280875</v>
      </c>
      <c r="N455">
        <f t="shared" si="134"/>
        <v>179250000</v>
      </c>
      <c r="O455">
        <f t="shared" si="135"/>
        <v>4.1841004184100421E-5</v>
      </c>
      <c r="P455">
        <v>74663.98</v>
      </c>
      <c r="Q455" s="8">
        <v>0.2157</v>
      </c>
      <c r="R455">
        <f t="shared" si="136"/>
        <v>41194000000</v>
      </c>
      <c r="S455">
        <f t="shared" si="137"/>
        <v>16376000000</v>
      </c>
      <c r="T455" s="37">
        <f t="shared" si="138"/>
        <v>389680000</v>
      </c>
      <c r="U455" s="37">
        <f t="shared" si="139"/>
        <v>494580000</v>
      </c>
      <c r="V455" s="37">
        <f t="shared" si="140"/>
        <v>10107420000</v>
      </c>
      <c r="W455">
        <f t="shared" si="127"/>
        <v>1.4340107798051752E-7</v>
      </c>
      <c r="X455">
        <f t="shared" si="141"/>
        <v>0.24536146040685536</v>
      </c>
    </row>
    <row r="456" spans="1:24">
      <c r="A456" s="33">
        <v>45426</v>
      </c>
      <c r="B456" s="38">
        <v>36</v>
      </c>
      <c r="C456" s="23">
        <f t="shared" si="128"/>
        <v>0</v>
      </c>
      <c r="D456" s="22">
        <f t="shared" si="129"/>
        <v>0.22304981335270066</v>
      </c>
      <c r="E456" s="38">
        <v>36.5</v>
      </c>
      <c r="F456" s="38">
        <v>36</v>
      </c>
      <c r="G456" s="22">
        <f t="shared" si="130"/>
        <v>1.3793103448275862E-2</v>
      </c>
      <c r="H456" s="38">
        <v>36.49</v>
      </c>
      <c r="I456" s="38">
        <v>35.51</v>
      </c>
      <c r="J456" s="22">
        <f t="shared" si="131"/>
        <v>2.7222222222222332E-2</v>
      </c>
      <c r="K456" s="35">
        <v>456500</v>
      </c>
      <c r="L456" s="37">
        <f t="shared" si="132"/>
        <v>380860000</v>
      </c>
      <c r="M456">
        <f t="shared" si="133"/>
        <v>16434000</v>
      </c>
      <c r="N456">
        <f t="shared" si="134"/>
        <v>179250000</v>
      </c>
      <c r="O456">
        <f t="shared" si="135"/>
        <v>2.5467224546722456E-3</v>
      </c>
      <c r="P456">
        <v>74531.19</v>
      </c>
      <c r="Q456" s="8">
        <v>0.21590000000000001</v>
      </c>
      <c r="R456">
        <f t="shared" si="136"/>
        <v>41194000000</v>
      </c>
      <c r="S456">
        <f t="shared" si="137"/>
        <v>16376000000</v>
      </c>
      <c r="T456" s="37">
        <f t="shared" si="138"/>
        <v>389680000</v>
      </c>
      <c r="U456" s="37">
        <f t="shared" si="139"/>
        <v>494580000</v>
      </c>
      <c r="V456" s="37">
        <f t="shared" si="140"/>
        <v>10107420000</v>
      </c>
      <c r="W456">
        <f t="shared" si="127"/>
        <v>0</v>
      </c>
      <c r="X456">
        <f t="shared" si="141"/>
        <v>0.24536146040685536</v>
      </c>
    </row>
    <row r="457" spans="1:24">
      <c r="A457" s="33">
        <v>45425</v>
      </c>
      <c r="B457" s="38">
        <v>36</v>
      </c>
      <c r="C457" s="23">
        <f t="shared" si="128"/>
        <v>-2.4390243902438987E-2</v>
      </c>
      <c r="D457" s="22">
        <f t="shared" si="129"/>
        <v>0.22304981335270066</v>
      </c>
      <c r="E457" s="38">
        <v>39.67</v>
      </c>
      <c r="F457" s="38">
        <v>34.799999999999997</v>
      </c>
      <c r="G457" s="22">
        <f t="shared" si="130"/>
        <v>0.13079092251913535</v>
      </c>
      <c r="H457" s="38">
        <v>37.700000000000003</v>
      </c>
      <c r="I457" s="38">
        <v>36.01</v>
      </c>
      <c r="J457" s="22">
        <f t="shared" si="131"/>
        <v>4.5855379188712651E-2</v>
      </c>
      <c r="K457" s="35">
        <v>15000</v>
      </c>
      <c r="L457" s="37">
        <f t="shared" si="132"/>
        <v>380860000</v>
      </c>
      <c r="M457">
        <f t="shared" si="133"/>
        <v>540000</v>
      </c>
      <c r="N457">
        <f t="shared" si="134"/>
        <v>179250000</v>
      </c>
      <c r="O457">
        <f t="shared" si="135"/>
        <v>8.3682008368200843E-5</v>
      </c>
      <c r="P457">
        <v>73799.11</v>
      </c>
      <c r="Q457" s="8">
        <v>0.21590000000000001</v>
      </c>
      <c r="R457">
        <f t="shared" si="136"/>
        <v>41194000000</v>
      </c>
      <c r="S457">
        <f t="shared" si="137"/>
        <v>16376000000</v>
      </c>
      <c r="T457" s="37">
        <f t="shared" si="138"/>
        <v>389680000</v>
      </c>
      <c r="U457" s="37">
        <f t="shared" si="139"/>
        <v>494580000</v>
      </c>
      <c r="V457" s="37">
        <f t="shared" si="140"/>
        <v>10107420000</v>
      </c>
      <c r="W457">
        <f t="shared" si="127"/>
        <v>4.5167118337849978E-8</v>
      </c>
      <c r="X457">
        <f t="shared" si="141"/>
        <v>0.24536146040685536</v>
      </c>
    </row>
    <row r="458" spans="1:24">
      <c r="A458" s="33">
        <v>45422</v>
      </c>
      <c r="B458" s="38">
        <v>36.9</v>
      </c>
      <c r="C458" s="23">
        <f t="shared" si="128"/>
        <v>5.4587024864246825E-2</v>
      </c>
      <c r="D458" s="22">
        <f t="shared" si="129"/>
        <v>0.22304981335270066</v>
      </c>
      <c r="E458" s="38">
        <v>37</v>
      </c>
      <c r="F458" s="38">
        <v>35</v>
      </c>
      <c r="G458" s="22">
        <f t="shared" si="130"/>
        <v>5.5555555555555552E-2</v>
      </c>
      <c r="H458" s="38">
        <v>36.979999999999997</v>
      </c>
      <c r="I458" s="38">
        <v>35</v>
      </c>
      <c r="J458" s="22">
        <f t="shared" si="131"/>
        <v>5.501528202278403E-2</v>
      </c>
      <c r="K458" s="35">
        <v>41500</v>
      </c>
      <c r="L458" s="37">
        <f t="shared" si="132"/>
        <v>380860000</v>
      </c>
      <c r="M458">
        <f t="shared" si="133"/>
        <v>1531350</v>
      </c>
      <c r="N458">
        <f t="shared" si="134"/>
        <v>179250000</v>
      </c>
      <c r="O458">
        <f t="shared" si="135"/>
        <v>2.3152022315202231E-4</v>
      </c>
      <c r="P458">
        <v>73085.5</v>
      </c>
      <c r="Q458" s="8">
        <v>0.21590000000000001</v>
      </c>
      <c r="R458">
        <f t="shared" si="136"/>
        <v>41194000000</v>
      </c>
      <c r="S458">
        <f t="shared" si="137"/>
        <v>16376000000</v>
      </c>
      <c r="T458" s="37">
        <f t="shared" si="138"/>
        <v>389680000</v>
      </c>
      <c r="U458" s="37">
        <f t="shared" si="139"/>
        <v>494580000</v>
      </c>
      <c r="V458" s="37">
        <f t="shared" si="140"/>
        <v>10107420000</v>
      </c>
      <c r="W458">
        <f t="shared" si="127"/>
        <v>3.5646341374765287E-8</v>
      </c>
      <c r="X458">
        <f t="shared" si="141"/>
        <v>0.24536146040685536</v>
      </c>
    </row>
    <row r="459" spans="1:24">
      <c r="A459" s="33">
        <v>45421</v>
      </c>
      <c r="B459" s="38">
        <v>34.99</v>
      </c>
      <c r="C459" s="23">
        <f t="shared" si="128"/>
        <v>0</v>
      </c>
      <c r="D459" s="22">
        <f t="shared" si="129"/>
        <v>0.22304981335270066</v>
      </c>
      <c r="E459" s="38">
        <v>34.99</v>
      </c>
      <c r="F459" s="38">
        <v>34.99</v>
      </c>
      <c r="G459" s="22">
        <f t="shared" si="130"/>
        <v>0</v>
      </c>
      <c r="H459" s="38">
        <v>34.99</v>
      </c>
      <c r="I459" s="38">
        <v>34.1</v>
      </c>
      <c r="J459" s="22">
        <f t="shared" si="131"/>
        <v>2.5763496888116966E-2</v>
      </c>
      <c r="K459" s="35">
        <v>1500</v>
      </c>
      <c r="L459" s="37">
        <f t="shared" si="132"/>
        <v>380860000</v>
      </c>
      <c r="M459">
        <f t="shared" si="133"/>
        <v>52485</v>
      </c>
      <c r="N459">
        <f t="shared" si="134"/>
        <v>179250000</v>
      </c>
      <c r="O459">
        <f t="shared" si="135"/>
        <v>8.3682008368200836E-6</v>
      </c>
      <c r="P459">
        <v>72658.05</v>
      </c>
      <c r="Q459" s="8">
        <v>0.21590000000000001</v>
      </c>
      <c r="R459">
        <f t="shared" si="136"/>
        <v>41194000000</v>
      </c>
      <c r="S459">
        <f t="shared" si="137"/>
        <v>16376000000</v>
      </c>
      <c r="T459" s="37">
        <f t="shared" si="138"/>
        <v>389680000</v>
      </c>
      <c r="U459" s="37">
        <f t="shared" si="139"/>
        <v>494580000</v>
      </c>
      <c r="V459" s="37">
        <f t="shared" si="140"/>
        <v>10107420000</v>
      </c>
      <c r="W459">
        <f t="shared" si="127"/>
        <v>0</v>
      </c>
      <c r="X459">
        <f t="shared" si="141"/>
        <v>0.24536146040685536</v>
      </c>
    </row>
    <row r="460" spans="1:24">
      <c r="A460" s="33">
        <v>45420</v>
      </c>
      <c r="B460" s="38"/>
      <c r="C460" s="23">
        <f t="shared" si="128"/>
        <v>-1</v>
      </c>
      <c r="D460" s="22">
        <f t="shared" si="129"/>
        <v>0.22304981335270066</v>
      </c>
      <c r="E460" s="38"/>
      <c r="F460" s="38"/>
      <c r="G460" s="22">
        <f t="shared" si="130"/>
        <v>0</v>
      </c>
      <c r="H460" s="38">
        <v>34.99</v>
      </c>
      <c r="I460" s="38">
        <v>32.5</v>
      </c>
      <c r="J460" s="22">
        <f t="shared" si="131"/>
        <v>7.3788709438435379E-2</v>
      </c>
      <c r="K460" s="35"/>
      <c r="L460" s="37">
        <f t="shared" si="132"/>
        <v>380860000</v>
      </c>
      <c r="M460">
        <f t="shared" si="133"/>
        <v>0</v>
      </c>
      <c r="N460">
        <f t="shared" si="134"/>
        <v>179250000</v>
      </c>
      <c r="O460">
        <f t="shared" si="135"/>
        <v>0</v>
      </c>
      <c r="P460">
        <v>72601.820000000007</v>
      </c>
      <c r="Q460" s="8">
        <v>0.21590000000000001</v>
      </c>
      <c r="R460">
        <f t="shared" si="136"/>
        <v>41194000000</v>
      </c>
      <c r="S460">
        <f t="shared" si="137"/>
        <v>16376000000</v>
      </c>
      <c r="T460" s="37">
        <f t="shared" si="138"/>
        <v>389680000</v>
      </c>
      <c r="U460" s="37">
        <f t="shared" si="139"/>
        <v>494580000</v>
      </c>
      <c r="V460" s="37">
        <f t="shared" si="140"/>
        <v>10107420000</v>
      </c>
      <c r="W460">
        <f t="shared" si="127"/>
        <v>0</v>
      </c>
      <c r="X460">
        <f t="shared" si="141"/>
        <v>0.24536146040685536</v>
      </c>
    </row>
    <row r="461" spans="1:24">
      <c r="A461" s="33">
        <v>45419</v>
      </c>
      <c r="B461" s="38">
        <v>35</v>
      </c>
      <c r="C461" s="23">
        <f t="shared" si="128"/>
        <v>1.4306151645206624E-3</v>
      </c>
      <c r="D461" s="22">
        <f t="shared" si="129"/>
        <v>0.22304981335270066</v>
      </c>
      <c r="E461" s="38">
        <v>35</v>
      </c>
      <c r="F461" s="38">
        <v>35</v>
      </c>
      <c r="G461" s="22">
        <f t="shared" si="130"/>
        <v>0</v>
      </c>
      <c r="H461" s="38">
        <v>34.92</v>
      </c>
      <c r="I461" s="38">
        <v>33.549999999999997</v>
      </c>
      <c r="J461" s="22">
        <f t="shared" si="131"/>
        <v>4.0017525923762363E-2</v>
      </c>
      <c r="K461" s="35">
        <v>500</v>
      </c>
      <c r="L461" s="37">
        <f t="shared" si="132"/>
        <v>380860000</v>
      </c>
      <c r="M461">
        <f t="shared" si="133"/>
        <v>17500</v>
      </c>
      <c r="N461">
        <f t="shared" si="134"/>
        <v>179250000</v>
      </c>
      <c r="O461">
        <f t="shared" si="135"/>
        <v>2.7894002789400277E-6</v>
      </c>
      <c r="P461">
        <v>72761.2</v>
      </c>
      <c r="Q461" s="8">
        <v>0.21590000000000001</v>
      </c>
      <c r="R461">
        <f t="shared" si="136"/>
        <v>41194000000</v>
      </c>
      <c r="S461">
        <f t="shared" si="137"/>
        <v>16376000000</v>
      </c>
      <c r="T461" s="37">
        <f t="shared" si="138"/>
        <v>389680000</v>
      </c>
      <c r="U461" s="37">
        <f t="shared" si="139"/>
        <v>494580000</v>
      </c>
      <c r="V461" s="37">
        <f t="shared" si="140"/>
        <v>10107420000</v>
      </c>
      <c r="W461">
        <f t="shared" si="127"/>
        <v>8.1749437972609284E-8</v>
      </c>
      <c r="X461">
        <f t="shared" si="141"/>
        <v>0.24536146040685536</v>
      </c>
    </row>
    <row r="462" spans="1:24">
      <c r="A462" s="33">
        <v>45418</v>
      </c>
      <c r="B462" s="38">
        <v>34.950000000000003</v>
      </c>
      <c r="C462" s="23">
        <f t="shared" si="128"/>
        <v>6.0698027314112286E-2</v>
      </c>
      <c r="D462" s="22">
        <f t="shared" si="129"/>
        <v>0.22304981335270066</v>
      </c>
      <c r="E462" s="38">
        <v>34.950000000000003</v>
      </c>
      <c r="F462" s="38">
        <v>34</v>
      </c>
      <c r="G462" s="22">
        <f t="shared" si="130"/>
        <v>2.7556200145032714E-2</v>
      </c>
      <c r="H462" s="38">
        <v>35.380000000000003</v>
      </c>
      <c r="I462" s="38">
        <v>33.6</v>
      </c>
      <c r="J462" s="22">
        <f t="shared" si="131"/>
        <v>5.1609162075964075E-2</v>
      </c>
      <c r="K462" s="35">
        <v>1500</v>
      </c>
      <c r="L462" s="37">
        <f t="shared" si="132"/>
        <v>380860000</v>
      </c>
      <c r="M462">
        <f t="shared" si="133"/>
        <v>52425.000000000007</v>
      </c>
      <c r="N462">
        <f t="shared" si="134"/>
        <v>179250000</v>
      </c>
      <c r="O462">
        <f t="shared" si="135"/>
        <v>8.3682008368200836E-6</v>
      </c>
      <c r="P462">
        <v>72764.240000000005</v>
      </c>
      <c r="Q462" s="8">
        <v>0.21590000000000001</v>
      </c>
      <c r="R462">
        <f t="shared" si="136"/>
        <v>41194000000</v>
      </c>
      <c r="S462">
        <f t="shared" si="137"/>
        <v>16376000000</v>
      </c>
      <c r="T462" s="37">
        <f t="shared" si="138"/>
        <v>389680000</v>
      </c>
      <c r="U462" s="37">
        <f t="shared" si="139"/>
        <v>494580000</v>
      </c>
      <c r="V462" s="37">
        <f t="shared" si="140"/>
        <v>10107420000</v>
      </c>
      <c r="W462">
        <f t="shared" si="127"/>
        <v>1.1578069110941779E-6</v>
      </c>
      <c r="X462">
        <f t="shared" si="141"/>
        <v>0.24536146040685536</v>
      </c>
    </row>
    <row r="463" spans="1:24">
      <c r="A463" s="33">
        <v>45415</v>
      </c>
      <c r="B463" s="38">
        <v>32.950000000000003</v>
      </c>
      <c r="C463" s="23">
        <f t="shared" si="128"/>
        <v>1.3846153846153933E-2</v>
      </c>
      <c r="D463" s="22">
        <f t="shared" si="129"/>
        <v>0.22304981335270066</v>
      </c>
      <c r="E463" s="38">
        <v>32.950000000000003</v>
      </c>
      <c r="F463" s="38">
        <v>32.49</v>
      </c>
      <c r="G463" s="22">
        <f t="shared" si="130"/>
        <v>1.4058679706601494E-2</v>
      </c>
      <c r="H463" s="38">
        <v>33</v>
      </c>
      <c r="I463" s="38">
        <v>32.56</v>
      </c>
      <c r="J463" s="22">
        <f t="shared" si="131"/>
        <v>1.3422818791946239E-2</v>
      </c>
      <c r="K463" s="35">
        <v>3000</v>
      </c>
      <c r="L463" s="37">
        <f t="shared" si="132"/>
        <v>380860000</v>
      </c>
      <c r="M463">
        <f t="shared" si="133"/>
        <v>98850.000000000015</v>
      </c>
      <c r="N463">
        <f t="shared" si="134"/>
        <v>179250000</v>
      </c>
      <c r="O463">
        <f t="shared" si="135"/>
        <v>1.6736401673640167E-5</v>
      </c>
      <c r="P463">
        <v>71902.09</v>
      </c>
      <c r="Q463" s="8">
        <v>0.21590000000000001</v>
      </c>
      <c r="R463">
        <f t="shared" si="136"/>
        <v>41194000000</v>
      </c>
      <c r="S463">
        <f t="shared" si="137"/>
        <v>16376000000</v>
      </c>
      <c r="T463" s="37">
        <f t="shared" si="138"/>
        <v>389680000</v>
      </c>
      <c r="U463" s="37">
        <f t="shared" si="139"/>
        <v>494580000</v>
      </c>
      <c r="V463" s="37">
        <f t="shared" si="140"/>
        <v>10107420000</v>
      </c>
      <c r="W463">
        <f t="shared" si="127"/>
        <v>1.4007237072487537E-7</v>
      </c>
      <c r="X463">
        <f t="shared" si="141"/>
        <v>0.24536146040685536</v>
      </c>
    </row>
    <row r="464" spans="1:24">
      <c r="A464" s="33">
        <v>45414</v>
      </c>
      <c r="B464" s="38">
        <v>32.5</v>
      </c>
      <c r="C464" s="23">
        <f t="shared" si="128"/>
        <v>-2.9850746268656716E-2</v>
      </c>
      <c r="D464" s="22">
        <f t="shared" si="129"/>
        <v>0.22304981335270066</v>
      </c>
      <c r="E464" s="38">
        <v>32.549999999999997</v>
      </c>
      <c r="F464" s="38">
        <v>32.5</v>
      </c>
      <c r="G464" s="22">
        <f t="shared" si="130"/>
        <v>1.5372790161413423E-3</v>
      </c>
      <c r="H464" s="38">
        <v>33</v>
      </c>
      <c r="I464" s="38">
        <v>32.299999999999997</v>
      </c>
      <c r="J464" s="22">
        <f t="shared" si="131"/>
        <v>2.1439509954058279E-2</v>
      </c>
      <c r="K464" s="35">
        <v>1500</v>
      </c>
      <c r="L464" s="37">
        <f t="shared" si="132"/>
        <v>380860000</v>
      </c>
      <c r="M464">
        <f t="shared" si="133"/>
        <v>48750</v>
      </c>
      <c r="N464">
        <f t="shared" si="134"/>
        <v>179250000</v>
      </c>
      <c r="O464">
        <f t="shared" si="135"/>
        <v>8.3682008368200836E-6</v>
      </c>
      <c r="P464">
        <v>70657.64</v>
      </c>
      <c r="Q464" s="8">
        <v>0.21590000000000001</v>
      </c>
      <c r="R464">
        <f t="shared" si="136"/>
        <v>41194000000</v>
      </c>
      <c r="S464">
        <f t="shared" si="137"/>
        <v>16376000000</v>
      </c>
      <c r="T464" s="37">
        <f t="shared" si="138"/>
        <v>389680000</v>
      </c>
      <c r="U464" s="37">
        <f t="shared" si="139"/>
        <v>494580000</v>
      </c>
      <c r="V464" s="37">
        <f t="shared" si="140"/>
        <v>10107420000</v>
      </c>
      <c r="W464">
        <f t="shared" si="127"/>
        <v>6.1232300038270182E-7</v>
      </c>
      <c r="X464">
        <f t="shared" si="141"/>
        <v>0.24536146040685536</v>
      </c>
    </row>
    <row r="465" spans="1:24">
      <c r="A465" s="33">
        <v>45412</v>
      </c>
      <c r="B465" s="38">
        <v>33.5</v>
      </c>
      <c r="C465" s="23">
        <f t="shared" si="128"/>
        <v>1.1954572624028436E-3</v>
      </c>
      <c r="D465" s="22">
        <f t="shared" si="129"/>
        <v>0.22304981335270066</v>
      </c>
      <c r="E465" s="38">
        <v>33.799999999999997</v>
      </c>
      <c r="F465" s="38">
        <v>32.200000000000003</v>
      </c>
      <c r="G465" s="22">
        <f t="shared" si="130"/>
        <v>4.8484848484848311E-2</v>
      </c>
      <c r="H465" s="38">
        <v>33.5</v>
      </c>
      <c r="I465" s="38">
        <v>32.6</v>
      </c>
      <c r="J465" s="22">
        <f t="shared" si="131"/>
        <v>2.7231467473524923E-2</v>
      </c>
      <c r="K465" s="35">
        <v>5000</v>
      </c>
      <c r="L465" s="37">
        <f t="shared" si="132"/>
        <v>380860000</v>
      </c>
      <c r="M465">
        <f t="shared" si="133"/>
        <v>167500</v>
      </c>
      <c r="N465">
        <f t="shared" si="134"/>
        <v>179250000</v>
      </c>
      <c r="O465">
        <f t="shared" si="135"/>
        <v>2.789400278940028E-5</v>
      </c>
      <c r="P465">
        <v>71102.55</v>
      </c>
      <c r="Q465" s="8">
        <v>0.21590000000000001</v>
      </c>
      <c r="R465">
        <f t="shared" si="136"/>
        <v>41194000000</v>
      </c>
      <c r="S465">
        <f t="shared" si="137"/>
        <v>16376000000</v>
      </c>
      <c r="T465" s="37">
        <f t="shared" si="138"/>
        <v>389680000</v>
      </c>
      <c r="U465" s="37">
        <f t="shared" si="139"/>
        <v>494580000</v>
      </c>
      <c r="V465" s="37">
        <f t="shared" si="140"/>
        <v>10107420000</v>
      </c>
      <c r="W465">
        <f t="shared" si="127"/>
        <v>7.1370582830020514E-9</v>
      </c>
      <c r="X465">
        <f t="shared" si="141"/>
        <v>0.24536146040685536</v>
      </c>
    </row>
    <row r="466" spans="1:24">
      <c r="A466" s="33">
        <v>45411</v>
      </c>
      <c r="B466" s="38">
        <v>33.46</v>
      </c>
      <c r="C466" s="23">
        <f t="shared" si="128"/>
        <v>-4.916169366297235E-2</v>
      </c>
      <c r="D466" s="22">
        <f t="shared" si="129"/>
        <v>0.22304981335270066</v>
      </c>
      <c r="E466" s="38">
        <v>34.5</v>
      </c>
      <c r="F466" s="38">
        <v>33.119999999999997</v>
      </c>
      <c r="G466" s="22">
        <f t="shared" si="130"/>
        <v>4.0816326530612318E-2</v>
      </c>
      <c r="H466" s="38">
        <v>33.65</v>
      </c>
      <c r="I466" s="38">
        <v>33.1</v>
      </c>
      <c r="J466" s="22">
        <f t="shared" si="131"/>
        <v>1.6479400749063584E-2</v>
      </c>
      <c r="K466" s="35">
        <v>5500</v>
      </c>
      <c r="L466" s="37">
        <f t="shared" si="132"/>
        <v>380860000</v>
      </c>
      <c r="M466">
        <f t="shared" si="133"/>
        <v>184030</v>
      </c>
      <c r="N466">
        <f t="shared" si="134"/>
        <v>179250000</v>
      </c>
      <c r="O466">
        <f t="shared" si="135"/>
        <v>3.0683403068340305E-5</v>
      </c>
      <c r="P466">
        <v>71695.03</v>
      </c>
      <c r="Q466" s="8">
        <v>0.21640000000000001</v>
      </c>
      <c r="R466">
        <f t="shared" si="136"/>
        <v>41194000000</v>
      </c>
      <c r="S466">
        <f t="shared" si="137"/>
        <v>16376000000</v>
      </c>
      <c r="T466" s="37">
        <f t="shared" si="138"/>
        <v>389680000</v>
      </c>
      <c r="U466" s="37">
        <f t="shared" si="139"/>
        <v>494580000</v>
      </c>
      <c r="V466" s="37">
        <f t="shared" si="140"/>
        <v>10107420000</v>
      </c>
      <c r="W466">
        <f t="shared" si="127"/>
        <v>2.6713956237011549E-7</v>
      </c>
      <c r="X466">
        <f t="shared" si="141"/>
        <v>0.24536146040685536</v>
      </c>
    </row>
    <row r="467" spans="1:24">
      <c r="A467" s="33">
        <v>45408</v>
      </c>
      <c r="B467" s="38">
        <v>35.19</v>
      </c>
      <c r="C467" s="23">
        <f t="shared" si="128"/>
        <v>3.4695677741840632E-2</v>
      </c>
      <c r="D467" s="22">
        <f t="shared" si="129"/>
        <v>0.22304981335270066</v>
      </c>
      <c r="E467" s="38">
        <v>36</v>
      </c>
      <c r="F467" s="38">
        <v>33</v>
      </c>
      <c r="G467" s="22">
        <f t="shared" si="130"/>
        <v>8.6956521739130432E-2</v>
      </c>
      <c r="H467" s="38">
        <v>35.200000000000003</v>
      </c>
      <c r="I467" s="38">
        <v>34.36</v>
      </c>
      <c r="J467" s="22">
        <f t="shared" si="131"/>
        <v>2.4151811385854035E-2</v>
      </c>
      <c r="K467" s="35">
        <v>15500</v>
      </c>
      <c r="L467" s="37">
        <f t="shared" si="132"/>
        <v>380860000</v>
      </c>
      <c r="M467">
        <f t="shared" si="133"/>
        <v>545445</v>
      </c>
      <c r="N467">
        <f t="shared" si="134"/>
        <v>179250000</v>
      </c>
      <c r="O467">
        <f t="shared" si="135"/>
        <v>8.6471408647140858E-5</v>
      </c>
      <c r="P467">
        <v>72742.75</v>
      </c>
      <c r="Q467" s="8">
        <v>0.21640000000000001</v>
      </c>
      <c r="R467">
        <f t="shared" si="136"/>
        <v>41194000000</v>
      </c>
      <c r="S467">
        <f t="shared" si="137"/>
        <v>16376000000</v>
      </c>
      <c r="T467" s="37">
        <f t="shared" si="138"/>
        <v>389680000</v>
      </c>
      <c r="U467" s="37">
        <f t="shared" si="139"/>
        <v>494580000</v>
      </c>
      <c r="V467" s="37">
        <f t="shared" si="140"/>
        <v>10107420000</v>
      </c>
      <c r="W467">
        <f t="shared" si="127"/>
        <v>6.3609855699182554E-8</v>
      </c>
      <c r="X467">
        <f t="shared" si="141"/>
        <v>0.24536146040685536</v>
      </c>
    </row>
    <row r="468" spans="1:24">
      <c r="A468" s="33">
        <v>45407</v>
      </c>
      <c r="B468" s="38">
        <v>34.01</v>
      </c>
      <c r="C468" s="23">
        <f t="shared" si="128"/>
        <v>0</v>
      </c>
      <c r="D468" s="22">
        <f t="shared" si="129"/>
        <v>0.22304981335270066</v>
      </c>
      <c r="E468" s="38">
        <v>33</v>
      </c>
      <c r="F468" s="38">
        <v>33</v>
      </c>
      <c r="G468" s="22">
        <f t="shared" si="130"/>
        <v>0</v>
      </c>
      <c r="H468" s="38">
        <v>35</v>
      </c>
      <c r="I468" s="38">
        <v>33.4</v>
      </c>
      <c r="J468" s="22">
        <f t="shared" si="131"/>
        <v>4.6783625730994191E-2</v>
      </c>
      <c r="K468" s="35"/>
      <c r="L468" s="37">
        <f t="shared" si="132"/>
        <v>380860000</v>
      </c>
      <c r="M468">
        <f t="shared" si="133"/>
        <v>0</v>
      </c>
      <c r="N468">
        <f t="shared" si="134"/>
        <v>179250000</v>
      </c>
      <c r="O468">
        <f t="shared" si="135"/>
        <v>0</v>
      </c>
      <c r="P468">
        <v>71971.399999999994</v>
      </c>
      <c r="Q468" s="8">
        <v>0.21640000000000001</v>
      </c>
      <c r="R468">
        <f t="shared" si="136"/>
        <v>41194000000</v>
      </c>
      <c r="S468">
        <f t="shared" si="137"/>
        <v>16376000000</v>
      </c>
      <c r="T468" s="37">
        <f t="shared" si="138"/>
        <v>389680000</v>
      </c>
      <c r="U468" s="37">
        <f t="shared" si="139"/>
        <v>494580000</v>
      </c>
      <c r="V468" s="37">
        <f t="shared" si="140"/>
        <v>10107420000</v>
      </c>
      <c r="W468">
        <f t="shared" si="127"/>
        <v>0</v>
      </c>
      <c r="X468">
        <f t="shared" si="141"/>
        <v>0.24536146040685536</v>
      </c>
    </row>
    <row r="469" spans="1:24">
      <c r="A469" s="33">
        <v>45406</v>
      </c>
      <c r="B469" s="38">
        <v>34.01</v>
      </c>
      <c r="C469" s="23">
        <f t="shared" si="128"/>
        <v>-2.5222126683863644E-2</v>
      </c>
      <c r="D469" s="22">
        <f t="shared" si="129"/>
        <v>0.22304981335270066</v>
      </c>
      <c r="E469" s="38">
        <v>34.01</v>
      </c>
      <c r="F469" s="38">
        <v>34.01</v>
      </c>
      <c r="G469" s="22">
        <f t="shared" si="130"/>
        <v>0</v>
      </c>
      <c r="H469" s="38">
        <v>34.700000000000003</v>
      </c>
      <c r="I469" s="38">
        <v>34.1</v>
      </c>
      <c r="J469" s="22">
        <f t="shared" si="131"/>
        <v>1.7441860465116317E-2</v>
      </c>
      <c r="K469" s="35">
        <v>500</v>
      </c>
      <c r="L469" s="37">
        <f t="shared" si="132"/>
        <v>380860000</v>
      </c>
      <c r="M469">
        <f t="shared" si="133"/>
        <v>17005</v>
      </c>
      <c r="N469">
        <f t="shared" si="134"/>
        <v>179250000</v>
      </c>
      <c r="O469">
        <f t="shared" si="135"/>
        <v>2.7894002789400277E-6</v>
      </c>
      <c r="P469">
        <v>72051.89</v>
      </c>
      <c r="Q469" s="8">
        <v>0.21640000000000001</v>
      </c>
      <c r="R469">
        <f t="shared" si="136"/>
        <v>41194000000</v>
      </c>
      <c r="S469">
        <f t="shared" si="137"/>
        <v>16376000000</v>
      </c>
      <c r="T469" s="37">
        <f t="shared" si="138"/>
        <v>389680000</v>
      </c>
      <c r="U469" s="37">
        <f t="shared" si="139"/>
        <v>494580000</v>
      </c>
      <c r="V469" s="37">
        <f t="shared" si="140"/>
        <v>10107420000</v>
      </c>
      <c r="W469">
        <f t="shared" si="127"/>
        <v>1.4832182701478179E-6</v>
      </c>
      <c r="X469">
        <f t="shared" si="141"/>
        <v>0.24536146040685536</v>
      </c>
    </row>
    <row r="470" spans="1:24">
      <c r="A470" s="33">
        <v>45405</v>
      </c>
      <c r="B470" s="38">
        <v>34.89</v>
      </c>
      <c r="C470" s="23">
        <f t="shared" si="128"/>
        <v>5.7272727272727288E-2</v>
      </c>
      <c r="D470" s="22">
        <f t="shared" si="129"/>
        <v>0.22304981335270066</v>
      </c>
      <c r="E470" s="38">
        <v>35.200000000000003</v>
      </c>
      <c r="F470" s="38">
        <v>34</v>
      </c>
      <c r="G470" s="22">
        <f t="shared" si="130"/>
        <v>3.4682080924855571E-2</v>
      </c>
      <c r="H470" s="38">
        <v>34.9</v>
      </c>
      <c r="I470" s="38">
        <v>33.51</v>
      </c>
      <c r="J470" s="22">
        <f t="shared" si="131"/>
        <v>4.0637333723139914E-2</v>
      </c>
      <c r="K470" s="35">
        <v>4500</v>
      </c>
      <c r="L470" s="37">
        <f t="shared" si="132"/>
        <v>380860000</v>
      </c>
      <c r="M470">
        <f t="shared" si="133"/>
        <v>157005</v>
      </c>
      <c r="N470">
        <f t="shared" si="134"/>
        <v>179250000</v>
      </c>
      <c r="O470">
        <f t="shared" si="135"/>
        <v>2.5104602510460251E-5</v>
      </c>
      <c r="P470">
        <v>71359.41</v>
      </c>
      <c r="Q470" s="8">
        <v>0.21640000000000001</v>
      </c>
      <c r="R470">
        <f t="shared" si="136"/>
        <v>41194000000</v>
      </c>
      <c r="S470">
        <f t="shared" si="137"/>
        <v>16376000000</v>
      </c>
      <c r="T470" s="37">
        <f t="shared" si="138"/>
        <v>389680000</v>
      </c>
      <c r="U470" s="37">
        <f t="shared" si="139"/>
        <v>494580000</v>
      </c>
      <c r="V470" s="37">
        <f t="shared" si="140"/>
        <v>10107420000</v>
      </c>
      <c r="W470">
        <f t="shared" si="127"/>
        <v>3.6478282394017569E-7</v>
      </c>
      <c r="X470">
        <f t="shared" si="141"/>
        <v>0.24536146040685536</v>
      </c>
    </row>
    <row r="471" spans="1:24">
      <c r="A471" s="33">
        <v>45404</v>
      </c>
      <c r="B471" s="38">
        <v>33</v>
      </c>
      <c r="C471" s="23">
        <f t="shared" si="128"/>
        <v>0</v>
      </c>
      <c r="D471" s="22">
        <f t="shared" si="129"/>
        <v>0.22304981335270066</v>
      </c>
      <c r="E471" s="38">
        <v>33</v>
      </c>
      <c r="F471" s="38">
        <v>33</v>
      </c>
      <c r="G471" s="22">
        <f t="shared" si="130"/>
        <v>0</v>
      </c>
      <c r="H471" s="38">
        <v>34</v>
      </c>
      <c r="I471" s="38">
        <v>32.630000000000003</v>
      </c>
      <c r="J471" s="22">
        <f t="shared" si="131"/>
        <v>4.1122617439591704E-2</v>
      </c>
      <c r="K471" s="35">
        <v>1000</v>
      </c>
      <c r="L471" s="37">
        <f t="shared" si="132"/>
        <v>380860000</v>
      </c>
      <c r="M471">
        <f t="shared" si="133"/>
        <v>33000</v>
      </c>
      <c r="N471">
        <f t="shared" si="134"/>
        <v>179250000</v>
      </c>
      <c r="O471">
        <f t="shared" si="135"/>
        <v>5.5788005578800554E-6</v>
      </c>
      <c r="P471">
        <v>71433.460000000006</v>
      </c>
      <c r="Q471" s="8">
        <v>0.21640000000000001</v>
      </c>
      <c r="R471">
        <f t="shared" si="136"/>
        <v>41194000000</v>
      </c>
      <c r="S471">
        <f t="shared" si="137"/>
        <v>16376000000</v>
      </c>
      <c r="T471" s="37">
        <f t="shared" si="138"/>
        <v>389680000</v>
      </c>
      <c r="U471" s="37">
        <f t="shared" si="139"/>
        <v>494580000</v>
      </c>
      <c r="V471" s="37">
        <f t="shared" si="140"/>
        <v>10107420000</v>
      </c>
      <c r="W471">
        <f t="shared" si="127"/>
        <v>0</v>
      </c>
      <c r="X471">
        <f t="shared" si="141"/>
        <v>0.24536146040685536</v>
      </c>
    </row>
    <row r="472" spans="1:24">
      <c r="A472" s="33">
        <v>45401</v>
      </c>
      <c r="B472" s="38">
        <v>33</v>
      </c>
      <c r="C472" s="23">
        <f t="shared" si="128"/>
        <v>0</v>
      </c>
      <c r="D472" s="22">
        <f t="shared" si="129"/>
        <v>0.22304981335270066</v>
      </c>
      <c r="E472" s="38">
        <v>33</v>
      </c>
      <c r="F472" s="38">
        <v>33</v>
      </c>
      <c r="G472" s="22">
        <f t="shared" si="130"/>
        <v>0</v>
      </c>
      <c r="H472" s="38">
        <v>34</v>
      </c>
      <c r="I472" s="38">
        <v>32.700000000000003</v>
      </c>
      <c r="J472" s="22">
        <f t="shared" si="131"/>
        <v>3.8980509745127352E-2</v>
      </c>
      <c r="K472" s="35">
        <v>1500</v>
      </c>
      <c r="L472" s="37">
        <f t="shared" si="132"/>
        <v>380860000</v>
      </c>
      <c r="M472">
        <f t="shared" si="133"/>
        <v>49500</v>
      </c>
      <c r="N472">
        <f t="shared" si="134"/>
        <v>179250000</v>
      </c>
      <c r="O472">
        <f t="shared" si="135"/>
        <v>8.3682008368200836E-6</v>
      </c>
      <c r="P472">
        <v>70909.899999999994</v>
      </c>
      <c r="Q472" s="8">
        <v>0.21640000000000001</v>
      </c>
      <c r="R472">
        <f t="shared" si="136"/>
        <v>41194000000</v>
      </c>
      <c r="S472">
        <f t="shared" si="137"/>
        <v>16376000000</v>
      </c>
      <c r="T472" s="37">
        <f t="shared" si="138"/>
        <v>389680000</v>
      </c>
      <c r="U472" s="37">
        <f t="shared" si="139"/>
        <v>494580000</v>
      </c>
      <c r="V472" s="37">
        <f t="shared" si="140"/>
        <v>10107420000</v>
      </c>
      <c r="W472">
        <f t="shared" si="127"/>
        <v>0</v>
      </c>
      <c r="X472">
        <f t="shared" si="141"/>
        <v>0.24536146040685536</v>
      </c>
    </row>
    <row r="473" spans="1:24">
      <c r="A473" s="33">
        <v>45400</v>
      </c>
      <c r="B473" s="38">
        <v>33</v>
      </c>
      <c r="C473" s="23">
        <f t="shared" si="128"/>
        <v>-2.7982326951399197E-2</v>
      </c>
      <c r="D473" s="22">
        <f t="shared" si="129"/>
        <v>0.22304981335270066</v>
      </c>
      <c r="E473" s="38">
        <v>33</v>
      </c>
      <c r="F473" s="38">
        <v>32.549999999999997</v>
      </c>
      <c r="G473" s="22">
        <f t="shared" si="130"/>
        <v>1.3729977116704893E-2</v>
      </c>
      <c r="H473" s="38">
        <v>33.4</v>
      </c>
      <c r="I473" s="38">
        <v>32.71</v>
      </c>
      <c r="J473" s="22">
        <f t="shared" si="131"/>
        <v>2.0874300408410158E-2</v>
      </c>
      <c r="K473" s="35">
        <v>2000</v>
      </c>
      <c r="L473" s="37">
        <f t="shared" si="132"/>
        <v>380860000</v>
      </c>
      <c r="M473">
        <f t="shared" si="133"/>
        <v>66000</v>
      </c>
      <c r="N473">
        <f t="shared" si="134"/>
        <v>179250000</v>
      </c>
      <c r="O473">
        <f t="shared" si="135"/>
        <v>1.1157601115760111E-5</v>
      </c>
      <c r="P473">
        <v>70290.12</v>
      </c>
      <c r="Q473" s="8">
        <v>0.21640000000000001</v>
      </c>
      <c r="R473">
        <f t="shared" si="136"/>
        <v>41194000000</v>
      </c>
      <c r="S473">
        <f t="shared" si="137"/>
        <v>16376000000</v>
      </c>
      <c r="T473" s="37">
        <f t="shared" si="138"/>
        <v>389680000</v>
      </c>
      <c r="U473" s="37">
        <f t="shared" si="139"/>
        <v>494580000</v>
      </c>
      <c r="V473" s="37">
        <f t="shared" si="140"/>
        <v>10107420000</v>
      </c>
      <c r="W473">
        <f t="shared" si="127"/>
        <v>4.2397465077877573E-7</v>
      </c>
      <c r="X473">
        <f t="shared" si="141"/>
        <v>0.24536146040685536</v>
      </c>
    </row>
    <row r="474" spans="1:24">
      <c r="A474" s="33">
        <v>45399</v>
      </c>
      <c r="B474" s="38">
        <v>33.950000000000003</v>
      </c>
      <c r="C474" s="23">
        <f t="shared" si="128"/>
        <v>0</v>
      </c>
      <c r="D474" s="22">
        <f t="shared" si="129"/>
        <v>0.22304981335270066</v>
      </c>
      <c r="E474" s="38">
        <v>33.5</v>
      </c>
      <c r="F474" s="38">
        <v>30.56</v>
      </c>
      <c r="G474" s="22">
        <f t="shared" si="130"/>
        <v>9.1788947861379991E-2</v>
      </c>
      <c r="H474" s="38">
        <v>33.65</v>
      </c>
      <c r="I474" s="38">
        <v>32.700000000000003</v>
      </c>
      <c r="J474" s="22">
        <f t="shared" si="131"/>
        <v>2.8636021100225947E-2</v>
      </c>
      <c r="K474" s="35"/>
      <c r="L474" s="37">
        <f t="shared" si="132"/>
        <v>380860000</v>
      </c>
      <c r="M474">
        <f t="shared" si="133"/>
        <v>0</v>
      </c>
      <c r="N474">
        <f t="shared" si="134"/>
        <v>179250000</v>
      </c>
      <c r="O474">
        <f t="shared" si="135"/>
        <v>0</v>
      </c>
      <c r="P474">
        <v>70333.320000000007</v>
      </c>
      <c r="Q474" s="8">
        <v>0.21640000000000001</v>
      </c>
      <c r="R474">
        <f t="shared" si="136"/>
        <v>41194000000</v>
      </c>
      <c r="S474">
        <f t="shared" si="137"/>
        <v>16376000000</v>
      </c>
      <c r="T474" s="37">
        <f t="shared" si="138"/>
        <v>389680000</v>
      </c>
      <c r="U474" s="37">
        <f t="shared" si="139"/>
        <v>494580000</v>
      </c>
      <c r="V474" s="37">
        <f t="shared" si="140"/>
        <v>10107420000</v>
      </c>
      <c r="W474">
        <f t="shared" si="127"/>
        <v>0</v>
      </c>
      <c r="X474">
        <f t="shared" si="141"/>
        <v>0.24536146040685536</v>
      </c>
    </row>
    <row r="475" spans="1:24">
      <c r="A475" s="33">
        <v>45398</v>
      </c>
      <c r="B475" s="38">
        <v>33.950000000000003</v>
      </c>
      <c r="C475" s="23">
        <f t="shared" si="128"/>
        <v>1.3432835820895607E-2</v>
      </c>
      <c r="D475" s="22">
        <f t="shared" si="129"/>
        <v>0.22304981335270066</v>
      </c>
      <c r="E475" s="38">
        <v>34</v>
      </c>
      <c r="F475" s="38">
        <v>33.950000000000003</v>
      </c>
      <c r="G475" s="22">
        <f t="shared" si="130"/>
        <v>1.4716703458424476E-3</v>
      </c>
      <c r="H475" s="38">
        <v>33.880000000000003</v>
      </c>
      <c r="I475" s="38">
        <v>32.6</v>
      </c>
      <c r="J475" s="22">
        <f t="shared" si="131"/>
        <v>3.8507821901323736E-2</v>
      </c>
      <c r="K475" s="35">
        <v>2000</v>
      </c>
      <c r="L475" s="37">
        <f t="shared" si="132"/>
        <v>380860000</v>
      </c>
      <c r="M475">
        <f t="shared" si="133"/>
        <v>67900</v>
      </c>
      <c r="N475">
        <f t="shared" si="134"/>
        <v>179250000</v>
      </c>
      <c r="O475">
        <f t="shared" si="135"/>
        <v>1.1157601115760111E-5</v>
      </c>
      <c r="P475">
        <v>70483.66</v>
      </c>
      <c r="Q475" s="8">
        <v>0.216</v>
      </c>
      <c r="R475">
        <f t="shared" si="136"/>
        <v>41194000000</v>
      </c>
      <c r="S475">
        <f t="shared" si="137"/>
        <v>16376000000</v>
      </c>
      <c r="T475" s="37">
        <f t="shared" si="138"/>
        <v>389680000</v>
      </c>
      <c r="U475" s="37">
        <f t="shared" si="139"/>
        <v>494580000</v>
      </c>
      <c r="V475" s="37">
        <f t="shared" si="140"/>
        <v>10107420000</v>
      </c>
      <c r="W475">
        <f t="shared" si="127"/>
        <v>1.9783263359198245E-7</v>
      </c>
      <c r="X475">
        <f t="shared" si="141"/>
        <v>0.24536146040685536</v>
      </c>
    </row>
    <row r="476" spans="1:24">
      <c r="A476" s="33">
        <v>45397</v>
      </c>
      <c r="B476" s="38">
        <v>33.5</v>
      </c>
      <c r="C476" s="23">
        <f t="shared" si="128"/>
        <v>1.2390450287095695E-2</v>
      </c>
      <c r="D476" s="22">
        <f t="shared" si="129"/>
        <v>0.22304981335270066</v>
      </c>
      <c r="E476" s="38">
        <v>33.5</v>
      </c>
      <c r="F476" s="38">
        <v>33.5</v>
      </c>
      <c r="G476" s="22">
        <f t="shared" si="130"/>
        <v>0</v>
      </c>
      <c r="H476" s="38">
        <v>33.950000000000003</v>
      </c>
      <c r="I476" s="38">
        <v>32.6</v>
      </c>
      <c r="J476" s="22">
        <f t="shared" si="131"/>
        <v>4.0570999248685236E-2</v>
      </c>
      <c r="K476" s="35">
        <v>500</v>
      </c>
      <c r="L476" s="37">
        <f t="shared" si="132"/>
        <v>380860000</v>
      </c>
      <c r="M476">
        <f t="shared" si="133"/>
        <v>16750</v>
      </c>
      <c r="N476">
        <f t="shared" si="134"/>
        <v>179250000</v>
      </c>
      <c r="O476">
        <f t="shared" si="135"/>
        <v>2.7894002789400277E-6</v>
      </c>
      <c r="P476">
        <v>70544.58</v>
      </c>
      <c r="Q476" s="8">
        <v>0.216</v>
      </c>
      <c r="R476">
        <f t="shared" si="136"/>
        <v>41194000000</v>
      </c>
      <c r="S476">
        <f t="shared" si="137"/>
        <v>16376000000</v>
      </c>
      <c r="T476" s="37">
        <f t="shared" si="138"/>
        <v>389680000</v>
      </c>
      <c r="U476" s="37">
        <f t="shared" si="139"/>
        <v>494580000</v>
      </c>
      <c r="V476" s="37">
        <f t="shared" si="140"/>
        <v>10107420000</v>
      </c>
      <c r="W476">
        <f t="shared" si="127"/>
        <v>7.3972837534899674E-7</v>
      </c>
      <c r="X476">
        <f t="shared" si="141"/>
        <v>0.24536146040685536</v>
      </c>
    </row>
    <row r="477" spans="1:24">
      <c r="A477" s="33">
        <v>45391</v>
      </c>
      <c r="B477" s="38">
        <v>33.090000000000003</v>
      </c>
      <c r="C477" s="23">
        <f t="shared" si="128"/>
        <v>2.1199273167777188E-3</v>
      </c>
      <c r="D477" s="22">
        <f t="shared" si="129"/>
        <v>0.22304981335270066</v>
      </c>
      <c r="E477" s="38">
        <v>33.090000000000003</v>
      </c>
      <c r="F477" s="38">
        <v>33.090000000000003</v>
      </c>
      <c r="G477" s="22">
        <f t="shared" si="130"/>
        <v>0</v>
      </c>
      <c r="H477" s="38">
        <v>34.380000000000003</v>
      </c>
      <c r="I477" s="38">
        <v>33.03</v>
      </c>
      <c r="J477" s="22">
        <f t="shared" si="131"/>
        <v>4.0053404539385891E-2</v>
      </c>
      <c r="K477" s="35">
        <v>1000</v>
      </c>
      <c r="L477" s="37">
        <f t="shared" si="132"/>
        <v>380860000</v>
      </c>
      <c r="M477">
        <f t="shared" si="133"/>
        <v>33090</v>
      </c>
      <c r="N477">
        <f t="shared" si="134"/>
        <v>179250000</v>
      </c>
      <c r="O477">
        <f t="shared" si="135"/>
        <v>5.5788005578800554E-6</v>
      </c>
      <c r="P477">
        <v>70314.720000000001</v>
      </c>
      <c r="Q477" s="8">
        <v>0.216</v>
      </c>
      <c r="R477">
        <f t="shared" si="136"/>
        <v>41194000000</v>
      </c>
      <c r="S477">
        <f t="shared" si="137"/>
        <v>16376000000</v>
      </c>
      <c r="T477" s="37">
        <f t="shared" si="138"/>
        <v>389680000</v>
      </c>
      <c r="U477" s="37">
        <f t="shared" si="139"/>
        <v>494580000</v>
      </c>
      <c r="V477" s="37">
        <f t="shared" si="140"/>
        <v>10107420000</v>
      </c>
      <c r="W477">
        <f t="shared" si="127"/>
        <v>6.4065497636074906E-8</v>
      </c>
      <c r="X477">
        <f t="shared" si="141"/>
        <v>0.24536146040685536</v>
      </c>
    </row>
    <row r="478" spans="1:24">
      <c r="A478" s="33">
        <v>45390</v>
      </c>
      <c r="B478" s="38">
        <v>33.020000000000003</v>
      </c>
      <c r="C478" s="23">
        <f t="shared" si="128"/>
        <v>-2.4519940915804971E-2</v>
      </c>
      <c r="D478" s="22">
        <f t="shared" si="129"/>
        <v>0.22304981335270066</v>
      </c>
      <c r="E478" s="38">
        <v>33.85</v>
      </c>
      <c r="F478" s="38">
        <v>33</v>
      </c>
      <c r="G478" s="22">
        <f t="shared" si="130"/>
        <v>2.5430067314884112E-2</v>
      </c>
      <c r="H478" s="38">
        <v>33.6</v>
      </c>
      <c r="I478" s="38">
        <v>33.01</v>
      </c>
      <c r="J478" s="22">
        <f t="shared" si="131"/>
        <v>1.7715057799129363E-2</v>
      </c>
      <c r="K478" s="35">
        <v>4000</v>
      </c>
      <c r="L478" s="37">
        <f t="shared" si="132"/>
        <v>380860000</v>
      </c>
      <c r="M478">
        <f t="shared" si="133"/>
        <v>132080</v>
      </c>
      <c r="N478">
        <f t="shared" si="134"/>
        <v>179250000</v>
      </c>
      <c r="O478">
        <f t="shared" si="135"/>
        <v>2.2315202231520222E-5</v>
      </c>
      <c r="P478">
        <v>69619.990000000005</v>
      </c>
      <c r="Q478" s="8">
        <v>0.216</v>
      </c>
      <c r="R478">
        <f t="shared" si="136"/>
        <v>41194000000</v>
      </c>
      <c r="S478">
        <f t="shared" si="137"/>
        <v>16376000000</v>
      </c>
      <c r="T478" s="37">
        <f t="shared" si="138"/>
        <v>389680000</v>
      </c>
      <c r="U478" s="37">
        <f t="shared" si="139"/>
        <v>494580000</v>
      </c>
      <c r="V478" s="37">
        <f t="shared" si="140"/>
        <v>10107420000</v>
      </c>
      <c r="W478">
        <f t="shared" si="127"/>
        <v>1.856446162613944E-7</v>
      </c>
      <c r="X478">
        <f t="shared" si="141"/>
        <v>0.24536146040685536</v>
      </c>
    </row>
    <row r="479" spans="1:24">
      <c r="A479" s="33">
        <v>45386</v>
      </c>
      <c r="B479" s="38">
        <v>33.85</v>
      </c>
      <c r="C479" s="23">
        <f t="shared" si="128"/>
        <v>1.0447761194029893E-2</v>
      </c>
      <c r="D479" s="22">
        <f t="shared" si="129"/>
        <v>0.22304981335270066</v>
      </c>
      <c r="E479" s="38">
        <v>33.89</v>
      </c>
      <c r="F479" s="38">
        <v>33.5</v>
      </c>
      <c r="G479" s="22">
        <f t="shared" si="130"/>
        <v>1.1574417569372327E-2</v>
      </c>
      <c r="H479" s="38">
        <v>34.25</v>
      </c>
      <c r="I479" s="38">
        <v>33</v>
      </c>
      <c r="J479" s="22">
        <f t="shared" si="131"/>
        <v>3.717472118959108E-2</v>
      </c>
      <c r="K479" s="35">
        <v>7500</v>
      </c>
      <c r="L479" s="37">
        <f t="shared" si="132"/>
        <v>380860000</v>
      </c>
      <c r="M479">
        <f t="shared" si="133"/>
        <v>253875</v>
      </c>
      <c r="N479">
        <f t="shared" si="134"/>
        <v>179250000</v>
      </c>
      <c r="O479">
        <f t="shared" si="135"/>
        <v>4.1841004184100421E-5</v>
      </c>
      <c r="P479">
        <v>68416.78</v>
      </c>
      <c r="Q479" s="8">
        <v>0.216</v>
      </c>
      <c r="R479">
        <f t="shared" si="136"/>
        <v>41194000000</v>
      </c>
      <c r="S479">
        <f t="shared" si="137"/>
        <v>16376000000</v>
      </c>
      <c r="T479" s="37">
        <f t="shared" si="138"/>
        <v>389680000</v>
      </c>
      <c r="U479" s="37">
        <f t="shared" si="139"/>
        <v>494580000</v>
      </c>
      <c r="V479" s="37">
        <f t="shared" si="140"/>
        <v>10107420000</v>
      </c>
      <c r="W479">
        <f t="shared" si="127"/>
        <v>4.1153170631333896E-8</v>
      </c>
      <c r="X479">
        <f t="shared" si="141"/>
        <v>0.24536146040685536</v>
      </c>
    </row>
    <row r="480" spans="1:24">
      <c r="A480" s="33">
        <v>45385</v>
      </c>
      <c r="B480" s="38">
        <v>33.5</v>
      </c>
      <c r="C480" s="23">
        <f t="shared" si="128"/>
        <v>1.5151515151515152E-2</v>
      </c>
      <c r="D480" s="22">
        <f t="shared" si="129"/>
        <v>0.22304981335270066</v>
      </c>
      <c r="E480" s="38">
        <v>33.5</v>
      </c>
      <c r="F480" s="38">
        <v>33.06</v>
      </c>
      <c r="G480" s="22">
        <f t="shared" si="130"/>
        <v>1.3221153846153777E-2</v>
      </c>
      <c r="H480" s="38">
        <v>34</v>
      </c>
      <c r="I480" s="38">
        <v>33.5</v>
      </c>
      <c r="J480" s="22">
        <f t="shared" si="131"/>
        <v>1.4814814814814815E-2</v>
      </c>
      <c r="K480" s="35">
        <v>1000</v>
      </c>
      <c r="L480" s="37">
        <f t="shared" si="132"/>
        <v>380860000</v>
      </c>
      <c r="M480">
        <f t="shared" si="133"/>
        <v>33500</v>
      </c>
      <c r="N480">
        <f t="shared" si="134"/>
        <v>179250000</v>
      </c>
      <c r="O480">
        <f t="shared" si="135"/>
        <v>5.5788005578800554E-6</v>
      </c>
      <c r="P480">
        <v>67756.039999999994</v>
      </c>
      <c r="Q480" s="8">
        <v>0.216</v>
      </c>
      <c r="R480">
        <f t="shared" si="136"/>
        <v>41194000000</v>
      </c>
      <c r="S480">
        <f t="shared" si="137"/>
        <v>16376000000</v>
      </c>
      <c r="T480" s="37">
        <f t="shared" si="138"/>
        <v>389680000</v>
      </c>
      <c r="U480" s="37">
        <f t="shared" si="139"/>
        <v>494580000</v>
      </c>
      <c r="V480" s="37">
        <f t="shared" si="140"/>
        <v>10107420000</v>
      </c>
      <c r="W480">
        <f t="shared" si="127"/>
        <v>4.5228403437358663E-7</v>
      </c>
      <c r="X480">
        <f t="shared" si="141"/>
        <v>0.24536146040685536</v>
      </c>
    </row>
    <row r="481" spans="1:24">
      <c r="A481" s="33">
        <v>45384</v>
      </c>
      <c r="B481" s="38">
        <v>33</v>
      </c>
      <c r="C481" s="23">
        <f t="shared" si="128"/>
        <v>0</v>
      </c>
      <c r="D481" s="22">
        <f t="shared" si="129"/>
        <v>0.22304981335270066</v>
      </c>
      <c r="E481" s="38">
        <v>33.299999999999997</v>
      </c>
      <c r="F481" s="38">
        <v>33</v>
      </c>
      <c r="G481" s="22">
        <f t="shared" si="130"/>
        <v>9.0497737556560227E-3</v>
      </c>
      <c r="H481" s="38">
        <v>33.950000000000003</v>
      </c>
      <c r="I481" s="38">
        <v>32.799999999999997</v>
      </c>
      <c r="J481" s="22">
        <f t="shared" si="131"/>
        <v>3.4456928838951482E-2</v>
      </c>
      <c r="K481" s="35">
        <v>1000</v>
      </c>
      <c r="L481" s="37">
        <f t="shared" si="132"/>
        <v>380860000</v>
      </c>
      <c r="M481">
        <f t="shared" si="133"/>
        <v>33000</v>
      </c>
      <c r="N481">
        <f t="shared" si="134"/>
        <v>179250000</v>
      </c>
      <c r="O481">
        <f t="shared" si="135"/>
        <v>5.5788005578800554E-6</v>
      </c>
      <c r="P481">
        <v>66886.259999999995</v>
      </c>
      <c r="Q481" s="8">
        <v>0.216</v>
      </c>
      <c r="R481">
        <f t="shared" si="136"/>
        <v>41194000000</v>
      </c>
      <c r="S481">
        <f t="shared" si="137"/>
        <v>16376000000</v>
      </c>
      <c r="T481" s="37">
        <f t="shared" si="138"/>
        <v>389680000</v>
      </c>
      <c r="U481" s="37">
        <f t="shared" si="139"/>
        <v>494580000</v>
      </c>
      <c r="V481" s="37">
        <f t="shared" si="140"/>
        <v>10107420000</v>
      </c>
      <c r="W481">
        <f t="shared" si="127"/>
        <v>0</v>
      </c>
      <c r="X481">
        <f t="shared" si="141"/>
        <v>0.24536146040685536</v>
      </c>
    </row>
    <row r="482" spans="1:24">
      <c r="A482" s="33">
        <v>45383</v>
      </c>
      <c r="B482" s="38">
        <v>33</v>
      </c>
      <c r="C482" s="23">
        <f t="shared" si="128"/>
        <v>1.5384615384615385E-2</v>
      </c>
      <c r="D482" s="22">
        <f t="shared" si="129"/>
        <v>0.22304981335270066</v>
      </c>
      <c r="E482" s="38">
        <v>33</v>
      </c>
      <c r="F482" s="38">
        <v>32.5</v>
      </c>
      <c r="G482" s="22">
        <f t="shared" si="130"/>
        <v>1.5267175572519083E-2</v>
      </c>
      <c r="H482" s="38">
        <v>32.99</v>
      </c>
      <c r="I482" s="38">
        <v>32.5</v>
      </c>
      <c r="J482" s="22">
        <f t="shared" si="131"/>
        <v>1.4964116659031973E-2</v>
      </c>
      <c r="K482" s="35">
        <v>13500</v>
      </c>
      <c r="L482" s="37">
        <f t="shared" si="132"/>
        <v>380860000</v>
      </c>
      <c r="M482">
        <f t="shared" si="133"/>
        <v>445500</v>
      </c>
      <c r="N482">
        <f t="shared" si="134"/>
        <v>179250000</v>
      </c>
      <c r="O482">
        <f t="shared" si="135"/>
        <v>7.5313807531380756E-5</v>
      </c>
      <c r="P482">
        <v>66796.320000000007</v>
      </c>
      <c r="Q482" s="8">
        <v>0.216</v>
      </c>
      <c r="R482">
        <f t="shared" si="136"/>
        <v>41194000000</v>
      </c>
      <c r="S482">
        <f t="shared" si="137"/>
        <v>16376000000</v>
      </c>
      <c r="T482" s="37">
        <f t="shared" si="138"/>
        <v>389680000</v>
      </c>
      <c r="U482" s="37">
        <f t="shared" si="139"/>
        <v>494580000</v>
      </c>
      <c r="V482" s="37">
        <f t="shared" si="140"/>
        <v>10107420000</v>
      </c>
      <c r="W482">
        <f t="shared" si="127"/>
        <v>3.4533367866701201E-8</v>
      </c>
      <c r="X482">
        <f t="shared" si="141"/>
        <v>0.24536146040685536</v>
      </c>
    </row>
    <row r="483" spans="1:24">
      <c r="A483" s="33">
        <v>45380</v>
      </c>
      <c r="B483" s="38">
        <v>32.5</v>
      </c>
      <c r="C483" s="23">
        <f t="shared" si="128"/>
        <v>-1.5151515151515152E-2</v>
      </c>
      <c r="D483" s="22">
        <f t="shared" si="129"/>
        <v>0.22304981335270066</v>
      </c>
      <c r="E483" s="38">
        <v>32.5</v>
      </c>
      <c r="F483" s="38">
        <v>32</v>
      </c>
      <c r="G483" s="22">
        <f t="shared" si="130"/>
        <v>1.5503875968992248E-2</v>
      </c>
      <c r="H483" s="38">
        <v>33.299999999999997</v>
      </c>
      <c r="I483" s="38">
        <v>32.5</v>
      </c>
      <c r="J483" s="22">
        <f t="shared" si="131"/>
        <v>2.4316109422492314E-2</v>
      </c>
      <c r="K483" s="35">
        <v>9000</v>
      </c>
      <c r="L483" s="37">
        <f t="shared" si="132"/>
        <v>380860000</v>
      </c>
      <c r="M483">
        <f t="shared" si="133"/>
        <v>292500</v>
      </c>
      <c r="N483">
        <f t="shared" si="134"/>
        <v>179250000</v>
      </c>
      <c r="O483">
        <f t="shared" si="135"/>
        <v>5.0209205020920502E-5</v>
      </c>
      <c r="P483">
        <v>67005.11</v>
      </c>
      <c r="Q483" s="8">
        <v>0.216</v>
      </c>
      <c r="R483">
        <f t="shared" si="136"/>
        <v>41194000000</v>
      </c>
      <c r="S483">
        <f t="shared" si="137"/>
        <v>16376000000</v>
      </c>
      <c r="T483" s="37">
        <f t="shared" si="138"/>
        <v>389680000</v>
      </c>
      <c r="U483" s="37">
        <f t="shared" si="139"/>
        <v>494580000</v>
      </c>
      <c r="V483" s="37">
        <f t="shared" si="140"/>
        <v>10107420000</v>
      </c>
      <c r="W483">
        <f t="shared" si="127"/>
        <v>5.1800051800051802E-8</v>
      </c>
      <c r="X483">
        <f t="shared" si="141"/>
        <v>0.24536146040685536</v>
      </c>
    </row>
    <row r="484" spans="1:24">
      <c r="A484" s="33">
        <v>45379</v>
      </c>
      <c r="B484" s="38">
        <v>33</v>
      </c>
      <c r="C484" s="23">
        <f t="shared" si="128"/>
        <v>0</v>
      </c>
      <c r="D484" s="22">
        <f t="shared" si="129"/>
        <v>0.22304981335270066</v>
      </c>
      <c r="E484" s="38">
        <v>34.99</v>
      </c>
      <c r="F484" s="38">
        <v>32.549999999999997</v>
      </c>
      <c r="G484" s="22">
        <f t="shared" si="130"/>
        <v>7.2253479419603348E-2</v>
      </c>
      <c r="H484" s="38">
        <v>33.15</v>
      </c>
      <c r="I484" s="38">
        <v>32.51</v>
      </c>
      <c r="J484" s="22">
        <f t="shared" si="131"/>
        <v>1.949436491014318E-2</v>
      </c>
      <c r="K484" s="35"/>
      <c r="L484" s="37">
        <f t="shared" si="132"/>
        <v>380860000</v>
      </c>
      <c r="M484">
        <f t="shared" si="133"/>
        <v>0</v>
      </c>
      <c r="N484">
        <f t="shared" si="134"/>
        <v>179250000</v>
      </c>
      <c r="O484">
        <f t="shared" si="135"/>
        <v>0</v>
      </c>
      <c r="P484">
        <v>67142.12</v>
      </c>
      <c r="Q484" s="8">
        <v>0.216</v>
      </c>
      <c r="R484">
        <f t="shared" si="136"/>
        <v>41194000000</v>
      </c>
      <c r="S484">
        <f t="shared" si="137"/>
        <v>16376000000</v>
      </c>
      <c r="T484" s="37">
        <f t="shared" si="138"/>
        <v>389680000</v>
      </c>
      <c r="U484" s="37">
        <f t="shared" si="139"/>
        <v>494580000</v>
      </c>
      <c r="V484" s="37">
        <f t="shared" si="140"/>
        <v>10107420000</v>
      </c>
      <c r="W484">
        <f t="shared" si="127"/>
        <v>0</v>
      </c>
      <c r="X484">
        <f t="shared" si="141"/>
        <v>0.24536146040685536</v>
      </c>
    </row>
    <row r="485" spans="1:24">
      <c r="A485" s="33">
        <v>45378</v>
      </c>
      <c r="B485" s="38">
        <v>33</v>
      </c>
      <c r="C485" s="23">
        <f t="shared" si="128"/>
        <v>1.2269938650306704E-2</v>
      </c>
      <c r="D485" s="22">
        <f t="shared" si="129"/>
        <v>0.22304981335270066</v>
      </c>
      <c r="E485" s="38">
        <v>33</v>
      </c>
      <c r="F485" s="38">
        <v>32.56</v>
      </c>
      <c r="G485" s="22">
        <f t="shared" si="130"/>
        <v>1.3422818791946239E-2</v>
      </c>
      <c r="H485" s="38">
        <v>33.299999999999997</v>
      </c>
      <c r="I485" s="38">
        <v>32.6</v>
      </c>
      <c r="J485" s="22">
        <f t="shared" si="131"/>
        <v>2.1244309559939171E-2</v>
      </c>
      <c r="K485" s="35">
        <v>1500</v>
      </c>
      <c r="L485" s="37">
        <f t="shared" si="132"/>
        <v>380860000</v>
      </c>
      <c r="M485">
        <f t="shared" si="133"/>
        <v>49500</v>
      </c>
      <c r="N485">
        <f t="shared" si="134"/>
        <v>179250000</v>
      </c>
      <c r="O485">
        <f t="shared" si="135"/>
        <v>8.3682008368200836E-6</v>
      </c>
      <c r="P485">
        <v>66547.789999999994</v>
      </c>
      <c r="Q485" s="8">
        <v>0.216</v>
      </c>
      <c r="R485">
        <f t="shared" si="136"/>
        <v>41194000000</v>
      </c>
      <c r="S485">
        <f t="shared" si="137"/>
        <v>16376000000</v>
      </c>
      <c r="T485" s="37">
        <f t="shared" si="138"/>
        <v>389680000</v>
      </c>
      <c r="U485" s="37">
        <f t="shared" si="139"/>
        <v>494580000</v>
      </c>
      <c r="V485" s="37">
        <f t="shared" si="140"/>
        <v>10107420000</v>
      </c>
      <c r="W485">
        <f t="shared" si="127"/>
        <v>2.478775484910445E-7</v>
      </c>
      <c r="X485">
        <f t="shared" si="141"/>
        <v>0.24536146040685536</v>
      </c>
    </row>
    <row r="486" spans="1:24">
      <c r="A486" s="33">
        <v>45377</v>
      </c>
      <c r="B486" s="38">
        <v>32.6</v>
      </c>
      <c r="C486" s="23">
        <f t="shared" si="128"/>
        <v>0</v>
      </c>
      <c r="D486" s="22">
        <f t="shared" si="129"/>
        <v>0.22304981335270066</v>
      </c>
      <c r="E486" s="38">
        <v>33.5</v>
      </c>
      <c r="F486" s="38">
        <v>32.6</v>
      </c>
      <c r="G486" s="22">
        <f t="shared" si="130"/>
        <v>2.7231467473524923E-2</v>
      </c>
      <c r="H486" s="38">
        <v>33.299999999999997</v>
      </c>
      <c r="I486" s="38">
        <v>32.6</v>
      </c>
      <c r="J486" s="22">
        <f t="shared" si="131"/>
        <v>2.1244309559939171E-2</v>
      </c>
      <c r="K486" s="35">
        <v>1500</v>
      </c>
      <c r="L486" s="37">
        <f t="shared" si="132"/>
        <v>380860000</v>
      </c>
      <c r="M486">
        <f t="shared" si="133"/>
        <v>48900</v>
      </c>
      <c r="N486">
        <f t="shared" si="134"/>
        <v>179250000</v>
      </c>
      <c r="O486">
        <f t="shared" si="135"/>
        <v>8.3682008368200836E-6</v>
      </c>
      <c r="P486">
        <v>65906.28</v>
      </c>
      <c r="Q486" s="8">
        <v>0.216</v>
      </c>
      <c r="R486">
        <f t="shared" si="136"/>
        <v>41194000000</v>
      </c>
      <c r="S486">
        <f t="shared" si="137"/>
        <v>16376000000</v>
      </c>
      <c r="T486" s="37">
        <f t="shared" si="138"/>
        <v>389680000</v>
      </c>
      <c r="U486" s="37">
        <f t="shared" si="139"/>
        <v>494580000</v>
      </c>
      <c r="V486" s="37">
        <f t="shared" si="140"/>
        <v>10107420000</v>
      </c>
      <c r="W486">
        <f t="shared" si="127"/>
        <v>0</v>
      </c>
      <c r="X486">
        <f t="shared" si="141"/>
        <v>0.24536146040685536</v>
      </c>
    </row>
    <row r="487" spans="1:24">
      <c r="A487" s="33">
        <v>45376</v>
      </c>
      <c r="B487" s="38"/>
      <c r="C487" s="23">
        <f t="shared" si="128"/>
        <v>0</v>
      </c>
      <c r="D487" s="22">
        <f t="shared" si="129"/>
        <v>0.22304981335270066</v>
      </c>
      <c r="E487" s="38"/>
      <c r="F487" s="38"/>
      <c r="G487" s="22">
        <f t="shared" si="130"/>
        <v>0</v>
      </c>
      <c r="H487" s="38">
        <v>33.479999999999997</v>
      </c>
      <c r="I487" s="38">
        <v>32.6</v>
      </c>
      <c r="J487" s="22">
        <f t="shared" si="131"/>
        <v>2.6634382566585818E-2</v>
      </c>
      <c r="K487" s="35"/>
      <c r="L487" s="37">
        <f t="shared" si="132"/>
        <v>380860000</v>
      </c>
      <c r="M487">
        <f t="shared" si="133"/>
        <v>0</v>
      </c>
      <c r="N487">
        <f t="shared" si="134"/>
        <v>179250000</v>
      </c>
      <c r="O487">
        <f t="shared" si="135"/>
        <v>0</v>
      </c>
      <c r="P487">
        <v>65525.65</v>
      </c>
      <c r="Q487" s="8">
        <v>0.216</v>
      </c>
      <c r="R487">
        <f t="shared" si="136"/>
        <v>41194000000</v>
      </c>
      <c r="S487">
        <f t="shared" si="137"/>
        <v>16376000000</v>
      </c>
      <c r="T487" s="37">
        <f t="shared" si="138"/>
        <v>389680000</v>
      </c>
      <c r="U487" s="37">
        <f t="shared" si="139"/>
        <v>494580000</v>
      </c>
      <c r="V487" s="37">
        <f t="shared" si="140"/>
        <v>10107420000</v>
      </c>
      <c r="W487">
        <f t="shared" si="127"/>
        <v>0</v>
      </c>
      <c r="X487">
        <f t="shared" si="141"/>
        <v>0.24536146040685536</v>
      </c>
    </row>
    <row r="489" spans="1:24" ht="15" thickBot="1"/>
    <row r="490" spans="1:24" ht="16" thickBot="1">
      <c r="A490" s="184" t="s">
        <v>48</v>
      </c>
      <c r="B490" s="185"/>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6"/>
    </row>
    <row r="491" spans="1:24" ht="43.5">
      <c r="A491" s="6" t="s">
        <v>14</v>
      </c>
      <c r="B491" s="5" t="s">
        <v>15</v>
      </c>
      <c r="C491" s="7" t="s">
        <v>16</v>
      </c>
      <c r="D491" s="7" t="s">
        <v>17</v>
      </c>
      <c r="E491" s="6" t="s">
        <v>0</v>
      </c>
      <c r="F491" s="6" t="s">
        <v>13</v>
      </c>
      <c r="G491" s="7" t="s">
        <v>18</v>
      </c>
      <c r="H491" s="5" t="s">
        <v>12</v>
      </c>
      <c r="I491" s="6" t="s">
        <v>1</v>
      </c>
      <c r="J491" s="7" t="s">
        <v>19</v>
      </c>
      <c r="K491" s="5" t="s">
        <v>2</v>
      </c>
      <c r="L491" s="5" t="s">
        <v>3</v>
      </c>
      <c r="M491" s="7" t="s">
        <v>20</v>
      </c>
      <c r="N491" s="5" t="s">
        <v>22</v>
      </c>
      <c r="O491" s="7" t="s">
        <v>21</v>
      </c>
      <c r="P491" s="5" t="s">
        <v>5</v>
      </c>
      <c r="Q491" s="5" t="s">
        <v>6</v>
      </c>
      <c r="R491" s="5" t="s">
        <v>7</v>
      </c>
      <c r="S491" s="5" t="s">
        <v>8</v>
      </c>
      <c r="T491" s="5" t="s">
        <v>9</v>
      </c>
      <c r="U491" s="5" t="s">
        <v>10</v>
      </c>
      <c r="V491" s="5" t="s">
        <v>11</v>
      </c>
      <c r="W491" s="7" t="s">
        <v>73</v>
      </c>
      <c r="X491" s="7" t="s">
        <v>72</v>
      </c>
    </row>
    <row r="492" spans="1:24">
      <c r="A492" s="33">
        <v>45436</v>
      </c>
      <c r="B492" s="38">
        <v>3.89</v>
      </c>
      <c r="C492" s="23">
        <f>IFERROR((B492-B493)/B493,0)</f>
        <v>-4.6568627450980379E-2</v>
      </c>
      <c r="D492" s="22">
        <f>_xlfn.STDEV.S($C$492:$C$531)</f>
        <v>6.9177541721040597E-2</v>
      </c>
      <c r="E492" s="38">
        <v>4.0999999999999996</v>
      </c>
      <c r="F492" s="38">
        <v>3.83</v>
      </c>
      <c r="G492" s="22">
        <f>IFERROR((E492-F492)/((E492+F492)/2),0)</f>
        <v>6.809583858764176E-2</v>
      </c>
      <c r="H492" s="38">
        <v>3.9</v>
      </c>
      <c r="I492" s="38">
        <v>3.89</v>
      </c>
      <c r="J492" s="22">
        <f>IFERROR((H492-I492)/((H492+I492)/2),0)</f>
        <v>2.5673940949935267E-3</v>
      </c>
      <c r="K492" s="35">
        <v>6428000</v>
      </c>
      <c r="L492" s="37">
        <f>278.88*1000000</f>
        <v>278880000</v>
      </c>
      <c r="M492">
        <f>B492*K492</f>
        <v>25004920</v>
      </c>
      <c r="N492">
        <f>243.27*1000000</f>
        <v>243270000</v>
      </c>
      <c r="O492">
        <f>K492/N492</f>
        <v>2.6423315657499898E-2</v>
      </c>
      <c r="P492">
        <v>75983.039999999994</v>
      </c>
      <c r="Q492" s="8">
        <v>0.2157</v>
      </c>
      <c r="R492" s="37">
        <f>7584.39*1000000</f>
        <v>7584390000</v>
      </c>
      <c r="S492" s="37">
        <f>8524.88*1000000</f>
        <v>8524879999.999999</v>
      </c>
      <c r="T492" s="37">
        <f>530.29*1000000</f>
        <v>530289999.99999994</v>
      </c>
      <c r="U492" s="37">
        <f>44.51*1000000</f>
        <v>44510000</v>
      </c>
      <c r="V492" s="37">
        <f>5899.74*1000000</f>
        <v>5899740000</v>
      </c>
      <c r="W492">
        <f t="shared" ref="W492:W531" si="142">IFERROR(ABS(C492)/M492,0)</f>
        <v>1.8623785819342905E-9</v>
      </c>
      <c r="X492">
        <f>V492/R492</f>
        <v>0.77787930209285128</v>
      </c>
    </row>
    <row r="493" spans="1:24">
      <c r="A493" s="33">
        <v>45435</v>
      </c>
      <c r="B493" s="38">
        <v>4.08</v>
      </c>
      <c r="C493" s="23">
        <f t="shared" ref="C493:C531" si="143">IFERROR((B493-B494)/B494,0)</f>
        <v>-5.5555555555555601E-2</v>
      </c>
      <c r="D493" s="22">
        <f t="shared" ref="D493:D531" si="144">_xlfn.STDEV.S($C$492:$C$531)</f>
        <v>6.9177541721040597E-2</v>
      </c>
      <c r="E493" s="38">
        <v>4.49</v>
      </c>
      <c r="F493" s="38">
        <v>4.01</v>
      </c>
      <c r="G493" s="22">
        <f t="shared" ref="G493:G531" si="145">IFERROR((E493-F493)/((E493+F493)/2),0)</f>
        <v>0.11294117647058834</v>
      </c>
      <c r="H493" s="38">
        <v>4.0999999999999996</v>
      </c>
      <c r="I493" s="38">
        <v>4.09</v>
      </c>
      <c r="J493" s="22">
        <f t="shared" ref="J493:J531" si="146">IFERROR((H493-I493)/((H493+I493)/2),0)</f>
        <v>2.44200244200239E-3</v>
      </c>
      <c r="K493" s="35">
        <v>30419000</v>
      </c>
      <c r="L493" s="37">
        <f t="shared" ref="L493:L531" si="147">278.88*1000000</f>
        <v>278880000</v>
      </c>
      <c r="M493">
        <f t="shared" ref="M493:M531" si="148">B493*K493</f>
        <v>124109520</v>
      </c>
      <c r="N493">
        <f t="shared" ref="N493:N531" si="149">243.27*1000000</f>
        <v>243270000</v>
      </c>
      <c r="O493">
        <f t="shared" ref="O493:O531" si="150">K493/N493</f>
        <v>0.12504213425412095</v>
      </c>
      <c r="P493">
        <v>75114.47</v>
      </c>
      <c r="Q493" s="8">
        <v>0.2157</v>
      </c>
      <c r="R493" s="37">
        <f t="shared" ref="R493:R531" si="151">7584.39*1000000</f>
        <v>7584390000</v>
      </c>
      <c r="S493" s="37">
        <f t="shared" ref="S493:S531" si="152">8524.88*1000000</f>
        <v>8524879999.999999</v>
      </c>
      <c r="T493" s="37">
        <f t="shared" ref="T493:T531" si="153">530.29*1000000</f>
        <v>530289999.99999994</v>
      </c>
      <c r="U493" s="37">
        <f t="shared" ref="U493:U531" si="154">44.51*1000000</f>
        <v>44510000</v>
      </c>
      <c r="V493" s="37">
        <f t="shared" ref="V493:V531" si="155">5899.74*1000000</f>
        <v>5899740000</v>
      </c>
      <c r="W493">
        <f t="shared" si="142"/>
        <v>4.4763331254166158E-10</v>
      </c>
      <c r="X493">
        <f t="shared" ref="X493:X531" si="156">V493/R493</f>
        <v>0.77787930209285128</v>
      </c>
    </row>
    <row r="494" spans="1:24">
      <c r="A494" s="33">
        <v>45434</v>
      </c>
      <c r="B494" s="38">
        <v>4.32</v>
      </c>
      <c r="C494" s="23">
        <f t="shared" si="143"/>
        <v>0.30120481927710857</v>
      </c>
      <c r="D494" s="22">
        <f t="shared" si="144"/>
        <v>6.9177541721040597E-2</v>
      </c>
      <c r="E494" s="38">
        <v>4.32</v>
      </c>
      <c r="F494" s="38">
        <v>3.38</v>
      </c>
      <c r="G494" s="22">
        <f t="shared" si="145"/>
        <v>0.24415584415584426</v>
      </c>
      <c r="H494" s="38"/>
      <c r="I494" s="38">
        <v>4.32</v>
      </c>
      <c r="J494" s="22">
        <f t="shared" si="146"/>
        <v>-2</v>
      </c>
      <c r="K494" s="35">
        <v>46645000</v>
      </c>
      <c r="L494" s="37">
        <f t="shared" si="147"/>
        <v>278880000</v>
      </c>
      <c r="M494">
        <f t="shared" si="148"/>
        <v>201506400</v>
      </c>
      <c r="N494">
        <f t="shared" si="149"/>
        <v>243270000</v>
      </c>
      <c r="O494">
        <f t="shared" si="150"/>
        <v>0.19174168619229662</v>
      </c>
      <c r="P494">
        <v>74956.67</v>
      </c>
      <c r="Q494" s="8">
        <v>0.2157</v>
      </c>
      <c r="R494" s="37">
        <f t="shared" si="151"/>
        <v>7584390000</v>
      </c>
      <c r="S494" s="37">
        <f t="shared" si="152"/>
        <v>8524879999.999999</v>
      </c>
      <c r="T494" s="37">
        <f t="shared" si="153"/>
        <v>530289999.99999994</v>
      </c>
      <c r="U494" s="37">
        <f t="shared" si="154"/>
        <v>44510000</v>
      </c>
      <c r="V494" s="37">
        <f t="shared" si="155"/>
        <v>5899740000</v>
      </c>
      <c r="W494">
        <f t="shared" si="142"/>
        <v>1.4947655224702966E-9</v>
      </c>
      <c r="X494">
        <f t="shared" si="156"/>
        <v>0.77787930209285128</v>
      </c>
    </row>
    <row r="495" spans="1:24">
      <c r="A495" s="33">
        <v>45433</v>
      </c>
      <c r="B495" s="38">
        <v>3.32</v>
      </c>
      <c r="C495" s="23">
        <f t="shared" si="143"/>
        <v>5.0632911392404965E-2</v>
      </c>
      <c r="D495" s="22">
        <f t="shared" si="144"/>
        <v>6.9177541721040597E-2</v>
      </c>
      <c r="E495" s="38">
        <v>3.37</v>
      </c>
      <c r="F495" s="38">
        <v>3.16</v>
      </c>
      <c r="G495" s="22">
        <f t="shared" si="145"/>
        <v>6.4318529862174567E-2</v>
      </c>
      <c r="H495" s="38">
        <v>3.35</v>
      </c>
      <c r="I495" s="38">
        <v>3.33</v>
      </c>
      <c r="J495" s="22">
        <f t="shared" si="146"/>
        <v>5.988023952095814E-3</v>
      </c>
      <c r="K495" s="35">
        <v>7833500</v>
      </c>
      <c r="L495" s="37">
        <f t="shared" si="147"/>
        <v>278880000</v>
      </c>
      <c r="M495">
        <f t="shared" si="148"/>
        <v>26007220</v>
      </c>
      <c r="N495">
        <f t="shared" si="149"/>
        <v>243270000</v>
      </c>
      <c r="O495">
        <f t="shared" si="150"/>
        <v>3.220084679574136E-2</v>
      </c>
      <c r="P495">
        <v>75206.77</v>
      </c>
      <c r="Q495" s="8">
        <v>0.2157</v>
      </c>
      <c r="R495" s="37">
        <f t="shared" si="151"/>
        <v>7584390000</v>
      </c>
      <c r="S495" s="37">
        <f t="shared" si="152"/>
        <v>8524879999.999999</v>
      </c>
      <c r="T495" s="37">
        <f t="shared" si="153"/>
        <v>530289999.99999994</v>
      </c>
      <c r="U495" s="37">
        <f t="shared" si="154"/>
        <v>44510000</v>
      </c>
      <c r="V495" s="37">
        <f t="shared" si="155"/>
        <v>5899740000</v>
      </c>
      <c r="W495">
        <f t="shared" si="142"/>
        <v>1.9468790356064571E-9</v>
      </c>
      <c r="X495">
        <f t="shared" si="156"/>
        <v>0.77787930209285128</v>
      </c>
    </row>
    <row r="496" spans="1:24">
      <c r="A496" s="33">
        <v>45432</v>
      </c>
      <c r="B496" s="38">
        <v>3.16</v>
      </c>
      <c r="C496" s="23">
        <f t="shared" si="143"/>
        <v>-3.1545741324920462E-3</v>
      </c>
      <c r="D496" s="22">
        <f t="shared" si="144"/>
        <v>6.9177541721040597E-2</v>
      </c>
      <c r="E496" s="38">
        <v>3.27</v>
      </c>
      <c r="F496" s="38">
        <v>3.14</v>
      </c>
      <c r="G496" s="22">
        <f t="shared" si="145"/>
        <v>4.0561622464898563E-2</v>
      </c>
      <c r="H496" s="38">
        <v>3.22</v>
      </c>
      <c r="I496" s="38">
        <v>3.2</v>
      </c>
      <c r="J496" s="22">
        <f t="shared" si="146"/>
        <v>6.2305295950155822E-3</v>
      </c>
      <c r="K496" s="35">
        <v>1004500</v>
      </c>
      <c r="L496" s="37">
        <f t="shared" si="147"/>
        <v>278880000</v>
      </c>
      <c r="M496">
        <f t="shared" si="148"/>
        <v>3174220</v>
      </c>
      <c r="N496">
        <f t="shared" si="149"/>
        <v>243270000</v>
      </c>
      <c r="O496">
        <f t="shared" si="150"/>
        <v>4.1291569038516872E-3</v>
      </c>
      <c r="P496">
        <v>75084</v>
      </c>
      <c r="Q496" s="8">
        <v>0.2157</v>
      </c>
      <c r="R496" s="37">
        <f t="shared" si="151"/>
        <v>7584390000</v>
      </c>
      <c r="S496" s="37">
        <f t="shared" si="152"/>
        <v>8524879999.999999</v>
      </c>
      <c r="T496" s="37">
        <f t="shared" si="153"/>
        <v>530289999.99999994</v>
      </c>
      <c r="U496" s="37">
        <f t="shared" si="154"/>
        <v>44510000</v>
      </c>
      <c r="V496" s="37">
        <f t="shared" si="155"/>
        <v>5899740000</v>
      </c>
      <c r="W496">
        <f t="shared" si="142"/>
        <v>9.9381080469912181E-10</v>
      </c>
      <c r="X496">
        <f t="shared" si="156"/>
        <v>0.77787930209285128</v>
      </c>
    </row>
    <row r="497" spans="1:24">
      <c r="A497" s="33">
        <v>45429</v>
      </c>
      <c r="B497" s="38">
        <v>3.17</v>
      </c>
      <c r="C497" s="23">
        <f t="shared" si="143"/>
        <v>-6.269592476489034E-3</v>
      </c>
      <c r="D497" s="22">
        <f t="shared" si="144"/>
        <v>6.9177541721040597E-2</v>
      </c>
      <c r="E497" s="38">
        <v>3.25</v>
      </c>
      <c r="F497" s="38">
        <v>3.12</v>
      </c>
      <c r="G497" s="22">
        <f t="shared" si="145"/>
        <v>4.0816326530612214E-2</v>
      </c>
      <c r="H497" s="38">
        <v>3.22</v>
      </c>
      <c r="I497" s="38">
        <v>3.17</v>
      </c>
      <c r="J497" s="22">
        <f t="shared" si="146"/>
        <v>1.5649452269170663E-2</v>
      </c>
      <c r="K497" s="35">
        <v>2170000</v>
      </c>
      <c r="L497" s="37">
        <f t="shared" si="147"/>
        <v>278880000</v>
      </c>
      <c r="M497">
        <f t="shared" si="148"/>
        <v>6878900</v>
      </c>
      <c r="N497">
        <f t="shared" si="149"/>
        <v>243270000</v>
      </c>
      <c r="O497">
        <f t="shared" si="150"/>
        <v>8.9201298968224606E-3</v>
      </c>
      <c r="P497">
        <v>75342.350000000006</v>
      </c>
      <c r="Q497" s="8">
        <v>0.2157</v>
      </c>
      <c r="R497" s="37">
        <f t="shared" si="151"/>
        <v>7584390000</v>
      </c>
      <c r="S497" s="37">
        <f t="shared" si="152"/>
        <v>8524879999.999999</v>
      </c>
      <c r="T497" s="37">
        <f t="shared" si="153"/>
        <v>530289999.99999994</v>
      </c>
      <c r="U497" s="37">
        <f t="shared" si="154"/>
        <v>44510000</v>
      </c>
      <c r="V497" s="37">
        <f t="shared" si="155"/>
        <v>5899740000</v>
      </c>
      <c r="W497">
        <f t="shared" si="142"/>
        <v>9.1142369804605886E-10</v>
      </c>
      <c r="X497">
        <f t="shared" si="156"/>
        <v>0.77787930209285128</v>
      </c>
    </row>
    <row r="498" spans="1:24">
      <c r="A498" s="33">
        <v>45428</v>
      </c>
      <c r="B498" s="38">
        <v>3.19</v>
      </c>
      <c r="C498" s="23">
        <f t="shared" si="143"/>
        <v>-1.2383900928792581E-2</v>
      </c>
      <c r="D498" s="22">
        <f t="shared" si="144"/>
        <v>6.9177541721040597E-2</v>
      </c>
      <c r="E498" s="38">
        <v>3.22</v>
      </c>
      <c r="F498" s="38">
        <v>3.16</v>
      </c>
      <c r="G498" s="22">
        <f t="shared" si="145"/>
        <v>1.88087774294671E-2</v>
      </c>
      <c r="H498" s="38">
        <v>3.22</v>
      </c>
      <c r="I498" s="38">
        <v>3.18</v>
      </c>
      <c r="J498" s="22">
        <f t="shared" si="146"/>
        <v>1.2500000000000011E-2</v>
      </c>
      <c r="K498" s="35">
        <v>702500</v>
      </c>
      <c r="L498" s="37">
        <f t="shared" si="147"/>
        <v>278880000</v>
      </c>
      <c r="M498">
        <f t="shared" si="148"/>
        <v>2240975</v>
      </c>
      <c r="N498">
        <f t="shared" si="149"/>
        <v>243270000</v>
      </c>
      <c r="O498">
        <f t="shared" si="150"/>
        <v>2.887737904386073E-3</v>
      </c>
      <c r="P498">
        <v>74930.7</v>
      </c>
      <c r="Q498" s="8">
        <v>0.2157</v>
      </c>
      <c r="R498" s="37">
        <f t="shared" si="151"/>
        <v>7584390000</v>
      </c>
      <c r="S498" s="37">
        <f t="shared" si="152"/>
        <v>8524879999.999999</v>
      </c>
      <c r="T498" s="37">
        <f t="shared" si="153"/>
        <v>530289999.99999994</v>
      </c>
      <c r="U498" s="37">
        <f t="shared" si="154"/>
        <v>44510000</v>
      </c>
      <c r="V498" s="37">
        <f t="shared" si="155"/>
        <v>5899740000</v>
      </c>
      <c r="W498">
        <f t="shared" si="142"/>
        <v>5.5261218571347654E-9</v>
      </c>
      <c r="X498">
        <f t="shared" si="156"/>
        <v>0.77787930209285128</v>
      </c>
    </row>
    <row r="499" spans="1:24">
      <c r="A499" s="33">
        <v>45427</v>
      </c>
      <c r="B499" s="38">
        <v>3.23</v>
      </c>
      <c r="C499" s="23">
        <f t="shared" si="143"/>
        <v>3.1055900621117347E-3</v>
      </c>
      <c r="D499" s="22">
        <f t="shared" si="144"/>
        <v>6.9177541721040597E-2</v>
      </c>
      <c r="E499" s="38">
        <v>3.37</v>
      </c>
      <c r="F499" s="38">
        <v>3.2</v>
      </c>
      <c r="G499" s="22">
        <f t="shared" si="145"/>
        <v>5.1750380517503781E-2</v>
      </c>
      <c r="H499" s="38">
        <v>3.23</v>
      </c>
      <c r="I499" s="38">
        <v>3.22</v>
      </c>
      <c r="J499" s="22">
        <f t="shared" si="146"/>
        <v>3.1007751937983832E-3</v>
      </c>
      <c r="K499" s="35">
        <v>2305000</v>
      </c>
      <c r="L499" s="37">
        <f t="shared" si="147"/>
        <v>278880000</v>
      </c>
      <c r="M499">
        <f t="shared" si="148"/>
        <v>7445150</v>
      </c>
      <c r="N499">
        <f t="shared" si="149"/>
        <v>243270000</v>
      </c>
      <c r="O499">
        <f t="shared" si="150"/>
        <v>9.4750688535372215E-3</v>
      </c>
      <c r="P499">
        <v>74663.98</v>
      </c>
      <c r="Q499" s="8">
        <v>0.2157</v>
      </c>
      <c r="R499" s="37">
        <f t="shared" si="151"/>
        <v>7584390000</v>
      </c>
      <c r="S499" s="37">
        <f t="shared" si="152"/>
        <v>8524879999.999999</v>
      </c>
      <c r="T499" s="37">
        <f t="shared" si="153"/>
        <v>530289999.99999994</v>
      </c>
      <c r="U499" s="37">
        <f t="shared" si="154"/>
        <v>44510000</v>
      </c>
      <c r="V499" s="37">
        <f t="shared" si="155"/>
        <v>5899740000</v>
      </c>
      <c r="W499">
        <f t="shared" si="142"/>
        <v>4.1712928041902911E-10</v>
      </c>
      <c r="X499">
        <f t="shared" si="156"/>
        <v>0.77787930209285128</v>
      </c>
    </row>
    <row r="500" spans="1:24">
      <c r="A500" s="33">
        <v>45426</v>
      </c>
      <c r="B500" s="38">
        <v>3.22</v>
      </c>
      <c r="C500" s="23">
        <f t="shared" si="143"/>
        <v>3.1152647975078601E-3</v>
      </c>
      <c r="D500" s="22">
        <f t="shared" si="144"/>
        <v>6.9177541721040597E-2</v>
      </c>
      <c r="E500" s="38">
        <v>3.28</v>
      </c>
      <c r="F500" s="38">
        <v>3.21</v>
      </c>
      <c r="G500" s="22">
        <f t="shared" si="145"/>
        <v>2.1571648690292707E-2</v>
      </c>
      <c r="H500" s="38">
        <v>3.24</v>
      </c>
      <c r="I500" s="38">
        <v>3.22</v>
      </c>
      <c r="J500" s="22">
        <f t="shared" si="146"/>
        <v>6.1919504643962895E-3</v>
      </c>
      <c r="K500" s="35">
        <v>1029000</v>
      </c>
      <c r="L500" s="37">
        <f t="shared" si="147"/>
        <v>278880000</v>
      </c>
      <c r="M500">
        <f t="shared" si="148"/>
        <v>3313380</v>
      </c>
      <c r="N500">
        <f t="shared" si="149"/>
        <v>243270000</v>
      </c>
      <c r="O500">
        <f t="shared" si="150"/>
        <v>4.2298680478480705E-3</v>
      </c>
      <c r="P500">
        <v>74531.19</v>
      </c>
      <c r="Q500" s="8">
        <v>0.21590000000000001</v>
      </c>
      <c r="R500" s="37">
        <f t="shared" si="151"/>
        <v>7584390000</v>
      </c>
      <c r="S500" s="37">
        <f t="shared" si="152"/>
        <v>8524879999.999999</v>
      </c>
      <c r="T500" s="37">
        <f t="shared" si="153"/>
        <v>530289999.99999994</v>
      </c>
      <c r="U500" s="37">
        <f t="shared" si="154"/>
        <v>44510000</v>
      </c>
      <c r="V500" s="37">
        <f t="shared" si="155"/>
        <v>5899740000</v>
      </c>
      <c r="W500">
        <f t="shared" si="142"/>
        <v>9.4020752147591285E-10</v>
      </c>
      <c r="X500">
        <f t="shared" si="156"/>
        <v>0.77787930209285128</v>
      </c>
    </row>
    <row r="501" spans="1:24">
      <c r="A501" s="33">
        <v>45425</v>
      </c>
      <c r="B501" s="38">
        <v>3.21</v>
      </c>
      <c r="C501" s="23">
        <f t="shared" si="143"/>
        <v>-9.2592592592593351E-3</v>
      </c>
      <c r="D501" s="22">
        <f t="shared" si="144"/>
        <v>6.9177541721040597E-2</v>
      </c>
      <c r="E501" s="38">
        <v>3.3</v>
      </c>
      <c r="F501" s="38">
        <v>3.15</v>
      </c>
      <c r="G501" s="22">
        <f t="shared" si="145"/>
        <v>4.6511627906976723E-2</v>
      </c>
      <c r="H501" s="38">
        <v>3.23</v>
      </c>
      <c r="I501" s="38">
        <v>3.2</v>
      </c>
      <c r="J501" s="22">
        <f t="shared" si="146"/>
        <v>9.3312597200621485E-3</v>
      </c>
      <c r="K501" s="35">
        <v>1581000</v>
      </c>
      <c r="L501" s="37">
        <f t="shared" si="147"/>
        <v>278880000</v>
      </c>
      <c r="M501">
        <f t="shared" si="148"/>
        <v>5075010</v>
      </c>
      <c r="N501">
        <f t="shared" si="149"/>
        <v>243270000</v>
      </c>
      <c r="O501">
        <f t="shared" si="150"/>
        <v>6.4989517819706499E-3</v>
      </c>
      <c r="P501">
        <v>73799.11</v>
      </c>
      <c r="Q501" s="8">
        <v>0.21590000000000001</v>
      </c>
      <c r="R501" s="37">
        <f t="shared" si="151"/>
        <v>7584390000</v>
      </c>
      <c r="S501" s="37">
        <f t="shared" si="152"/>
        <v>8524879999.999999</v>
      </c>
      <c r="T501" s="37">
        <f t="shared" si="153"/>
        <v>530289999.99999994</v>
      </c>
      <c r="U501" s="37">
        <f t="shared" si="154"/>
        <v>44510000</v>
      </c>
      <c r="V501" s="37">
        <f t="shared" si="155"/>
        <v>5899740000</v>
      </c>
      <c r="W501">
        <f t="shared" si="142"/>
        <v>1.8244809880688581E-9</v>
      </c>
      <c r="X501">
        <f t="shared" si="156"/>
        <v>0.77787930209285128</v>
      </c>
    </row>
    <row r="502" spans="1:24">
      <c r="A502" s="33">
        <v>45422</v>
      </c>
      <c r="B502" s="38">
        <v>3.24</v>
      </c>
      <c r="C502" s="23">
        <f t="shared" si="143"/>
        <v>-1.2195121951219388E-2</v>
      </c>
      <c r="D502" s="22">
        <f t="shared" si="144"/>
        <v>6.9177541721040597E-2</v>
      </c>
      <c r="E502" s="38">
        <v>3.39</v>
      </c>
      <c r="F502" s="38">
        <v>3.23</v>
      </c>
      <c r="G502" s="22">
        <f t="shared" si="145"/>
        <v>4.8338368580060465E-2</v>
      </c>
      <c r="H502" s="38">
        <v>3.25</v>
      </c>
      <c r="I502" s="38">
        <v>3.23</v>
      </c>
      <c r="J502" s="22">
        <f t="shared" si="146"/>
        <v>6.1728395061728444E-3</v>
      </c>
      <c r="K502" s="35">
        <v>1537500</v>
      </c>
      <c r="L502" s="37">
        <f t="shared" si="147"/>
        <v>278880000</v>
      </c>
      <c r="M502">
        <f t="shared" si="148"/>
        <v>4981500</v>
      </c>
      <c r="N502">
        <f t="shared" si="149"/>
        <v>243270000</v>
      </c>
      <c r="O502">
        <f t="shared" si="150"/>
        <v>6.3201381181403381E-3</v>
      </c>
      <c r="P502">
        <v>73085.5</v>
      </c>
      <c r="Q502" s="8">
        <v>0.21590000000000001</v>
      </c>
      <c r="R502" s="37">
        <f t="shared" si="151"/>
        <v>7584390000</v>
      </c>
      <c r="S502" s="37">
        <f t="shared" si="152"/>
        <v>8524879999.999999</v>
      </c>
      <c r="T502" s="37">
        <f t="shared" si="153"/>
        <v>530289999.99999994</v>
      </c>
      <c r="U502" s="37">
        <f t="shared" si="154"/>
        <v>44510000</v>
      </c>
      <c r="V502" s="37">
        <f t="shared" si="155"/>
        <v>5899740000</v>
      </c>
      <c r="W502">
        <f t="shared" si="142"/>
        <v>2.4480822947343949E-9</v>
      </c>
      <c r="X502">
        <f t="shared" si="156"/>
        <v>0.77787930209285128</v>
      </c>
    </row>
    <row r="503" spans="1:24">
      <c r="A503" s="33">
        <v>45421</v>
      </c>
      <c r="B503" s="38">
        <v>3.28</v>
      </c>
      <c r="C503" s="23">
        <f t="shared" si="143"/>
        <v>-3.0395136778116204E-3</v>
      </c>
      <c r="D503" s="22">
        <f t="shared" si="144"/>
        <v>6.9177541721040597E-2</v>
      </c>
      <c r="E503" s="38">
        <v>3.47</v>
      </c>
      <c r="F503" s="38">
        <v>3.26</v>
      </c>
      <c r="G503" s="22">
        <f t="shared" si="145"/>
        <v>6.2407132243685111E-2</v>
      </c>
      <c r="H503" s="38">
        <v>3.32</v>
      </c>
      <c r="I503" s="38">
        <v>3.3</v>
      </c>
      <c r="J503" s="22">
        <f t="shared" si="146"/>
        <v>6.0422960725075589E-3</v>
      </c>
      <c r="K503" s="35">
        <v>5943000</v>
      </c>
      <c r="L503" s="37">
        <f t="shared" si="147"/>
        <v>278880000</v>
      </c>
      <c r="M503">
        <f t="shared" si="148"/>
        <v>19493040</v>
      </c>
      <c r="N503">
        <f t="shared" si="149"/>
        <v>243270000</v>
      </c>
      <c r="O503">
        <f t="shared" si="150"/>
        <v>2.4429646072265384E-2</v>
      </c>
      <c r="P503">
        <v>72658.05</v>
      </c>
      <c r="Q503" s="8">
        <v>0.21590000000000001</v>
      </c>
      <c r="R503" s="37">
        <f t="shared" si="151"/>
        <v>7584390000</v>
      </c>
      <c r="S503" s="37">
        <f t="shared" si="152"/>
        <v>8524879999.999999</v>
      </c>
      <c r="T503" s="37">
        <f t="shared" si="153"/>
        <v>530289999.99999994</v>
      </c>
      <c r="U503" s="37">
        <f t="shared" si="154"/>
        <v>44510000</v>
      </c>
      <c r="V503" s="37">
        <f t="shared" si="155"/>
        <v>5899740000</v>
      </c>
      <c r="W503">
        <f t="shared" si="142"/>
        <v>1.5592815065334194E-10</v>
      </c>
      <c r="X503">
        <f t="shared" si="156"/>
        <v>0.77787930209285128</v>
      </c>
    </row>
    <row r="504" spans="1:24">
      <c r="A504" s="33">
        <v>45420</v>
      </c>
      <c r="B504" s="38">
        <v>3.29</v>
      </c>
      <c r="C504" s="23">
        <f t="shared" si="143"/>
        <v>7.166123778501636E-2</v>
      </c>
      <c r="D504" s="22">
        <f t="shared" si="144"/>
        <v>6.9177541721040597E-2</v>
      </c>
      <c r="E504" s="38">
        <v>3.38</v>
      </c>
      <c r="F504" s="38">
        <v>3</v>
      </c>
      <c r="G504" s="22">
        <f t="shared" si="145"/>
        <v>0.11912225705329151</v>
      </c>
      <c r="H504" s="38">
        <v>3.29</v>
      </c>
      <c r="I504" s="38">
        <v>3.28</v>
      </c>
      <c r="J504" s="22">
        <f t="shared" si="146"/>
        <v>3.0441400304414704E-3</v>
      </c>
      <c r="K504" s="35">
        <v>5485500</v>
      </c>
      <c r="L504" s="37">
        <f t="shared" si="147"/>
        <v>278880000</v>
      </c>
      <c r="M504">
        <f t="shared" si="148"/>
        <v>18047295</v>
      </c>
      <c r="N504">
        <f t="shared" si="149"/>
        <v>243270000</v>
      </c>
      <c r="O504">
        <f t="shared" si="150"/>
        <v>2.2549019607843137E-2</v>
      </c>
      <c r="P504">
        <v>72601.820000000007</v>
      </c>
      <c r="Q504" s="8">
        <v>0.21590000000000001</v>
      </c>
      <c r="R504" s="37">
        <f t="shared" si="151"/>
        <v>7584390000</v>
      </c>
      <c r="S504" s="37">
        <f t="shared" si="152"/>
        <v>8524879999.999999</v>
      </c>
      <c r="T504" s="37">
        <f t="shared" si="153"/>
        <v>530289999.99999994</v>
      </c>
      <c r="U504" s="37">
        <f t="shared" si="154"/>
        <v>44510000</v>
      </c>
      <c r="V504" s="37">
        <f t="shared" si="155"/>
        <v>5899740000</v>
      </c>
      <c r="W504">
        <f t="shared" si="142"/>
        <v>3.9707467398863025E-9</v>
      </c>
      <c r="X504">
        <f t="shared" si="156"/>
        <v>0.77787930209285128</v>
      </c>
    </row>
    <row r="505" spans="1:24">
      <c r="A505" s="33">
        <v>45419</v>
      </c>
      <c r="B505" s="38">
        <v>3.07</v>
      </c>
      <c r="C505" s="23">
        <f t="shared" si="143"/>
        <v>-4.6583850931677127E-2</v>
      </c>
      <c r="D505" s="22">
        <f t="shared" si="144"/>
        <v>6.9177541721040597E-2</v>
      </c>
      <c r="E505" s="38">
        <v>3.25</v>
      </c>
      <c r="F505" s="38">
        <v>3.01</v>
      </c>
      <c r="G505" s="22">
        <f t="shared" si="145"/>
        <v>7.6677316293929779E-2</v>
      </c>
      <c r="H505" s="38">
        <v>3.1</v>
      </c>
      <c r="I505" s="38">
        <v>3.06</v>
      </c>
      <c r="J505" s="22">
        <f t="shared" si="146"/>
        <v>1.2987012987012998E-2</v>
      </c>
      <c r="K505" s="35">
        <v>2205500</v>
      </c>
      <c r="L505" s="37">
        <f t="shared" si="147"/>
        <v>278880000</v>
      </c>
      <c r="M505">
        <f t="shared" si="148"/>
        <v>6770885</v>
      </c>
      <c r="N505">
        <f t="shared" si="149"/>
        <v>243270000</v>
      </c>
      <c r="O505">
        <f t="shared" si="150"/>
        <v>9.066058289143749E-3</v>
      </c>
      <c r="P505">
        <v>72761.2</v>
      </c>
      <c r="Q505" s="8">
        <v>0.21590000000000001</v>
      </c>
      <c r="R505" s="37">
        <f t="shared" si="151"/>
        <v>7584390000</v>
      </c>
      <c r="S505" s="37">
        <f t="shared" si="152"/>
        <v>8524879999.999999</v>
      </c>
      <c r="T505" s="37">
        <f t="shared" si="153"/>
        <v>530289999.99999994</v>
      </c>
      <c r="U505" s="37">
        <f t="shared" si="154"/>
        <v>44510000</v>
      </c>
      <c r="V505" s="37">
        <f t="shared" si="155"/>
        <v>5899740000</v>
      </c>
      <c r="W505">
        <f t="shared" si="142"/>
        <v>6.8800239454188227E-9</v>
      </c>
      <c r="X505">
        <f t="shared" si="156"/>
        <v>0.77787930209285128</v>
      </c>
    </row>
    <row r="506" spans="1:24">
      <c r="A506" s="33">
        <v>45418</v>
      </c>
      <c r="B506" s="38">
        <v>3.22</v>
      </c>
      <c r="C506" s="23">
        <f t="shared" si="143"/>
        <v>-1.2269938650306624E-2</v>
      </c>
      <c r="D506" s="22">
        <f t="shared" si="144"/>
        <v>6.9177541721040597E-2</v>
      </c>
      <c r="E506" s="38">
        <v>3.38</v>
      </c>
      <c r="F506" s="38">
        <v>3.2</v>
      </c>
      <c r="G506" s="22">
        <f t="shared" si="145"/>
        <v>5.4711246200607813E-2</v>
      </c>
      <c r="H506" s="38">
        <v>3.27</v>
      </c>
      <c r="I506" s="38">
        <v>3.22</v>
      </c>
      <c r="J506" s="22">
        <f t="shared" si="146"/>
        <v>1.54083204930662E-2</v>
      </c>
      <c r="K506" s="35">
        <v>4246500</v>
      </c>
      <c r="L506" s="37">
        <f t="shared" si="147"/>
        <v>278880000</v>
      </c>
      <c r="M506">
        <f t="shared" si="148"/>
        <v>13673730</v>
      </c>
      <c r="N506">
        <f t="shared" si="149"/>
        <v>243270000</v>
      </c>
      <c r="O506">
        <f t="shared" si="150"/>
        <v>1.7455913182883216E-2</v>
      </c>
      <c r="P506">
        <v>72764.240000000005</v>
      </c>
      <c r="Q506" s="8">
        <v>0.21590000000000001</v>
      </c>
      <c r="R506" s="37">
        <f t="shared" si="151"/>
        <v>7584390000</v>
      </c>
      <c r="S506" s="37">
        <f t="shared" si="152"/>
        <v>8524879999.999999</v>
      </c>
      <c r="T506" s="37">
        <f t="shared" si="153"/>
        <v>530289999.99999994</v>
      </c>
      <c r="U506" s="37">
        <f t="shared" si="154"/>
        <v>44510000</v>
      </c>
      <c r="V506" s="37">
        <f t="shared" si="155"/>
        <v>5899740000</v>
      </c>
      <c r="W506">
        <f t="shared" si="142"/>
        <v>8.9733661921850319E-10</v>
      </c>
      <c r="X506">
        <f t="shared" si="156"/>
        <v>0.77787930209285128</v>
      </c>
    </row>
    <row r="507" spans="1:24">
      <c r="A507" s="33">
        <v>45415</v>
      </c>
      <c r="B507" s="38">
        <v>3.26</v>
      </c>
      <c r="C507" s="23">
        <f t="shared" si="143"/>
        <v>2.8391167192428977E-2</v>
      </c>
      <c r="D507" s="22">
        <f t="shared" si="144"/>
        <v>6.9177541721040597E-2</v>
      </c>
      <c r="E507" s="38">
        <v>3.4</v>
      </c>
      <c r="F507" s="38">
        <v>3.18</v>
      </c>
      <c r="G507" s="22">
        <f t="shared" si="145"/>
        <v>6.6869300911854029E-2</v>
      </c>
      <c r="H507" s="38">
        <v>3.29</v>
      </c>
      <c r="I507" s="38">
        <v>3.25</v>
      </c>
      <c r="J507" s="22">
        <f t="shared" si="146"/>
        <v>1.2232415902140683E-2</v>
      </c>
      <c r="K507" s="35">
        <v>3968000</v>
      </c>
      <c r="L507" s="37">
        <f t="shared" si="147"/>
        <v>278880000</v>
      </c>
      <c r="M507">
        <f t="shared" si="148"/>
        <v>12935680</v>
      </c>
      <c r="N507">
        <f t="shared" si="149"/>
        <v>243270000</v>
      </c>
      <c r="O507">
        <f t="shared" si="150"/>
        <v>1.6311094668475357E-2</v>
      </c>
      <c r="P507">
        <v>71902.09</v>
      </c>
      <c r="Q507" s="8">
        <v>0.21590000000000001</v>
      </c>
      <c r="R507" s="37">
        <f t="shared" si="151"/>
        <v>7584390000</v>
      </c>
      <c r="S507" s="37">
        <f t="shared" si="152"/>
        <v>8524879999.999999</v>
      </c>
      <c r="T507" s="37">
        <f t="shared" si="153"/>
        <v>530289999.99999994</v>
      </c>
      <c r="U507" s="37">
        <f t="shared" si="154"/>
        <v>44510000</v>
      </c>
      <c r="V507" s="37">
        <f t="shared" si="155"/>
        <v>5899740000</v>
      </c>
      <c r="W507">
        <f t="shared" si="142"/>
        <v>2.1947951087557035E-9</v>
      </c>
      <c r="X507">
        <f t="shared" si="156"/>
        <v>0.77787930209285128</v>
      </c>
    </row>
    <row r="508" spans="1:24">
      <c r="A508" s="33">
        <v>45414</v>
      </c>
      <c r="B508" s="38">
        <v>3.17</v>
      </c>
      <c r="C508" s="23">
        <f t="shared" si="143"/>
        <v>-3.6474164133738635E-2</v>
      </c>
      <c r="D508" s="22">
        <f t="shared" si="144"/>
        <v>6.9177541721040597E-2</v>
      </c>
      <c r="E508" s="38">
        <v>3.37</v>
      </c>
      <c r="F508" s="38">
        <v>3.15</v>
      </c>
      <c r="G508" s="22">
        <f t="shared" si="145"/>
        <v>6.7484662576687185E-2</v>
      </c>
      <c r="H508" s="38">
        <v>3.22</v>
      </c>
      <c r="I508" s="38">
        <v>3.18</v>
      </c>
      <c r="J508" s="22">
        <f t="shared" si="146"/>
        <v>1.2500000000000011E-2</v>
      </c>
      <c r="K508" s="35">
        <v>2365500</v>
      </c>
      <c r="L508" s="37">
        <f t="shared" si="147"/>
        <v>278880000</v>
      </c>
      <c r="M508">
        <f t="shared" si="148"/>
        <v>7498635</v>
      </c>
      <c r="N508">
        <f t="shared" si="149"/>
        <v>243270000</v>
      </c>
      <c r="O508">
        <f t="shared" si="150"/>
        <v>9.7237637193242077E-3</v>
      </c>
      <c r="P508">
        <v>70657.64</v>
      </c>
      <c r="Q508" s="8">
        <v>0.21590000000000001</v>
      </c>
      <c r="R508" s="37">
        <f t="shared" si="151"/>
        <v>7584390000</v>
      </c>
      <c r="S508" s="37">
        <f t="shared" si="152"/>
        <v>8524879999.999999</v>
      </c>
      <c r="T508" s="37">
        <f t="shared" si="153"/>
        <v>530289999.99999994</v>
      </c>
      <c r="U508" s="37">
        <f t="shared" si="154"/>
        <v>44510000</v>
      </c>
      <c r="V508" s="37">
        <f t="shared" si="155"/>
        <v>5899740000</v>
      </c>
      <c r="W508">
        <f t="shared" si="142"/>
        <v>4.8641071520001484E-9</v>
      </c>
      <c r="X508">
        <f t="shared" si="156"/>
        <v>0.77787930209285128</v>
      </c>
    </row>
    <row r="509" spans="1:24">
      <c r="A509" s="33">
        <v>45412</v>
      </c>
      <c r="B509" s="38">
        <v>3.29</v>
      </c>
      <c r="C509" s="23">
        <f t="shared" si="143"/>
        <v>-5.7306590257879701E-2</v>
      </c>
      <c r="D509" s="22">
        <f t="shared" si="144"/>
        <v>6.9177541721040597E-2</v>
      </c>
      <c r="E509" s="38">
        <v>3.86</v>
      </c>
      <c r="F509" s="38">
        <v>3.22</v>
      </c>
      <c r="G509" s="22">
        <f t="shared" si="145"/>
        <v>0.18079096045197732</v>
      </c>
      <c r="H509" s="38">
        <v>3.3</v>
      </c>
      <c r="I509" s="38">
        <v>3.29</v>
      </c>
      <c r="J509" s="22">
        <f t="shared" si="146"/>
        <v>3.03490136570555E-3</v>
      </c>
      <c r="K509" s="35">
        <v>27121500</v>
      </c>
      <c r="L509" s="37">
        <f t="shared" si="147"/>
        <v>278880000</v>
      </c>
      <c r="M509">
        <f t="shared" si="148"/>
        <v>89229735</v>
      </c>
      <c r="N509">
        <f t="shared" si="149"/>
        <v>243270000</v>
      </c>
      <c r="O509">
        <f t="shared" si="150"/>
        <v>0.11148723640399556</v>
      </c>
      <c r="P509">
        <v>71102.55</v>
      </c>
      <c r="Q509" s="8">
        <v>0.21590000000000001</v>
      </c>
      <c r="R509" s="37">
        <f t="shared" si="151"/>
        <v>7584390000</v>
      </c>
      <c r="S509" s="37">
        <f t="shared" si="152"/>
        <v>8524879999.999999</v>
      </c>
      <c r="T509" s="37">
        <f t="shared" si="153"/>
        <v>530289999.99999994</v>
      </c>
      <c r="U509" s="37">
        <f t="shared" si="154"/>
        <v>44510000</v>
      </c>
      <c r="V509" s="37">
        <f t="shared" si="155"/>
        <v>5899740000</v>
      </c>
      <c r="W509">
        <f t="shared" si="142"/>
        <v>6.4223647260500882E-10</v>
      </c>
      <c r="X509">
        <f t="shared" si="156"/>
        <v>0.77787930209285128</v>
      </c>
    </row>
    <row r="510" spans="1:24">
      <c r="A510" s="33">
        <v>45411</v>
      </c>
      <c r="B510" s="38">
        <v>3.49</v>
      </c>
      <c r="C510" s="23">
        <f t="shared" si="143"/>
        <v>0.26909090909090916</v>
      </c>
      <c r="D510" s="22">
        <f t="shared" si="144"/>
        <v>6.9177541721040597E-2</v>
      </c>
      <c r="E510" s="38">
        <v>3.6</v>
      </c>
      <c r="F510" s="38">
        <v>2.66</v>
      </c>
      <c r="G510" s="22">
        <f t="shared" si="145"/>
        <v>0.30031948881789139</v>
      </c>
      <c r="H510" s="38">
        <v>3.54</v>
      </c>
      <c r="I510" s="38">
        <v>3.52</v>
      </c>
      <c r="J510" s="22">
        <f t="shared" si="146"/>
        <v>5.665722379603404E-3</v>
      </c>
      <c r="K510" s="35">
        <v>32652000</v>
      </c>
      <c r="L510" s="37">
        <f t="shared" si="147"/>
        <v>278880000</v>
      </c>
      <c r="M510">
        <f t="shared" si="148"/>
        <v>113955480</v>
      </c>
      <c r="N510">
        <f t="shared" si="149"/>
        <v>243270000</v>
      </c>
      <c r="O510">
        <f t="shared" si="150"/>
        <v>0.13422123566407695</v>
      </c>
      <c r="P510">
        <v>71695.03</v>
      </c>
      <c r="Q510" s="8">
        <v>0.21640000000000001</v>
      </c>
      <c r="R510" s="37">
        <f t="shared" si="151"/>
        <v>7584390000</v>
      </c>
      <c r="S510" s="37">
        <f t="shared" si="152"/>
        <v>8524879999.999999</v>
      </c>
      <c r="T510" s="37">
        <f t="shared" si="153"/>
        <v>530289999.99999994</v>
      </c>
      <c r="U510" s="37">
        <f t="shared" si="154"/>
        <v>44510000</v>
      </c>
      <c r="V510" s="37">
        <f t="shared" si="155"/>
        <v>5899740000</v>
      </c>
      <c r="W510">
        <f t="shared" si="142"/>
        <v>2.3613687476101119E-9</v>
      </c>
      <c r="X510">
        <f t="shared" si="156"/>
        <v>0.77787930209285128</v>
      </c>
    </row>
    <row r="511" spans="1:24">
      <c r="A511" s="33">
        <v>45408</v>
      </c>
      <c r="B511" s="38">
        <v>2.75</v>
      </c>
      <c r="C511" s="23">
        <f t="shared" si="143"/>
        <v>3.3834586466165356E-2</v>
      </c>
      <c r="D511" s="22">
        <f t="shared" si="144"/>
        <v>6.9177541721040597E-2</v>
      </c>
      <c r="E511" s="38">
        <v>2.79</v>
      </c>
      <c r="F511" s="38">
        <v>2.6</v>
      </c>
      <c r="G511" s="22">
        <f t="shared" si="145"/>
        <v>7.0500927643784753E-2</v>
      </c>
      <c r="H511" s="38">
        <v>2.77</v>
      </c>
      <c r="I511" s="38">
        <v>2.75</v>
      </c>
      <c r="J511" s="22">
        <f t="shared" si="146"/>
        <v>7.2463768115942099E-3</v>
      </c>
      <c r="K511" s="35">
        <v>1030000</v>
      </c>
      <c r="L511" s="37">
        <f t="shared" si="147"/>
        <v>278880000</v>
      </c>
      <c r="M511">
        <f t="shared" si="148"/>
        <v>2832500</v>
      </c>
      <c r="N511">
        <f t="shared" si="149"/>
        <v>243270000</v>
      </c>
      <c r="O511">
        <f t="shared" si="150"/>
        <v>4.233978706786698E-3</v>
      </c>
      <c r="P511">
        <v>72742.75</v>
      </c>
      <c r="Q511" s="8">
        <v>0.21640000000000001</v>
      </c>
      <c r="R511" s="37">
        <f t="shared" si="151"/>
        <v>7584390000</v>
      </c>
      <c r="S511" s="37">
        <f t="shared" si="152"/>
        <v>8524879999.999999</v>
      </c>
      <c r="T511" s="37">
        <f t="shared" si="153"/>
        <v>530289999.99999994</v>
      </c>
      <c r="U511" s="37">
        <f t="shared" si="154"/>
        <v>44510000</v>
      </c>
      <c r="V511" s="37">
        <f t="shared" si="155"/>
        <v>5899740000</v>
      </c>
      <c r="W511">
        <f t="shared" si="142"/>
        <v>1.19451320268898E-8</v>
      </c>
      <c r="X511">
        <f t="shared" si="156"/>
        <v>0.77787930209285128</v>
      </c>
    </row>
    <row r="512" spans="1:24">
      <c r="A512" s="33">
        <v>45407</v>
      </c>
      <c r="B512" s="38">
        <v>2.66</v>
      </c>
      <c r="C512" s="23">
        <f t="shared" si="143"/>
        <v>3.7735849056604646E-3</v>
      </c>
      <c r="D512" s="22">
        <f t="shared" si="144"/>
        <v>6.9177541721040597E-2</v>
      </c>
      <c r="E512" s="38">
        <v>2.74</v>
      </c>
      <c r="F512" s="38">
        <v>2.6</v>
      </c>
      <c r="G512" s="22">
        <f t="shared" si="145"/>
        <v>5.2434456928838996E-2</v>
      </c>
      <c r="H512" s="38">
        <v>2.7</v>
      </c>
      <c r="I512" s="38">
        <v>2.65</v>
      </c>
      <c r="J512" s="22">
        <f t="shared" si="146"/>
        <v>1.8691588785046828E-2</v>
      </c>
      <c r="K512" s="35">
        <v>2170000</v>
      </c>
      <c r="L512" s="37">
        <f t="shared" si="147"/>
        <v>278880000</v>
      </c>
      <c r="M512">
        <f t="shared" si="148"/>
        <v>5772200</v>
      </c>
      <c r="N512">
        <f t="shared" si="149"/>
        <v>243270000</v>
      </c>
      <c r="O512">
        <f t="shared" si="150"/>
        <v>8.9201298968224606E-3</v>
      </c>
      <c r="P512">
        <v>71971.399999999994</v>
      </c>
      <c r="Q512" s="8">
        <v>0.21640000000000001</v>
      </c>
      <c r="R512" s="37">
        <f t="shared" si="151"/>
        <v>7584390000</v>
      </c>
      <c r="S512" s="37">
        <f t="shared" si="152"/>
        <v>8524879999.999999</v>
      </c>
      <c r="T512" s="37">
        <f t="shared" si="153"/>
        <v>530289999.99999994</v>
      </c>
      <c r="U512" s="37">
        <f t="shared" si="154"/>
        <v>44510000</v>
      </c>
      <c r="V512" s="37">
        <f t="shared" si="155"/>
        <v>5899740000</v>
      </c>
      <c r="W512">
        <f t="shared" si="142"/>
        <v>6.5375158616480107E-10</v>
      </c>
      <c r="X512">
        <f t="shared" si="156"/>
        <v>0.77787930209285128</v>
      </c>
    </row>
    <row r="513" spans="1:24">
      <c r="A513" s="33">
        <v>45406</v>
      </c>
      <c r="B513" s="38">
        <v>2.65</v>
      </c>
      <c r="C513" s="23">
        <f t="shared" si="143"/>
        <v>3.7878787878787069E-3</v>
      </c>
      <c r="D513" s="22">
        <f t="shared" si="144"/>
        <v>6.9177541721040597E-2</v>
      </c>
      <c r="E513" s="38">
        <v>2.7</v>
      </c>
      <c r="F513" s="38">
        <v>2.62</v>
      </c>
      <c r="G513" s="22">
        <f t="shared" si="145"/>
        <v>3.0075187969924838E-2</v>
      </c>
      <c r="H513" s="38">
        <v>2.66</v>
      </c>
      <c r="I513" s="38">
        <v>2.64</v>
      </c>
      <c r="J513" s="22">
        <f t="shared" si="146"/>
        <v>7.54716981132076E-3</v>
      </c>
      <c r="K513" s="35">
        <v>1053000</v>
      </c>
      <c r="L513" s="37">
        <f t="shared" si="147"/>
        <v>278880000</v>
      </c>
      <c r="M513">
        <f t="shared" si="148"/>
        <v>2790450</v>
      </c>
      <c r="N513">
        <f t="shared" si="149"/>
        <v>243270000</v>
      </c>
      <c r="O513">
        <f t="shared" si="150"/>
        <v>4.3285238623751391E-3</v>
      </c>
      <c r="P513">
        <v>72051.89</v>
      </c>
      <c r="Q513" s="8">
        <v>0.21640000000000001</v>
      </c>
      <c r="R513" s="37">
        <f t="shared" si="151"/>
        <v>7584390000</v>
      </c>
      <c r="S513" s="37">
        <f t="shared" si="152"/>
        <v>8524879999.999999</v>
      </c>
      <c r="T513" s="37">
        <f t="shared" si="153"/>
        <v>530289999.99999994</v>
      </c>
      <c r="U513" s="37">
        <f t="shared" si="154"/>
        <v>44510000</v>
      </c>
      <c r="V513" s="37">
        <f t="shared" si="155"/>
        <v>5899740000</v>
      </c>
      <c r="W513">
        <f t="shared" si="142"/>
        <v>1.3574437054520621E-9</v>
      </c>
      <c r="X513">
        <f t="shared" si="156"/>
        <v>0.77787930209285128</v>
      </c>
    </row>
    <row r="514" spans="1:24">
      <c r="A514" s="33">
        <v>45405</v>
      </c>
      <c r="B514" s="38">
        <v>2.64</v>
      </c>
      <c r="C514" s="23">
        <f t="shared" si="143"/>
        <v>1.5384615384615398E-2</v>
      </c>
      <c r="D514" s="22">
        <f t="shared" si="144"/>
        <v>6.9177541721040597E-2</v>
      </c>
      <c r="E514" s="38">
        <v>2.67</v>
      </c>
      <c r="F514" s="38">
        <v>2.56</v>
      </c>
      <c r="G514" s="22">
        <f t="shared" si="145"/>
        <v>4.2065009560229391E-2</v>
      </c>
      <c r="H514" s="38">
        <v>2.66</v>
      </c>
      <c r="I514" s="38">
        <v>2.64</v>
      </c>
      <c r="J514" s="22">
        <f t="shared" si="146"/>
        <v>7.54716981132076E-3</v>
      </c>
      <c r="K514" s="35">
        <v>781000</v>
      </c>
      <c r="L514" s="37">
        <f t="shared" si="147"/>
        <v>278880000</v>
      </c>
      <c r="M514">
        <f t="shared" si="148"/>
        <v>2061840</v>
      </c>
      <c r="N514">
        <f t="shared" si="149"/>
        <v>243270000</v>
      </c>
      <c r="O514">
        <f t="shared" si="150"/>
        <v>3.2104246310683602E-3</v>
      </c>
      <c r="P514">
        <v>71359.41</v>
      </c>
      <c r="Q514" s="8">
        <v>0.21640000000000001</v>
      </c>
      <c r="R514" s="37">
        <f t="shared" si="151"/>
        <v>7584390000</v>
      </c>
      <c r="S514" s="37">
        <f t="shared" si="152"/>
        <v>8524879999.999999</v>
      </c>
      <c r="T514" s="37">
        <f t="shared" si="153"/>
        <v>530289999.99999994</v>
      </c>
      <c r="U514" s="37">
        <f t="shared" si="154"/>
        <v>44510000</v>
      </c>
      <c r="V514" s="37">
        <f t="shared" si="155"/>
        <v>5899740000</v>
      </c>
      <c r="W514">
        <f t="shared" si="142"/>
        <v>7.4615951696617573E-9</v>
      </c>
      <c r="X514">
        <f t="shared" si="156"/>
        <v>0.77787930209285128</v>
      </c>
    </row>
    <row r="515" spans="1:24">
      <c r="A515" s="33">
        <v>45404</v>
      </c>
      <c r="B515" s="38">
        <v>2.6</v>
      </c>
      <c r="C515" s="23">
        <f t="shared" si="143"/>
        <v>1.5625000000000014E-2</v>
      </c>
      <c r="D515" s="22">
        <f t="shared" si="144"/>
        <v>6.9177541721040597E-2</v>
      </c>
      <c r="E515" s="38">
        <v>2.72</v>
      </c>
      <c r="F515" s="38">
        <v>2.52</v>
      </c>
      <c r="G515" s="22">
        <f t="shared" si="145"/>
        <v>7.6335877862595491E-2</v>
      </c>
      <c r="H515" s="38">
        <v>2.65</v>
      </c>
      <c r="I515" s="38">
        <v>2.6</v>
      </c>
      <c r="J515" s="22">
        <f t="shared" si="146"/>
        <v>1.904761904761898E-2</v>
      </c>
      <c r="K515" s="35">
        <v>884000</v>
      </c>
      <c r="L515" s="37">
        <f t="shared" si="147"/>
        <v>278880000</v>
      </c>
      <c r="M515">
        <f t="shared" si="148"/>
        <v>2298400</v>
      </c>
      <c r="N515">
        <f t="shared" si="149"/>
        <v>243270000</v>
      </c>
      <c r="O515">
        <f t="shared" si="150"/>
        <v>3.6338225017470299E-3</v>
      </c>
      <c r="P515">
        <v>71433.460000000006</v>
      </c>
      <c r="Q515" s="8">
        <v>0.21640000000000001</v>
      </c>
      <c r="R515" s="37">
        <f t="shared" si="151"/>
        <v>7584390000</v>
      </c>
      <c r="S515" s="37">
        <f t="shared" si="152"/>
        <v>8524879999.999999</v>
      </c>
      <c r="T515" s="37">
        <f t="shared" si="153"/>
        <v>530289999.99999994</v>
      </c>
      <c r="U515" s="37">
        <f t="shared" si="154"/>
        <v>44510000</v>
      </c>
      <c r="V515" s="37">
        <f t="shared" si="155"/>
        <v>5899740000</v>
      </c>
      <c r="W515">
        <f t="shared" si="142"/>
        <v>6.7982074486599433E-9</v>
      </c>
      <c r="X515">
        <f t="shared" si="156"/>
        <v>0.77787930209285128</v>
      </c>
    </row>
    <row r="516" spans="1:24">
      <c r="A516" s="33">
        <v>45401</v>
      </c>
      <c r="B516" s="38">
        <v>2.56</v>
      </c>
      <c r="C516" s="23">
        <f t="shared" si="143"/>
        <v>7.8740157480315029E-3</v>
      </c>
      <c r="D516" s="22">
        <f t="shared" si="144"/>
        <v>6.9177541721040597E-2</v>
      </c>
      <c r="E516" s="38">
        <v>2.7</v>
      </c>
      <c r="F516" s="38">
        <v>2.5099999999999998</v>
      </c>
      <c r="G516" s="22">
        <f t="shared" si="145"/>
        <v>7.2936660268714162E-2</v>
      </c>
      <c r="H516" s="38">
        <v>2.56</v>
      </c>
      <c r="I516" s="38">
        <v>2.5499999999999998</v>
      </c>
      <c r="J516" s="22">
        <f t="shared" si="146"/>
        <v>3.9138943248533198E-3</v>
      </c>
      <c r="K516" s="35">
        <v>2303500</v>
      </c>
      <c r="L516" s="37">
        <f t="shared" si="147"/>
        <v>278880000</v>
      </c>
      <c r="M516">
        <f t="shared" si="148"/>
        <v>5896960</v>
      </c>
      <c r="N516">
        <f t="shared" si="149"/>
        <v>243270000</v>
      </c>
      <c r="O516">
        <f t="shared" si="150"/>
        <v>9.4689028651292802E-3</v>
      </c>
      <c r="P516">
        <v>70909.899999999994</v>
      </c>
      <c r="Q516" s="8">
        <v>0.21640000000000001</v>
      </c>
      <c r="R516" s="37">
        <f t="shared" si="151"/>
        <v>7584390000</v>
      </c>
      <c r="S516" s="37">
        <f t="shared" si="152"/>
        <v>8524879999.999999</v>
      </c>
      <c r="T516" s="37">
        <f t="shared" si="153"/>
        <v>530289999.99999994</v>
      </c>
      <c r="U516" s="37">
        <f t="shared" si="154"/>
        <v>44510000</v>
      </c>
      <c r="V516" s="37">
        <f t="shared" si="155"/>
        <v>5899740000</v>
      </c>
      <c r="W516">
        <f t="shared" si="142"/>
        <v>1.3352669422942505E-9</v>
      </c>
      <c r="X516">
        <f t="shared" si="156"/>
        <v>0.77787930209285128</v>
      </c>
    </row>
    <row r="517" spans="1:24">
      <c r="A517" s="33">
        <v>45400</v>
      </c>
      <c r="B517" s="38">
        <v>2.54</v>
      </c>
      <c r="C517" s="23">
        <f t="shared" si="143"/>
        <v>-1.5503875968992262E-2</v>
      </c>
      <c r="D517" s="22">
        <f t="shared" si="144"/>
        <v>6.9177541721040597E-2</v>
      </c>
      <c r="E517" s="38">
        <v>2.64</v>
      </c>
      <c r="F517" s="38">
        <v>2.5299999999999998</v>
      </c>
      <c r="G517" s="22">
        <f t="shared" si="145"/>
        <v>4.2553191489361826E-2</v>
      </c>
      <c r="H517" s="38">
        <v>2.59</v>
      </c>
      <c r="I517" s="38">
        <v>2.58</v>
      </c>
      <c r="J517" s="22">
        <f t="shared" si="146"/>
        <v>3.8684719535782542E-3</v>
      </c>
      <c r="K517" s="35">
        <v>314000</v>
      </c>
      <c r="L517" s="37">
        <f t="shared" si="147"/>
        <v>278880000</v>
      </c>
      <c r="M517">
        <f t="shared" si="148"/>
        <v>797560</v>
      </c>
      <c r="N517">
        <f t="shared" si="149"/>
        <v>243270000</v>
      </c>
      <c r="O517">
        <f t="shared" si="150"/>
        <v>1.2907469067291487E-3</v>
      </c>
      <c r="P517">
        <v>70290.12</v>
      </c>
      <c r="Q517" s="8">
        <v>0.21640000000000001</v>
      </c>
      <c r="R517" s="37">
        <f t="shared" si="151"/>
        <v>7584390000</v>
      </c>
      <c r="S517" s="37">
        <f t="shared" si="152"/>
        <v>8524879999.999999</v>
      </c>
      <c r="T517" s="37">
        <f t="shared" si="153"/>
        <v>530289999.99999994</v>
      </c>
      <c r="U517" s="37">
        <f t="shared" si="154"/>
        <v>44510000</v>
      </c>
      <c r="V517" s="37">
        <f t="shared" si="155"/>
        <v>5899740000</v>
      </c>
      <c r="W517">
        <f t="shared" si="142"/>
        <v>1.9439134320919131E-8</v>
      </c>
      <c r="X517">
        <f t="shared" si="156"/>
        <v>0.77787930209285128</v>
      </c>
    </row>
    <row r="518" spans="1:24">
      <c r="A518" s="33">
        <v>45399</v>
      </c>
      <c r="B518" s="38">
        <v>2.58</v>
      </c>
      <c r="C518" s="23">
        <f t="shared" si="143"/>
        <v>-1.5267175572519097E-2</v>
      </c>
      <c r="D518" s="22">
        <f t="shared" si="144"/>
        <v>6.9177541721040597E-2</v>
      </c>
      <c r="E518" s="38">
        <v>2.73</v>
      </c>
      <c r="F518" s="38">
        <v>2.5499999999999998</v>
      </c>
      <c r="G518" s="22">
        <f t="shared" si="145"/>
        <v>6.8181818181818246E-2</v>
      </c>
      <c r="H518" s="38">
        <v>2.59</v>
      </c>
      <c r="I518" s="38">
        <v>2.56</v>
      </c>
      <c r="J518" s="22">
        <f t="shared" si="146"/>
        <v>1.1650485436893128E-2</v>
      </c>
      <c r="K518" s="35">
        <v>679000</v>
      </c>
      <c r="L518" s="37">
        <f t="shared" si="147"/>
        <v>278880000</v>
      </c>
      <c r="M518">
        <f t="shared" si="148"/>
        <v>1751820</v>
      </c>
      <c r="N518">
        <f t="shared" si="149"/>
        <v>243270000</v>
      </c>
      <c r="O518">
        <f t="shared" si="150"/>
        <v>2.7911374193283181E-3</v>
      </c>
      <c r="P518">
        <v>70333.320000000007</v>
      </c>
      <c r="Q518" s="8">
        <v>0.21640000000000001</v>
      </c>
      <c r="R518" s="37">
        <f t="shared" si="151"/>
        <v>7584390000</v>
      </c>
      <c r="S518" s="37">
        <f t="shared" si="152"/>
        <v>8524879999.999999</v>
      </c>
      <c r="T518" s="37">
        <f t="shared" si="153"/>
        <v>530289999.99999994</v>
      </c>
      <c r="U518" s="37">
        <f t="shared" si="154"/>
        <v>44510000</v>
      </c>
      <c r="V518" s="37">
        <f t="shared" si="155"/>
        <v>5899740000</v>
      </c>
      <c r="W518">
        <f t="shared" si="142"/>
        <v>8.7150366889972131E-9</v>
      </c>
      <c r="X518">
        <f t="shared" si="156"/>
        <v>0.77787930209285128</v>
      </c>
    </row>
    <row r="519" spans="1:24">
      <c r="A519" s="33">
        <v>45398</v>
      </c>
      <c r="B519" s="38">
        <v>2.62</v>
      </c>
      <c r="C519" s="23">
        <f t="shared" si="143"/>
        <v>3.8314176245211615E-3</v>
      </c>
      <c r="D519" s="22">
        <f t="shared" si="144"/>
        <v>6.9177541721040597E-2</v>
      </c>
      <c r="E519" s="38">
        <v>2.69</v>
      </c>
      <c r="F519" s="38">
        <v>2.6</v>
      </c>
      <c r="G519" s="22">
        <f t="shared" si="145"/>
        <v>3.4026465028355331E-2</v>
      </c>
      <c r="H519" s="38">
        <v>2.64</v>
      </c>
      <c r="I519" s="38">
        <v>2.62</v>
      </c>
      <c r="J519" s="22">
        <f t="shared" si="146"/>
        <v>7.6045627376425924E-3</v>
      </c>
      <c r="K519" s="35">
        <v>401500</v>
      </c>
      <c r="L519" s="37">
        <f t="shared" si="147"/>
        <v>278880000</v>
      </c>
      <c r="M519">
        <f t="shared" si="148"/>
        <v>1051930</v>
      </c>
      <c r="N519">
        <f t="shared" si="149"/>
        <v>243270000</v>
      </c>
      <c r="O519">
        <f t="shared" si="150"/>
        <v>1.6504295638590865E-3</v>
      </c>
      <c r="P519">
        <v>70483.66</v>
      </c>
      <c r="Q519" s="8">
        <v>0.216</v>
      </c>
      <c r="R519" s="37">
        <f t="shared" si="151"/>
        <v>7584390000</v>
      </c>
      <c r="S519" s="37">
        <f t="shared" si="152"/>
        <v>8524879999.999999</v>
      </c>
      <c r="T519" s="37">
        <f t="shared" si="153"/>
        <v>530289999.99999994</v>
      </c>
      <c r="U519" s="37">
        <f t="shared" si="154"/>
        <v>44510000</v>
      </c>
      <c r="V519" s="37">
        <f t="shared" si="155"/>
        <v>5899740000</v>
      </c>
      <c r="W519">
        <f t="shared" si="142"/>
        <v>3.6422743191288029E-9</v>
      </c>
      <c r="X519">
        <f t="shared" si="156"/>
        <v>0.77787930209285128</v>
      </c>
    </row>
    <row r="520" spans="1:24">
      <c r="A520" s="33">
        <v>45397</v>
      </c>
      <c r="B520" s="38">
        <v>2.61</v>
      </c>
      <c r="C520" s="23">
        <f t="shared" si="143"/>
        <v>3.846153846153764E-3</v>
      </c>
      <c r="D520" s="22">
        <f t="shared" si="144"/>
        <v>6.9177541721040597E-2</v>
      </c>
      <c r="E520" s="38">
        <v>2.74</v>
      </c>
      <c r="F520" s="38">
        <v>2.5299999999999998</v>
      </c>
      <c r="G520" s="22">
        <f t="shared" si="145"/>
        <v>7.9696394686907188E-2</v>
      </c>
      <c r="H520" s="38">
        <v>2.6</v>
      </c>
      <c r="I520" s="38">
        <v>2.59</v>
      </c>
      <c r="J520" s="22">
        <f t="shared" si="146"/>
        <v>3.853564547206255E-3</v>
      </c>
      <c r="K520" s="35">
        <v>2235500</v>
      </c>
      <c r="L520" s="37">
        <f t="shared" si="147"/>
        <v>278880000</v>
      </c>
      <c r="M520">
        <f t="shared" si="148"/>
        <v>5834655</v>
      </c>
      <c r="N520">
        <f t="shared" si="149"/>
        <v>243270000</v>
      </c>
      <c r="O520">
        <f t="shared" si="150"/>
        <v>9.1893780573025861E-3</v>
      </c>
      <c r="P520">
        <v>70544.58</v>
      </c>
      <c r="Q520" s="8">
        <v>0.216</v>
      </c>
      <c r="R520" s="37">
        <f t="shared" si="151"/>
        <v>7584390000</v>
      </c>
      <c r="S520" s="37">
        <f t="shared" si="152"/>
        <v>8524879999.999999</v>
      </c>
      <c r="T520" s="37">
        <f t="shared" si="153"/>
        <v>530289999.99999994</v>
      </c>
      <c r="U520" s="37">
        <f t="shared" si="154"/>
        <v>44510000</v>
      </c>
      <c r="V520" s="37">
        <f t="shared" si="155"/>
        <v>5899740000</v>
      </c>
      <c r="W520">
        <f t="shared" si="142"/>
        <v>6.5919130542487325E-10</v>
      </c>
      <c r="X520">
        <f t="shared" si="156"/>
        <v>0.77787930209285128</v>
      </c>
    </row>
    <row r="521" spans="1:24">
      <c r="A521" s="33">
        <v>45391</v>
      </c>
      <c r="B521" s="38">
        <v>2.6</v>
      </c>
      <c r="C521" s="23">
        <f t="shared" si="143"/>
        <v>-3.703703703703707E-2</v>
      </c>
      <c r="D521" s="22">
        <f t="shared" si="144"/>
        <v>6.9177541721040597E-2</v>
      </c>
      <c r="E521" s="38">
        <v>2.64</v>
      </c>
      <c r="F521" s="38">
        <v>2.56</v>
      </c>
      <c r="G521" s="22">
        <f t="shared" si="145"/>
        <v>3.0769230769230795E-2</v>
      </c>
      <c r="H521" s="38">
        <v>2.6</v>
      </c>
      <c r="I521" s="38">
        <v>2.59</v>
      </c>
      <c r="J521" s="22">
        <f t="shared" si="146"/>
        <v>3.853564547206255E-3</v>
      </c>
      <c r="K521" s="35">
        <v>1351500</v>
      </c>
      <c r="L521" s="37">
        <f t="shared" si="147"/>
        <v>278880000</v>
      </c>
      <c r="M521">
        <f t="shared" si="148"/>
        <v>3513900</v>
      </c>
      <c r="N521">
        <f t="shared" si="149"/>
        <v>243270000</v>
      </c>
      <c r="O521">
        <f t="shared" si="150"/>
        <v>5.5555555555555558E-3</v>
      </c>
      <c r="P521">
        <v>70314.720000000001</v>
      </c>
      <c r="Q521" s="8">
        <v>0.216</v>
      </c>
      <c r="R521" s="37">
        <f t="shared" si="151"/>
        <v>7584390000</v>
      </c>
      <c r="S521" s="37">
        <f t="shared" si="152"/>
        <v>8524879999.999999</v>
      </c>
      <c r="T521" s="37">
        <f t="shared" si="153"/>
        <v>530289999.99999994</v>
      </c>
      <c r="U521" s="37">
        <f t="shared" si="154"/>
        <v>44510000</v>
      </c>
      <c r="V521" s="37">
        <f t="shared" si="155"/>
        <v>5899740000</v>
      </c>
      <c r="W521">
        <f t="shared" si="142"/>
        <v>1.0540151124686835E-8</v>
      </c>
      <c r="X521">
        <f t="shared" si="156"/>
        <v>0.77787930209285128</v>
      </c>
    </row>
    <row r="522" spans="1:24">
      <c r="A522" s="33">
        <v>45390</v>
      </c>
      <c r="B522" s="38">
        <v>2.7</v>
      </c>
      <c r="C522" s="23">
        <f t="shared" si="143"/>
        <v>3.4482758620689773E-2</v>
      </c>
      <c r="D522" s="22">
        <f t="shared" si="144"/>
        <v>6.9177541721040597E-2</v>
      </c>
      <c r="E522" s="38">
        <v>2.74</v>
      </c>
      <c r="F522" s="38">
        <v>2.61</v>
      </c>
      <c r="G522" s="22">
        <f t="shared" si="145"/>
        <v>4.8598130841121627E-2</v>
      </c>
      <c r="H522" s="38">
        <v>2.73</v>
      </c>
      <c r="I522" s="38">
        <v>2.71</v>
      </c>
      <c r="J522" s="22">
        <f t="shared" si="146"/>
        <v>7.3529411764705951E-3</v>
      </c>
      <c r="K522" s="35">
        <v>433000</v>
      </c>
      <c r="L522" s="37">
        <f t="shared" si="147"/>
        <v>278880000</v>
      </c>
      <c r="M522">
        <f t="shared" si="148"/>
        <v>1169100</v>
      </c>
      <c r="N522">
        <f t="shared" si="149"/>
        <v>243270000</v>
      </c>
      <c r="O522">
        <f t="shared" si="150"/>
        <v>1.7799153204258642E-3</v>
      </c>
      <c r="P522">
        <v>69619.990000000005</v>
      </c>
      <c r="Q522" s="8">
        <v>0.216</v>
      </c>
      <c r="R522" s="37">
        <f t="shared" si="151"/>
        <v>7584390000</v>
      </c>
      <c r="S522" s="37">
        <f t="shared" si="152"/>
        <v>8524879999.999999</v>
      </c>
      <c r="T522" s="37">
        <f t="shared" si="153"/>
        <v>530289999.99999994</v>
      </c>
      <c r="U522" s="37">
        <f t="shared" si="154"/>
        <v>44510000</v>
      </c>
      <c r="V522" s="37">
        <f t="shared" si="155"/>
        <v>5899740000</v>
      </c>
      <c r="W522">
        <f t="shared" si="142"/>
        <v>2.9495131828491809E-8</v>
      </c>
      <c r="X522">
        <f t="shared" si="156"/>
        <v>0.77787930209285128</v>
      </c>
    </row>
    <row r="523" spans="1:24">
      <c r="A523" s="33">
        <v>45386</v>
      </c>
      <c r="B523" s="38">
        <v>2.61</v>
      </c>
      <c r="C523" s="23">
        <f t="shared" si="143"/>
        <v>-7.6045627376425924E-3</v>
      </c>
      <c r="D523" s="22">
        <f t="shared" si="144"/>
        <v>6.9177541721040597E-2</v>
      </c>
      <c r="E523" s="38">
        <v>2.74</v>
      </c>
      <c r="F523" s="38">
        <v>2.6</v>
      </c>
      <c r="G523" s="22">
        <f t="shared" si="145"/>
        <v>5.2434456928838996E-2</v>
      </c>
      <c r="H523" s="38">
        <v>2.63</v>
      </c>
      <c r="I523" s="38">
        <v>2.61</v>
      </c>
      <c r="J523" s="22">
        <f t="shared" si="146"/>
        <v>7.6335877862595486E-3</v>
      </c>
      <c r="K523" s="35">
        <v>216500</v>
      </c>
      <c r="L523" s="37">
        <f t="shared" si="147"/>
        <v>278880000</v>
      </c>
      <c r="M523">
        <f t="shared" si="148"/>
        <v>565065</v>
      </c>
      <c r="N523">
        <f t="shared" si="149"/>
        <v>243270000</v>
      </c>
      <c r="O523">
        <f t="shared" si="150"/>
        <v>8.899576602129321E-4</v>
      </c>
      <c r="P523">
        <v>68416.78</v>
      </c>
      <c r="Q523" s="8">
        <v>0.216</v>
      </c>
      <c r="R523" s="37">
        <f t="shared" si="151"/>
        <v>7584390000</v>
      </c>
      <c r="S523" s="37">
        <f t="shared" si="152"/>
        <v>8524879999.999999</v>
      </c>
      <c r="T523" s="37">
        <f t="shared" si="153"/>
        <v>530289999.99999994</v>
      </c>
      <c r="U523" s="37">
        <f t="shared" si="154"/>
        <v>44510000</v>
      </c>
      <c r="V523" s="37">
        <f t="shared" si="155"/>
        <v>5899740000</v>
      </c>
      <c r="W523">
        <f t="shared" si="142"/>
        <v>1.3457854826688243E-8</v>
      </c>
      <c r="X523">
        <f t="shared" si="156"/>
        <v>0.77787930209285128</v>
      </c>
    </row>
    <row r="524" spans="1:24">
      <c r="A524" s="33">
        <v>45385</v>
      </c>
      <c r="B524" s="38">
        <v>2.63</v>
      </c>
      <c r="C524" s="23">
        <f t="shared" si="143"/>
        <v>-1.4981273408239714E-2</v>
      </c>
      <c r="D524" s="22">
        <f t="shared" si="144"/>
        <v>6.9177541721040597E-2</v>
      </c>
      <c r="E524" s="38">
        <v>2.67</v>
      </c>
      <c r="F524" s="38">
        <v>2.6</v>
      </c>
      <c r="G524" s="22">
        <f t="shared" si="145"/>
        <v>2.6565464895635615E-2</v>
      </c>
      <c r="H524" s="38">
        <v>2.66</v>
      </c>
      <c r="I524" s="38">
        <v>2.61</v>
      </c>
      <c r="J524" s="22">
        <f t="shared" si="146"/>
        <v>1.8975332068311299E-2</v>
      </c>
      <c r="K524" s="35">
        <v>349500</v>
      </c>
      <c r="L524" s="37">
        <f t="shared" si="147"/>
        <v>278880000</v>
      </c>
      <c r="M524">
        <f t="shared" si="148"/>
        <v>919185</v>
      </c>
      <c r="N524">
        <f t="shared" si="149"/>
        <v>243270000</v>
      </c>
      <c r="O524">
        <f t="shared" si="150"/>
        <v>1.4366752990504377E-3</v>
      </c>
      <c r="P524">
        <v>67756.039999999994</v>
      </c>
      <c r="Q524" s="8">
        <v>0.216</v>
      </c>
      <c r="R524" s="37">
        <f t="shared" si="151"/>
        <v>7584390000</v>
      </c>
      <c r="S524" s="37">
        <f t="shared" si="152"/>
        <v>8524879999.999999</v>
      </c>
      <c r="T524" s="37">
        <f t="shared" si="153"/>
        <v>530289999.99999994</v>
      </c>
      <c r="U524" s="37">
        <f t="shared" si="154"/>
        <v>44510000</v>
      </c>
      <c r="V524" s="37">
        <f t="shared" si="155"/>
        <v>5899740000</v>
      </c>
      <c r="W524">
        <f t="shared" si="142"/>
        <v>1.6298431119132398E-8</v>
      </c>
      <c r="X524">
        <f t="shared" si="156"/>
        <v>0.77787930209285128</v>
      </c>
    </row>
    <row r="525" spans="1:24">
      <c r="A525" s="33">
        <v>45384</v>
      </c>
      <c r="B525" s="38">
        <v>2.67</v>
      </c>
      <c r="C525" s="23">
        <f t="shared" si="143"/>
        <v>3.7593984962405211E-3</v>
      </c>
      <c r="D525" s="22">
        <f t="shared" si="144"/>
        <v>6.9177541721040597E-2</v>
      </c>
      <c r="E525" s="38">
        <v>2.7</v>
      </c>
      <c r="F525" s="38">
        <v>2.6</v>
      </c>
      <c r="G525" s="22">
        <f t="shared" si="145"/>
        <v>3.77358490566038E-2</v>
      </c>
      <c r="H525" s="38">
        <v>2.65</v>
      </c>
      <c r="I525" s="38">
        <v>2.64</v>
      </c>
      <c r="J525" s="22">
        <f t="shared" si="146"/>
        <v>3.7807183364838514E-3</v>
      </c>
      <c r="K525" s="35">
        <v>52500</v>
      </c>
      <c r="L525" s="37">
        <f t="shared" si="147"/>
        <v>278880000</v>
      </c>
      <c r="M525">
        <f t="shared" si="148"/>
        <v>140175</v>
      </c>
      <c r="N525">
        <f t="shared" si="149"/>
        <v>243270000</v>
      </c>
      <c r="O525">
        <f t="shared" si="150"/>
        <v>2.1580959427796277E-4</v>
      </c>
      <c r="P525">
        <v>66886.259999999995</v>
      </c>
      <c r="Q525" s="8">
        <v>0.216</v>
      </c>
      <c r="R525" s="37">
        <f t="shared" si="151"/>
        <v>7584390000</v>
      </c>
      <c r="S525" s="37">
        <f t="shared" si="152"/>
        <v>8524879999.999999</v>
      </c>
      <c r="T525" s="37">
        <f t="shared" si="153"/>
        <v>530289999.99999994</v>
      </c>
      <c r="U525" s="37">
        <f t="shared" si="154"/>
        <v>44510000</v>
      </c>
      <c r="V525" s="37">
        <f t="shared" si="155"/>
        <v>5899740000</v>
      </c>
      <c r="W525">
        <f t="shared" si="142"/>
        <v>2.6819322248906875E-8</v>
      </c>
      <c r="X525">
        <f t="shared" si="156"/>
        <v>0.77787930209285128</v>
      </c>
    </row>
    <row r="526" spans="1:24">
      <c r="A526" s="33">
        <v>45383</v>
      </c>
      <c r="B526" s="38">
        <v>2.66</v>
      </c>
      <c r="C526" s="23">
        <f t="shared" si="143"/>
        <v>-7.462686567164185E-3</v>
      </c>
      <c r="D526" s="22">
        <f t="shared" si="144"/>
        <v>6.9177541721040597E-2</v>
      </c>
      <c r="E526" s="38">
        <v>2.7</v>
      </c>
      <c r="F526" s="38">
        <v>2.5499999999999998</v>
      </c>
      <c r="G526" s="22">
        <f t="shared" si="145"/>
        <v>5.714285714285728E-2</v>
      </c>
      <c r="H526" s="38">
        <v>2.69</v>
      </c>
      <c r="I526" s="38">
        <v>2.62</v>
      </c>
      <c r="J526" s="22">
        <f t="shared" si="146"/>
        <v>2.6365348399246643E-2</v>
      </c>
      <c r="K526" s="35">
        <v>168500</v>
      </c>
      <c r="L526" s="37">
        <f t="shared" si="147"/>
        <v>278880000</v>
      </c>
      <c r="M526">
        <f t="shared" si="148"/>
        <v>448210</v>
      </c>
      <c r="N526">
        <f t="shared" si="149"/>
        <v>243270000</v>
      </c>
      <c r="O526">
        <f t="shared" si="150"/>
        <v>6.9264603115879472E-4</v>
      </c>
      <c r="P526">
        <v>66796.320000000007</v>
      </c>
      <c r="Q526" s="8">
        <v>0.216</v>
      </c>
      <c r="R526" s="37">
        <f t="shared" si="151"/>
        <v>7584390000</v>
      </c>
      <c r="S526" s="37">
        <f t="shared" si="152"/>
        <v>8524879999.999999</v>
      </c>
      <c r="T526" s="37">
        <f t="shared" si="153"/>
        <v>530289999.99999994</v>
      </c>
      <c r="U526" s="37">
        <f t="shared" si="154"/>
        <v>44510000</v>
      </c>
      <c r="V526" s="37">
        <f t="shared" si="155"/>
        <v>5899740000</v>
      </c>
      <c r="W526">
        <f t="shared" si="142"/>
        <v>1.664997783887951E-8</v>
      </c>
      <c r="X526">
        <f t="shared" si="156"/>
        <v>0.77787930209285128</v>
      </c>
    </row>
    <row r="527" spans="1:24">
      <c r="A527" s="33">
        <v>45380</v>
      </c>
      <c r="B527" s="38">
        <v>2.68</v>
      </c>
      <c r="C527" s="23">
        <f t="shared" si="143"/>
        <v>1.1320754716981227E-2</v>
      </c>
      <c r="D527" s="22">
        <f t="shared" si="144"/>
        <v>6.9177541721040597E-2</v>
      </c>
      <c r="E527" s="38">
        <v>2.85</v>
      </c>
      <c r="F527" s="38">
        <v>2.58</v>
      </c>
      <c r="G527" s="22">
        <f t="shared" si="145"/>
        <v>9.9447513812154706E-2</v>
      </c>
      <c r="H527" s="38">
        <v>2.68</v>
      </c>
      <c r="I527" s="38">
        <v>2.67</v>
      </c>
      <c r="J527" s="22">
        <f t="shared" si="146"/>
        <v>3.7383177570094323E-3</v>
      </c>
      <c r="K527" s="35">
        <v>775000</v>
      </c>
      <c r="L527" s="37">
        <f t="shared" si="147"/>
        <v>278880000</v>
      </c>
      <c r="M527">
        <f t="shared" si="148"/>
        <v>2077000.0000000002</v>
      </c>
      <c r="N527">
        <f t="shared" si="149"/>
        <v>243270000</v>
      </c>
      <c r="O527">
        <f t="shared" si="150"/>
        <v>3.1857606774365931E-3</v>
      </c>
      <c r="P527">
        <v>67005.11</v>
      </c>
      <c r="Q527" s="8">
        <v>0.216</v>
      </c>
      <c r="R527" s="37">
        <f t="shared" si="151"/>
        <v>7584390000</v>
      </c>
      <c r="S527" s="37">
        <f t="shared" si="152"/>
        <v>8524879999.999999</v>
      </c>
      <c r="T527" s="37">
        <f t="shared" si="153"/>
        <v>530289999.99999994</v>
      </c>
      <c r="U527" s="37">
        <f t="shared" si="154"/>
        <v>44510000</v>
      </c>
      <c r="V527" s="37">
        <f t="shared" si="155"/>
        <v>5899740000</v>
      </c>
      <c r="W527">
        <f t="shared" si="142"/>
        <v>5.450531881069439E-9</v>
      </c>
      <c r="X527">
        <f t="shared" si="156"/>
        <v>0.77787930209285128</v>
      </c>
    </row>
    <row r="528" spans="1:24">
      <c r="A528" s="33">
        <v>45379</v>
      </c>
      <c r="B528" s="38">
        <v>2.65</v>
      </c>
      <c r="C528" s="23">
        <f t="shared" si="143"/>
        <v>-2.2140221402214041E-2</v>
      </c>
      <c r="D528" s="22">
        <f t="shared" si="144"/>
        <v>6.9177541721040597E-2</v>
      </c>
      <c r="E528" s="38">
        <v>2.81</v>
      </c>
      <c r="F528" s="38">
        <v>2.61</v>
      </c>
      <c r="G528" s="22">
        <f t="shared" si="145"/>
        <v>7.3800738007380143E-2</v>
      </c>
      <c r="H528" s="38">
        <v>2.65</v>
      </c>
      <c r="I528" s="38">
        <v>2.64</v>
      </c>
      <c r="J528" s="22">
        <f t="shared" si="146"/>
        <v>3.7807183364838514E-3</v>
      </c>
      <c r="K528" s="35">
        <v>667000</v>
      </c>
      <c r="L528" s="37">
        <f t="shared" si="147"/>
        <v>278880000</v>
      </c>
      <c r="M528">
        <f t="shared" si="148"/>
        <v>1767550</v>
      </c>
      <c r="N528">
        <f t="shared" si="149"/>
        <v>243270000</v>
      </c>
      <c r="O528">
        <f t="shared" si="150"/>
        <v>2.7418095120647838E-3</v>
      </c>
      <c r="P528">
        <v>67142.12</v>
      </c>
      <c r="Q528" s="8">
        <v>0.216</v>
      </c>
      <c r="R528" s="37">
        <f t="shared" si="151"/>
        <v>7584390000</v>
      </c>
      <c r="S528" s="37">
        <f t="shared" si="152"/>
        <v>8524879999.999999</v>
      </c>
      <c r="T528" s="37">
        <f t="shared" si="153"/>
        <v>530289999.99999994</v>
      </c>
      <c r="U528" s="37">
        <f t="shared" si="154"/>
        <v>44510000</v>
      </c>
      <c r="V528" s="37">
        <f t="shared" si="155"/>
        <v>5899740000</v>
      </c>
      <c r="W528">
        <f t="shared" si="142"/>
        <v>1.2525937824793664E-8</v>
      </c>
      <c r="X528">
        <f t="shared" si="156"/>
        <v>0.77787930209285128</v>
      </c>
    </row>
    <row r="529" spans="1:24">
      <c r="A529" s="33">
        <v>45378</v>
      </c>
      <c r="B529" s="38">
        <v>2.71</v>
      </c>
      <c r="C529" s="23">
        <f t="shared" si="143"/>
        <v>-2.5179856115107858E-2</v>
      </c>
      <c r="D529" s="22">
        <f t="shared" si="144"/>
        <v>6.9177541721040597E-2</v>
      </c>
      <c r="E529" s="38">
        <v>2.79</v>
      </c>
      <c r="F529" s="38">
        <v>2.69</v>
      </c>
      <c r="G529" s="22">
        <f t="shared" si="145"/>
        <v>3.6496350364963535E-2</v>
      </c>
      <c r="H529" s="38">
        <v>2.73</v>
      </c>
      <c r="I529" s="38">
        <v>2.71</v>
      </c>
      <c r="J529" s="22">
        <f t="shared" si="146"/>
        <v>7.3529411764705951E-3</v>
      </c>
      <c r="K529" s="35">
        <v>548500</v>
      </c>
      <c r="L529" s="37">
        <f t="shared" si="147"/>
        <v>278880000</v>
      </c>
      <c r="M529">
        <f t="shared" si="148"/>
        <v>1486435</v>
      </c>
      <c r="N529">
        <f t="shared" si="149"/>
        <v>243270000</v>
      </c>
      <c r="O529">
        <f t="shared" si="150"/>
        <v>2.2546964278373823E-3</v>
      </c>
      <c r="P529">
        <v>66547.789999999994</v>
      </c>
      <c r="Q529" s="8">
        <v>0.216</v>
      </c>
      <c r="R529" s="37">
        <f t="shared" si="151"/>
        <v>7584390000</v>
      </c>
      <c r="S529" s="37">
        <f t="shared" si="152"/>
        <v>8524879999.999999</v>
      </c>
      <c r="T529" s="37">
        <f t="shared" si="153"/>
        <v>530289999.99999994</v>
      </c>
      <c r="U529" s="37">
        <f t="shared" si="154"/>
        <v>44510000</v>
      </c>
      <c r="V529" s="37">
        <f t="shared" si="155"/>
        <v>5899740000</v>
      </c>
      <c r="W529">
        <f t="shared" si="142"/>
        <v>1.6939762663761185E-8</v>
      </c>
      <c r="X529">
        <f t="shared" si="156"/>
        <v>0.77787930209285128</v>
      </c>
    </row>
    <row r="530" spans="1:24">
      <c r="A530" s="33">
        <v>45377</v>
      </c>
      <c r="B530" s="38">
        <v>2.78</v>
      </c>
      <c r="C530" s="23">
        <f t="shared" si="143"/>
        <v>-1.0676156583629982E-2</v>
      </c>
      <c r="D530" s="22">
        <f t="shared" si="144"/>
        <v>6.9177541721040597E-2</v>
      </c>
      <c r="E530" s="38">
        <v>2.89</v>
      </c>
      <c r="F530" s="38">
        <v>2.73</v>
      </c>
      <c r="G530" s="22">
        <f t="shared" si="145"/>
        <v>5.6939501779359483E-2</v>
      </c>
      <c r="H530" s="38">
        <v>2.8</v>
      </c>
      <c r="I530" s="38">
        <v>2.75</v>
      </c>
      <c r="J530" s="22">
        <f t="shared" si="146"/>
        <v>1.8018018018017955E-2</v>
      </c>
      <c r="K530" s="35">
        <v>227000</v>
      </c>
      <c r="L530" s="37">
        <f t="shared" si="147"/>
        <v>278880000</v>
      </c>
      <c r="M530">
        <f t="shared" si="148"/>
        <v>631060</v>
      </c>
      <c r="N530">
        <f t="shared" si="149"/>
        <v>243270000</v>
      </c>
      <c r="O530">
        <f t="shared" si="150"/>
        <v>9.3311957906852473E-4</v>
      </c>
      <c r="P530">
        <v>65906.28</v>
      </c>
      <c r="Q530" s="8">
        <v>0.216</v>
      </c>
      <c r="R530" s="37">
        <f t="shared" si="151"/>
        <v>7584390000</v>
      </c>
      <c r="S530" s="37">
        <f t="shared" si="152"/>
        <v>8524879999.999999</v>
      </c>
      <c r="T530" s="37">
        <f t="shared" si="153"/>
        <v>530289999.99999994</v>
      </c>
      <c r="U530" s="37">
        <f t="shared" si="154"/>
        <v>44510000</v>
      </c>
      <c r="V530" s="37">
        <f t="shared" si="155"/>
        <v>5899740000</v>
      </c>
      <c r="W530">
        <f t="shared" si="142"/>
        <v>1.6917815395730964E-8</v>
      </c>
      <c r="X530">
        <f t="shared" si="156"/>
        <v>0.77787930209285128</v>
      </c>
    </row>
    <row r="531" spans="1:24">
      <c r="A531" s="33">
        <v>45376</v>
      </c>
      <c r="B531" s="38">
        <v>2.81</v>
      </c>
      <c r="C531" s="23">
        <f t="shared" si="143"/>
        <v>0</v>
      </c>
      <c r="D531" s="22">
        <f t="shared" si="144"/>
        <v>6.9177541721040597E-2</v>
      </c>
      <c r="E531" s="38">
        <v>2.95</v>
      </c>
      <c r="F531" s="38">
        <v>2.73</v>
      </c>
      <c r="G531" s="22">
        <f t="shared" si="145"/>
        <v>7.7464788732394443E-2</v>
      </c>
      <c r="H531" s="38">
        <v>2.85</v>
      </c>
      <c r="I531" s="38">
        <v>2.8</v>
      </c>
      <c r="J531" s="22">
        <f t="shared" si="146"/>
        <v>1.7699115044247881E-2</v>
      </c>
      <c r="K531" s="35">
        <v>396500</v>
      </c>
      <c r="L531" s="37">
        <f t="shared" si="147"/>
        <v>278880000</v>
      </c>
      <c r="M531">
        <f t="shared" si="148"/>
        <v>1114165</v>
      </c>
      <c r="N531">
        <f t="shared" si="149"/>
        <v>243270000</v>
      </c>
      <c r="O531">
        <f t="shared" si="150"/>
        <v>1.6298762691659473E-3</v>
      </c>
      <c r="P531">
        <v>65525.65</v>
      </c>
      <c r="Q531" s="8">
        <v>0.216</v>
      </c>
      <c r="R531" s="37">
        <f t="shared" si="151"/>
        <v>7584390000</v>
      </c>
      <c r="S531" s="37">
        <f t="shared" si="152"/>
        <v>8524879999.999999</v>
      </c>
      <c r="T531" s="37">
        <f t="shared" si="153"/>
        <v>530289999.99999994</v>
      </c>
      <c r="U531" s="37">
        <f t="shared" si="154"/>
        <v>44510000</v>
      </c>
      <c r="V531" s="37">
        <f t="shared" si="155"/>
        <v>5899740000</v>
      </c>
      <c r="W531">
        <f t="shared" si="142"/>
        <v>0</v>
      </c>
      <c r="X531">
        <f t="shared" si="156"/>
        <v>0.77787930209285128</v>
      </c>
    </row>
    <row r="533" spans="1:24" ht="15" thickBot="1"/>
    <row r="534" spans="1:24" ht="16" thickBot="1">
      <c r="A534" s="184" t="s">
        <v>53</v>
      </c>
      <c r="B534" s="185"/>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6"/>
    </row>
    <row r="535" spans="1:24" ht="43.5">
      <c r="A535" s="16" t="s">
        <v>14</v>
      </c>
      <c r="B535" s="16" t="s">
        <v>15</v>
      </c>
      <c r="C535" s="17" t="s">
        <v>16</v>
      </c>
      <c r="D535" s="17" t="s">
        <v>17</v>
      </c>
      <c r="E535" s="18" t="s">
        <v>0</v>
      </c>
      <c r="F535" s="18" t="s">
        <v>13</v>
      </c>
      <c r="G535" s="17" t="s">
        <v>18</v>
      </c>
      <c r="H535" s="16" t="s">
        <v>12</v>
      </c>
      <c r="I535" s="18" t="s">
        <v>1</v>
      </c>
      <c r="J535" s="17" t="s">
        <v>19</v>
      </c>
      <c r="K535" s="16" t="s">
        <v>2</v>
      </c>
      <c r="L535" s="16" t="s">
        <v>52</v>
      </c>
      <c r="M535" s="7" t="s">
        <v>20</v>
      </c>
      <c r="N535" s="5" t="s">
        <v>22</v>
      </c>
      <c r="O535" s="7" t="s">
        <v>21</v>
      </c>
      <c r="P535" s="5" t="s">
        <v>5</v>
      </c>
      <c r="Q535" s="16" t="s">
        <v>6</v>
      </c>
      <c r="R535" s="16" t="s">
        <v>7</v>
      </c>
      <c r="S535" s="16" t="s">
        <v>29</v>
      </c>
      <c r="T535" s="16" t="s">
        <v>9</v>
      </c>
      <c r="U535" s="16" t="s">
        <v>10</v>
      </c>
      <c r="V535" s="16" t="s">
        <v>32</v>
      </c>
      <c r="W535" s="7" t="s">
        <v>73</v>
      </c>
      <c r="X535" s="7" t="s">
        <v>72</v>
      </c>
    </row>
    <row r="536" spans="1:24">
      <c r="A536" s="21">
        <v>45436</v>
      </c>
      <c r="B536" s="28">
        <v>11.05</v>
      </c>
      <c r="C536" s="23">
        <f t="shared" ref="C536:C575" si="157">IFERROR((B536-B537)/B537,0)</f>
        <v>-5.400540054005286E-3</v>
      </c>
      <c r="D536" s="22">
        <f>_xlfn.STDEV.S($C$536:$C$575)</f>
        <v>2.3171905268777052E-2</v>
      </c>
      <c r="E536" s="28">
        <v>11.37</v>
      </c>
      <c r="F536" s="28">
        <v>11</v>
      </c>
      <c r="G536" s="39">
        <f>(E536-F536)/(AVERAGE(E536,F536))</f>
        <v>3.3080017881090683E-2</v>
      </c>
      <c r="H536" s="28">
        <v>11.08</v>
      </c>
      <c r="I536" s="28">
        <v>11.04</v>
      </c>
      <c r="J536" s="39">
        <f>(H536-I536)/AVERAGE(H536,I536)</f>
        <v>3.6166365280290171E-3</v>
      </c>
      <c r="K536" s="25">
        <v>3169290</v>
      </c>
      <c r="L536" s="40">
        <f>561.09*1000000</f>
        <v>561090000</v>
      </c>
      <c r="M536" s="41">
        <f t="shared" ref="M536:M575" si="158">B536*K536</f>
        <v>35020654.5</v>
      </c>
      <c r="N536" s="24">
        <f>561.1*1000000</f>
        <v>561100000</v>
      </c>
      <c r="O536" s="41">
        <f>K536/N536</f>
        <v>5.6483514525040102E-3</v>
      </c>
      <c r="P536" s="24">
        <v>75983.039999999994</v>
      </c>
      <c r="Q536" s="42">
        <v>0.2157</v>
      </c>
      <c r="R536" s="26">
        <f>16067*1000000</f>
        <v>16067000000</v>
      </c>
      <c r="S536" s="26">
        <f>4788.24*1000000</f>
        <v>4788240000</v>
      </c>
      <c r="T536" s="26">
        <f>-94.22*10000000</f>
        <v>-942200000</v>
      </c>
      <c r="U536" s="26">
        <f>499.81*1000000</f>
        <v>499810000</v>
      </c>
      <c r="V536" s="26">
        <f>2712.82*1000000</f>
        <v>2712820000</v>
      </c>
      <c r="W536">
        <f t="shared" ref="W536:W575" si="159">IFERROR(ABS(C536)/M536,0)</f>
        <v>1.5421014059018474E-10</v>
      </c>
      <c r="X536">
        <f>V536/R536</f>
        <v>0.16884421485031431</v>
      </c>
    </row>
    <row r="537" spans="1:24">
      <c r="A537" s="21">
        <v>45435</v>
      </c>
      <c r="B537" s="28">
        <v>11.11</v>
      </c>
      <c r="C537" s="23">
        <f t="shared" si="157"/>
        <v>-4.4802867383513184E-3</v>
      </c>
      <c r="D537" s="22">
        <f t="shared" ref="D537:D575" si="160">_xlfn.STDEV.S($C$536:$C$575)</f>
        <v>2.3171905268777052E-2</v>
      </c>
      <c r="E537" s="28">
        <v>11.3</v>
      </c>
      <c r="F537" s="28">
        <v>11.03</v>
      </c>
      <c r="G537" s="39">
        <f t="shared" ref="G537:G575" si="161">(E537-F537)/(AVERAGE(E537,F537))</f>
        <v>2.4182713837886373E-2</v>
      </c>
      <c r="H537" s="28">
        <v>11.12</v>
      </c>
      <c r="I537" s="28">
        <v>11.07</v>
      </c>
      <c r="J537" s="39">
        <f t="shared" ref="J537:J575" si="162">(H537-I537)/AVERAGE(H537,I537)</f>
        <v>4.5065344749886382E-3</v>
      </c>
      <c r="K537" s="25">
        <v>1469241</v>
      </c>
      <c r="L537" s="40">
        <f t="shared" ref="L537:L575" si="163">561.09*1000000</f>
        <v>561090000</v>
      </c>
      <c r="M537" s="41">
        <f t="shared" si="158"/>
        <v>16323267.51</v>
      </c>
      <c r="N537" s="24">
        <f t="shared" ref="N537:N575" si="164">561.1*1000000</f>
        <v>561100000</v>
      </c>
      <c r="O537" s="41">
        <f t="shared" ref="O537:O575" si="165">K537/N537</f>
        <v>2.6185011584387808E-3</v>
      </c>
      <c r="P537" s="24">
        <v>75114.47</v>
      </c>
      <c r="Q537" s="42">
        <v>0.2157</v>
      </c>
      <c r="R537" s="26">
        <f t="shared" ref="R537:R575" si="166">16067*1000000</f>
        <v>16067000000</v>
      </c>
      <c r="S537" s="26">
        <f t="shared" ref="S537:S575" si="167">4788.24*1000000</f>
        <v>4788240000</v>
      </c>
      <c r="T537" s="26">
        <f t="shared" ref="T537:T575" si="168">-94.22*10000000</f>
        <v>-942200000</v>
      </c>
      <c r="U537" s="26">
        <f t="shared" ref="U537:U575" si="169">499.81*1000000</f>
        <v>499810000</v>
      </c>
      <c r="V537" s="26">
        <f t="shared" ref="V537:V575" si="170">2712.82*1000000</f>
        <v>2712820000</v>
      </c>
      <c r="W537">
        <f t="shared" si="159"/>
        <v>2.7447242015770396E-10</v>
      </c>
      <c r="X537">
        <f t="shared" ref="X537:X575" si="171">V537/R537</f>
        <v>0.16884421485031431</v>
      </c>
    </row>
    <row r="538" spans="1:24">
      <c r="A538" s="21">
        <v>45434</v>
      </c>
      <c r="B538" s="28">
        <v>11.16</v>
      </c>
      <c r="C538" s="23">
        <f t="shared" si="157"/>
        <v>-5.3475935828877445E-3</v>
      </c>
      <c r="D538" s="22">
        <f t="shared" si="160"/>
        <v>2.3171905268777052E-2</v>
      </c>
      <c r="E538" s="28">
        <v>11.38</v>
      </c>
      <c r="F538" s="28">
        <v>11.11</v>
      </c>
      <c r="G538" s="39">
        <f t="shared" si="161"/>
        <v>2.4010671409515457E-2</v>
      </c>
      <c r="H538" s="28">
        <v>11.15</v>
      </c>
      <c r="I538" s="28">
        <v>11.13</v>
      </c>
      <c r="J538" s="39">
        <f t="shared" si="162"/>
        <v>1.7953321364452041E-3</v>
      </c>
      <c r="K538" s="25">
        <v>2416108</v>
      </c>
      <c r="L538" s="40">
        <f t="shared" si="163"/>
        <v>561090000</v>
      </c>
      <c r="M538" s="41">
        <f t="shared" si="158"/>
        <v>26963765.280000001</v>
      </c>
      <c r="N538" s="24">
        <f t="shared" si="164"/>
        <v>561100000</v>
      </c>
      <c r="O538" s="41">
        <f t="shared" si="165"/>
        <v>4.3060203172340045E-3</v>
      </c>
      <c r="P538" s="24">
        <v>74956.67</v>
      </c>
      <c r="Q538" s="42">
        <v>0.2157</v>
      </c>
      <c r="R538" s="26">
        <f t="shared" si="166"/>
        <v>16067000000</v>
      </c>
      <c r="S538" s="26">
        <f t="shared" si="167"/>
        <v>4788240000</v>
      </c>
      <c r="T538" s="26">
        <f t="shared" si="168"/>
        <v>-942200000</v>
      </c>
      <c r="U538" s="26">
        <f t="shared" si="169"/>
        <v>499810000</v>
      </c>
      <c r="V538" s="26">
        <f t="shared" si="170"/>
        <v>2712820000</v>
      </c>
      <c r="W538">
        <f t="shared" si="159"/>
        <v>1.9832517926768365E-10</v>
      </c>
      <c r="X538">
        <f t="shared" si="171"/>
        <v>0.16884421485031431</v>
      </c>
    </row>
    <row r="539" spans="1:24">
      <c r="A539" s="21">
        <v>45433</v>
      </c>
      <c r="B539" s="28">
        <v>11.22</v>
      </c>
      <c r="C539" s="23">
        <f t="shared" si="157"/>
        <v>-1.0582010582010514E-2</v>
      </c>
      <c r="D539" s="22">
        <f t="shared" si="160"/>
        <v>2.3171905268777052E-2</v>
      </c>
      <c r="E539" s="28">
        <v>11.39</v>
      </c>
      <c r="F539" s="28">
        <v>11.16</v>
      </c>
      <c r="G539" s="39">
        <f t="shared" si="161"/>
        <v>2.0399113082039948E-2</v>
      </c>
      <c r="H539" s="28">
        <v>11.3</v>
      </c>
      <c r="I539" s="28">
        <v>11.2</v>
      </c>
      <c r="J539" s="39">
        <f t="shared" si="162"/>
        <v>8.8888888888890155E-3</v>
      </c>
      <c r="K539" s="25">
        <v>1119268</v>
      </c>
      <c r="L539" s="40">
        <f t="shared" si="163"/>
        <v>561090000</v>
      </c>
      <c r="M539" s="41">
        <f t="shared" si="158"/>
        <v>12558186.960000001</v>
      </c>
      <c r="N539" s="24">
        <f t="shared" si="164"/>
        <v>561100000</v>
      </c>
      <c r="O539" s="41">
        <f t="shared" si="165"/>
        <v>1.9947745499910891E-3</v>
      </c>
      <c r="P539" s="24">
        <v>75206.77</v>
      </c>
      <c r="Q539" s="42">
        <v>0.2157</v>
      </c>
      <c r="R539" s="26">
        <f t="shared" si="166"/>
        <v>16067000000</v>
      </c>
      <c r="S539" s="26">
        <f t="shared" si="167"/>
        <v>4788240000</v>
      </c>
      <c r="T539" s="26">
        <f t="shared" si="168"/>
        <v>-942200000</v>
      </c>
      <c r="U539" s="26">
        <f t="shared" si="169"/>
        <v>499810000</v>
      </c>
      <c r="V539" s="26">
        <f t="shared" si="170"/>
        <v>2712820000</v>
      </c>
      <c r="W539">
        <f t="shared" si="159"/>
        <v>8.4263840120520971E-10</v>
      </c>
      <c r="X539">
        <f t="shared" si="171"/>
        <v>0.16884421485031431</v>
      </c>
    </row>
    <row r="540" spans="1:24">
      <c r="A540" s="21">
        <v>45432</v>
      </c>
      <c r="B540" s="28">
        <v>11.34</v>
      </c>
      <c r="C540" s="23">
        <f t="shared" si="157"/>
        <v>2.4390243902438984E-2</v>
      </c>
      <c r="D540" s="22">
        <f t="shared" si="160"/>
        <v>2.3171905268777052E-2</v>
      </c>
      <c r="E540" s="28">
        <v>11.53</v>
      </c>
      <c r="F540" s="28">
        <v>11.06</v>
      </c>
      <c r="G540" s="39">
        <f t="shared" si="161"/>
        <v>4.1611332447985733E-2</v>
      </c>
      <c r="H540" s="28">
        <v>11.3</v>
      </c>
      <c r="I540" s="28">
        <v>11.29</v>
      </c>
      <c r="J540" s="39">
        <f t="shared" si="162"/>
        <v>8.8534749889345398E-4</v>
      </c>
      <c r="K540" s="25">
        <v>5123757</v>
      </c>
      <c r="L540" s="40">
        <f t="shared" si="163"/>
        <v>561090000</v>
      </c>
      <c r="M540" s="41">
        <f t="shared" si="158"/>
        <v>58103404.380000003</v>
      </c>
      <c r="N540" s="24">
        <f t="shared" si="164"/>
        <v>561100000</v>
      </c>
      <c r="O540" s="41">
        <f t="shared" si="165"/>
        <v>9.1316289431473893E-3</v>
      </c>
      <c r="P540" s="24">
        <v>75084</v>
      </c>
      <c r="Q540" s="42">
        <v>0.2157</v>
      </c>
      <c r="R540" s="26">
        <f t="shared" si="166"/>
        <v>16067000000</v>
      </c>
      <c r="S540" s="26">
        <f t="shared" si="167"/>
        <v>4788240000</v>
      </c>
      <c r="T540" s="26">
        <f t="shared" si="168"/>
        <v>-942200000</v>
      </c>
      <c r="U540" s="26">
        <f t="shared" si="169"/>
        <v>499810000</v>
      </c>
      <c r="V540" s="26">
        <f t="shared" si="170"/>
        <v>2712820000</v>
      </c>
      <c r="W540">
        <f t="shared" si="159"/>
        <v>4.197730608507071E-10</v>
      </c>
      <c r="X540">
        <f t="shared" si="171"/>
        <v>0.16884421485031431</v>
      </c>
    </row>
    <row r="541" spans="1:24">
      <c r="A541" s="21">
        <v>45429</v>
      </c>
      <c r="B541" s="28">
        <v>11.07</v>
      </c>
      <c r="C541" s="23">
        <f t="shared" si="157"/>
        <v>-2.466960352422902E-2</v>
      </c>
      <c r="D541" s="22">
        <f t="shared" si="160"/>
        <v>2.3171905268777052E-2</v>
      </c>
      <c r="E541" s="28">
        <v>11.4</v>
      </c>
      <c r="F541" s="28">
        <v>11.03</v>
      </c>
      <c r="G541" s="39">
        <f t="shared" si="161"/>
        <v>3.2991529201961745E-2</v>
      </c>
      <c r="H541" s="28">
        <v>11.12</v>
      </c>
      <c r="I541" s="28">
        <v>11.1</v>
      </c>
      <c r="J541" s="39">
        <f t="shared" si="162"/>
        <v>1.8001800180017619E-3</v>
      </c>
      <c r="K541" s="25">
        <v>8057122</v>
      </c>
      <c r="L541" s="40">
        <f t="shared" si="163"/>
        <v>561090000</v>
      </c>
      <c r="M541" s="41">
        <f t="shared" si="158"/>
        <v>89192340.540000007</v>
      </c>
      <c r="N541" s="24">
        <f t="shared" si="164"/>
        <v>561100000</v>
      </c>
      <c r="O541" s="41">
        <f t="shared" si="165"/>
        <v>1.4359511673498485E-2</v>
      </c>
      <c r="P541" s="24">
        <v>75342.350000000006</v>
      </c>
      <c r="Q541" s="42">
        <v>0.2157</v>
      </c>
      <c r="R541" s="26">
        <f t="shared" si="166"/>
        <v>16067000000</v>
      </c>
      <c r="S541" s="26">
        <f t="shared" si="167"/>
        <v>4788240000</v>
      </c>
      <c r="T541" s="26">
        <f t="shared" si="168"/>
        <v>-942200000</v>
      </c>
      <c r="U541" s="26">
        <f t="shared" si="169"/>
        <v>499810000</v>
      </c>
      <c r="V541" s="26">
        <f t="shared" si="170"/>
        <v>2712820000</v>
      </c>
      <c r="W541">
        <f t="shared" si="159"/>
        <v>2.7658881216560816E-10</v>
      </c>
      <c r="X541">
        <f t="shared" si="171"/>
        <v>0.16884421485031431</v>
      </c>
    </row>
    <row r="542" spans="1:24">
      <c r="A542" s="21">
        <v>45428</v>
      </c>
      <c r="B542" s="28">
        <v>11.35</v>
      </c>
      <c r="C542" s="23">
        <f t="shared" si="157"/>
        <v>-1.3900955690703749E-2</v>
      </c>
      <c r="D542" s="22">
        <f t="shared" si="160"/>
        <v>2.3171905268777052E-2</v>
      </c>
      <c r="E542" s="28">
        <v>11.7</v>
      </c>
      <c r="F542" s="28">
        <v>11.25</v>
      </c>
      <c r="G542" s="39">
        <f t="shared" si="161"/>
        <v>3.9215686274509741E-2</v>
      </c>
      <c r="H542" s="28">
        <v>11.38</v>
      </c>
      <c r="I542" s="28">
        <v>11.35</v>
      </c>
      <c r="J542" s="39">
        <f t="shared" si="162"/>
        <v>2.6396832380115387E-3</v>
      </c>
      <c r="K542" s="25">
        <v>2072183</v>
      </c>
      <c r="L542" s="40">
        <f t="shared" si="163"/>
        <v>561090000</v>
      </c>
      <c r="M542" s="41">
        <f t="shared" si="158"/>
        <v>23519277.050000001</v>
      </c>
      <c r="N542" s="24">
        <f t="shared" si="164"/>
        <v>561100000</v>
      </c>
      <c r="O542" s="41">
        <f t="shared" si="165"/>
        <v>3.6930725360898235E-3</v>
      </c>
      <c r="P542" s="24">
        <v>74930.7</v>
      </c>
      <c r="Q542" s="42">
        <v>0.2157</v>
      </c>
      <c r="R542" s="26">
        <f t="shared" si="166"/>
        <v>16067000000</v>
      </c>
      <c r="S542" s="26">
        <f t="shared" si="167"/>
        <v>4788240000</v>
      </c>
      <c r="T542" s="26">
        <f t="shared" si="168"/>
        <v>-942200000</v>
      </c>
      <c r="U542" s="26">
        <f t="shared" si="169"/>
        <v>499810000</v>
      </c>
      <c r="V542" s="26">
        <f t="shared" si="170"/>
        <v>2712820000</v>
      </c>
      <c r="W542">
        <f t="shared" si="159"/>
        <v>5.9104519501817547E-10</v>
      </c>
      <c r="X542">
        <f t="shared" si="171"/>
        <v>0.16884421485031431</v>
      </c>
    </row>
    <row r="543" spans="1:24">
      <c r="A543" s="21">
        <v>45427</v>
      </c>
      <c r="B543" s="28">
        <v>11.51</v>
      </c>
      <c r="C543" s="23">
        <f t="shared" si="157"/>
        <v>-1.7079419299743898E-2</v>
      </c>
      <c r="D543" s="22">
        <f t="shared" si="160"/>
        <v>2.3171905268777052E-2</v>
      </c>
      <c r="E543" s="28">
        <v>11.81</v>
      </c>
      <c r="F543" s="28">
        <v>11.42</v>
      </c>
      <c r="G543" s="39">
        <f t="shared" si="161"/>
        <v>3.3577270770555362E-2</v>
      </c>
      <c r="H543" s="28">
        <v>11.52</v>
      </c>
      <c r="I543" s="28">
        <v>11.51</v>
      </c>
      <c r="J543" s="39">
        <f t="shared" si="162"/>
        <v>8.684324793747101E-4</v>
      </c>
      <c r="K543" s="25">
        <v>3840982</v>
      </c>
      <c r="L543" s="40">
        <f t="shared" si="163"/>
        <v>561090000</v>
      </c>
      <c r="M543" s="41">
        <f t="shared" si="158"/>
        <v>44209702.82</v>
      </c>
      <c r="N543" s="24">
        <f t="shared" si="164"/>
        <v>561100000</v>
      </c>
      <c r="O543" s="41">
        <f t="shared" si="165"/>
        <v>6.8454500089110675E-3</v>
      </c>
      <c r="P543" s="24">
        <v>74663.98</v>
      </c>
      <c r="Q543" s="42">
        <v>0.2157</v>
      </c>
      <c r="R543" s="26">
        <f t="shared" si="166"/>
        <v>16067000000</v>
      </c>
      <c r="S543" s="26">
        <f t="shared" si="167"/>
        <v>4788240000</v>
      </c>
      <c r="T543" s="26">
        <f t="shared" si="168"/>
        <v>-942200000</v>
      </c>
      <c r="U543" s="26">
        <f t="shared" si="169"/>
        <v>499810000</v>
      </c>
      <c r="V543" s="26">
        <f t="shared" si="170"/>
        <v>2712820000</v>
      </c>
      <c r="W543">
        <f t="shared" si="159"/>
        <v>3.8632739444738703E-10</v>
      </c>
      <c r="X543">
        <f t="shared" si="171"/>
        <v>0.16884421485031431</v>
      </c>
    </row>
    <row r="544" spans="1:24">
      <c r="A544" s="21">
        <v>45426</v>
      </c>
      <c r="B544" s="28">
        <v>11.71</v>
      </c>
      <c r="C544" s="23">
        <f t="shared" si="157"/>
        <v>-3.4042553191488637E-3</v>
      </c>
      <c r="D544" s="22">
        <f t="shared" si="160"/>
        <v>2.3171905268777052E-2</v>
      </c>
      <c r="E544" s="28">
        <v>12.08</v>
      </c>
      <c r="F544" s="28">
        <v>11.6</v>
      </c>
      <c r="G544" s="39">
        <f t="shared" si="161"/>
        <v>4.0540540540540577E-2</v>
      </c>
      <c r="H544" s="28">
        <v>11.75</v>
      </c>
      <c r="I544" s="28">
        <v>11.71</v>
      </c>
      <c r="J544" s="39">
        <f t="shared" si="162"/>
        <v>3.4100596760442579E-3</v>
      </c>
      <c r="K544" s="25">
        <v>15848960</v>
      </c>
      <c r="L544" s="40">
        <f t="shared" si="163"/>
        <v>561090000</v>
      </c>
      <c r="M544" s="41">
        <f t="shared" si="158"/>
        <v>185591321.60000002</v>
      </c>
      <c r="N544" s="24">
        <f t="shared" si="164"/>
        <v>561100000</v>
      </c>
      <c r="O544" s="41">
        <f t="shared" si="165"/>
        <v>2.8246230618428087E-2</v>
      </c>
      <c r="P544" s="24">
        <v>74531.19</v>
      </c>
      <c r="Q544" s="42">
        <v>0.21590000000000001</v>
      </c>
      <c r="R544" s="26">
        <f t="shared" si="166"/>
        <v>16067000000</v>
      </c>
      <c r="S544" s="26">
        <f t="shared" si="167"/>
        <v>4788240000</v>
      </c>
      <c r="T544" s="26">
        <f t="shared" si="168"/>
        <v>-942200000</v>
      </c>
      <c r="U544" s="26">
        <f t="shared" si="169"/>
        <v>499810000</v>
      </c>
      <c r="V544" s="26">
        <f t="shared" si="170"/>
        <v>2712820000</v>
      </c>
      <c r="W544">
        <f t="shared" si="159"/>
        <v>1.8342750565061244E-11</v>
      </c>
      <c r="X544">
        <f t="shared" si="171"/>
        <v>0.16884421485031431</v>
      </c>
    </row>
    <row r="545" spans="1:24">
      <c r="A545" s="21">
        <v>45425</v>
      </c>
      <c r="B545" s="28">
        <v>11.75</v>
      </c>
      <c r="C545" s="23">
        <f t="shared" si="157"/>
        <v>3.3421284080914757E-2</v>
      </c>
      <c r="D545" s="22">
        <f t="shared" si="160"/>
        <v>2.3171905268777052E-2</v>
      </c>
      <c r="E545" s="28">
        <v>11.84</v>
      </c>
      <c r="F545" s="28">
        <v>11.2</v>
      </c>
      <c r="G545" s="39">
        <f t="shared" si="161"/>
        <v>5.5555555555555608E-2</v>
      </c>
      <c r="H545" s="28">
        <v>11.78</v>
      </c>
      <c r="I545" s="28">
        <v>11.75</v>
      </c>
      <c r="J545" s="39">
        <f t="shared" si="162"/>
        <v>2.5499362515936557E-3</v>
      </c>
      <c r="K545" s="25">
        <v>12890553</v>
      </c>
      <c r="L545" s="40">
        <f t="shared" si="163"/>
        <v>561090000</v>
      </c>
      <c r="M545" s="41">
        <f t="shared" si="158"/>
        <v>151463997.75</v>
      </c>
      <c r="N545" s="24">
        <f t="shared" si="164"/>
        <v>561100000</v>
      </c>
      <c r="O545" s="41">
        <f t="shared" si="165"/>
        <v>2.2973717697380148E-2</v>
      </c>
      <c r="P545" s="24">
        <v>73799.11</v>
      </c>
      <c r="Q545" s="42">
        <v>0.21590000000000001</v>
      </c>
      <c r="R545" s="26">
        <f t="shared" si="166"/>
        <v>16067000000</v>
      </c>
      <c r="S545" s="26">
        <f t="shared" si="167"/>
        <v>4788240000</v>
      </c>
      <c r="T545" s="26">
        <f t="shared" si="168"/>
        <v>-942200000</v>
      </c>
      <c r="U545" s="26">
        <f t="shared" si="169"/>
        <v>499810000</v>
      </c>
      <c r="V545" s="26">
        <f t="shared" si="170"/>
        <v>2712820000</v>
      </c>
      <c r="W545">
        <f t="shared" si="159"/>
        <v>2.2065497132908441E-10</v>
      </c>
      <c r="X545">
        <f t="shared" si="171"/>
        <v>0.16884421485031431</v>
      </c>
    </row>
    <row r="546" spans="1:24">
      <c r="A546" s="21">
        <v>45422</v>
      </c>
      <c r="B546" s="28">
        <v>11.37</v>
      </c>
      <c r="C546" s="23">
        <f t="shared" si="157"/>
        <v>1.0666666666666597E-2</v>
      </c>
      <c r="D546" s="22">
        <f t="shared" si="160"/>
        <v>2.3171905268777052E-2</v>
      </c>
      <c r="E546" s="28">
        <v>11.7</v>
      </c>
      <c r="F546" s="28">
        <v>11.15</v>
      </c>
      <c r="G546" s="39">
        <f t="shared" si="161"/>
        <v>4.8140043763676053E-2</v>
      </c>
      <c r="H546" s="28">
        <v>11.32</v>
      </c>
      <c r="I546" s="28">
        <v>11.28</v>
      </c>
      <c r="J546" s="39">
        <f t="shared" si="162"/>
        <v>3.539823008849639E-3</v>
      </c>
      <c r="K546" s="25">
        <v>5987872</v>
      </c>
      <c r="L546" s="40">
        <f t="shared" si="163"/>
        <v>561090000</v>
      </c>
      <c r="M546" s="41">
        <f t="shared" si="158"/>
        <v>68082104.640000001</v>
      </c>
      <c r="N546" s="24">
        <f t="shared" si="164"/>
        <v>561100000</v>
      </c>
      <c r="O546" s="41">
        <f t="shared" si="165"/>
        <v>1.0671666369631082E-2</v>
      </c>
      <c r="P546" s="24">
        <v>73085.5</v>
      </c>
      <c r="Q546" s="42">
        <v>0.21590000000000001</v>
      </c>
      <c r="R546" s="26">
        <f t="shared" si="166"/>
        <v>16067000000</v>
      </c>
      <c r="S546" s="26">
        <f t="shared" si="167"/>
        <v>4788240000</v>
      </c>
      <c r="T546" s="26">
        <f t="shared" si="168"/>
        <v>-942200000</v>
      </c>
      <c r="U546" s="26">
        <f t="shared" si="169"/>
        <v>499810000</v>
      </c>
      <c r="V546" s="26">
        <f t="shared" si="170"/>
        <v>2712820000</v>
      </c>
      <c r="W546">
        <f t="shared" si="159"/>
        <v>1.5667357410686822E-10</v>
      </c>
      <c r="X546">
        <f t="shared" si="171"/>
        <v>0.16884421485031431</v>
      </c>
    </row>
    <row r="547" spans="1:24">
      <c r="A547" s="21">
        <v>45421</v>
      </c>
      <c r="B547" s="28">
        <v>11.25</v>
      </c>
      <c r="C547" s="23">
        <f t="shared" si="157"/>
        <v>-1.7746228926352773E-3</v>
      </c>
      <c r="D547" s="22">
        <f t="shared" si="160"/>
        <v>2.3171905268777052E-2</v>
      </c>
      <c r="E547" s="28">
        <v>11.42</v>
      </c>
      <c r="F547" s="28">
        <v>11.11</v>
      </c>
      <c r="G547" s="39">
        <f t="shared" si="161"/>
        <v>2.7518863737239278E-2</v>
      </c>
      <c r="H547" s="28">
        <v>11.26</v>
      </c>
      <c r="I547" s="28">
        <v>11.25</v>
      </c>
      <c r="J547" s="39">
        <f t="shared" si="162"/>
        <v>8.884940026654631E-4</v>
      </c>
      <c r="K547" s="25">
        <v>2793221</v>
      </c>
      <c r="L547" s="40">
        <f t="shared" si="163"/>
        <v>561090000</v>
      </c>
      <c r="M547" s="41">
        <f t="shared" si="158"/>
        <v>31423736.25</v>
      </c>
      <c r="N547" s="24">
        <f t="shared" si="164"/>
        <v>561100000</v>
      </c>
      <c r="O547" s="41">
        <f t="shared" si="165"/>
        <v>4.9781162003207985E-3</v>
      </c>
      <c r="P547" s="24">
        <v>72658.05</v>
      </c>
      <c r="Q547" s="42">
        <v>0.21590000000000001</v>
      </c>
      <c r="R547" s="26">
        <f t="shared" si="166"/>
        <v>16067000000</v>
      </c>
      <c r="S547" s="26">
        <f t="shared" si="167"/>
        <v>4788240000</v>
      </c>
      <c r="T547" s="26">
        <f t="shared" si="168"/>
        <v>-942200000</v>
      </c>
      <c r="U547" s="26">
        <f t="shared" si="169"/>
        <v>499810000</v>
      </c>
      <c r="V547" s="26">
        <f t="shared" si="170"/>
        <v>2712820000</v>
      </c>
      <c r="W547">
        <f t="shared" si="159"/>
        <v>5.6473962183134013E-11</v>
      </c>
      <c r="X547">
        <f t="shared" si="171"/>
        <v>0.16884421485031431</v>
      </c>
    </row>
    <row r="548" spans="1:24">
      <c r="A548" s="21">
        <v>45420</v>
      </c>
      <c r="B548" s="28">
        <v>11.27</v>
      </c>
      <c r="C548" s="23">
        <f t="shared" si="157"/>
        <v>2.6411657559198463E-2</v>
      </c>
      <c r="D548" s="22">
        <f t="shared" si="160"/>
        <v>2.3171905268777052E-2</v>
      </c>
      <c r="E548" s="28">
        <v>11.49</v>
      </c>
      <c r="F548" s="28">
        <v>10.92</v>
      </c>
      <c r="G548" s="39">
        <f t="shared" si="161"/>
        <v>5.0870147255689446E-2</v>
      </c>
      <c r="H548" s="28">
        <v>11.28</v>
      </c>
      <c r="I548" s="28">
        <v>11.27</v>
      </c>
      <c r="J548" s="39">
        <f t="shared" si="162"/>
        <v>8.8691796008867304E-4</v>
      </c>
      <c r="K548" s="25">
        <v>7841584</v>
      </c>
      <c r="L548" s="40">
        <f t="shared" si="163"/>
        <v>561090000</v>
      </c>
      <c r="M548" s="41">
        <f t="shared" si="158"/>
        <v>88374651.679999992</v>
      </c>
      <c r="N548" s="24">
        <f t="shared" si="164"/>
        <v>561100000</v>
      </c>
      <c r="O548" s="41">
        <f t="shared" si="165"/>
        <v>1.3975376938157192E-2</v>
      </c>
      <c r="P548" s="24">
        <v>72601.820000000007</v>
      </c>
      <c r="Q548" s="42">
        <v>0.21590000000000001</v>
      </c>
      <c r="R548" s="26">
        <f t="shared" si="166"/>
        <v>16067000000</v>
      </c>
      <c r="S548" s="26">
        <f t="shared" si="167"/>
        <v>4788240000</v>
      </c>
      <c r="T548" s="26">
        <f t="shared" si="168"/>
        <v>-942200000</v>
      </c>
      <c r="U548" s="26">
        <f t="shared" si="169"/>
        <v>499810000</v>
      </c>
      <c r="V548" s="26">
        <f t="shared" si="170"/>
        <v>2712820000</v>
      </c>
      <c r="W548">
        <f t="shared" si="159"/>
        <v>2.9886010362828587E-10</v>
      </c>
      <c r="X548">
        <f t="shared" si="171"/>
        <v>0.16884421485031431</v>
      </c>
    </row>
    <row r="549" spans="1:24">
      <c r="A549" s="21">
        <v>45419</v>
      </c>
      <c r="B549" s="28">
        <v>10.98</v>
      </c>
      <c r="C549" s="23">
        <f t="shared" si="157"/>
        <v>4.5745654162855183E-3</v>
      </c>
      <c r="D549" s="22">
        <f t="shared" si="160"/>
        <v>2.3171905268777052E-2</v>
      </c>
      <c r="E549" s="28">
        <v>11.22</v>
      </c>
      <c r="F549" s="28">
        <v>10.9</v>
      </c>
      <c r="G549" s="39">
        <f t="shared" si="161"/>
        <v>2.8933092224231488E-2</v>
      </c>
      <c r="H549" s="28">
        <v>10.95</v>
      </c>
      <c r="I549" s="28">
        <v>10.94</v>
      </c>
      <c r="J549" s="39">
        <f t="shared" si="162"/>
        <v>9.1365920511647203E-4</v>
      </c>
      <c r="K549" s="25">
        <v>2813096</v>
      </c>
      <c r="L549" s="40">
        <f t="shared" si="163"/>
        <v>561090000</v>
      </c>
      <c r="M549" s="41">
        <f t="shared" si="158"/>
        <v>30887794.080000002</v>
      </c>
      <c r="N549" s="24">
        <f t="shared" si="164"/>
        <v>561100000</v>
      </c>
      <c r="O549" s="41">
        <f t="shared" si="165"/>
        <v>5.0135376938157195E-3</v>
      </c>
      <c r="P549" s="24">
        <v>72761.2</v>
      </c>
      <c r="Q549" s="42">
        <v>0.21590000000000001</v>
      </c>
      <c r="R549" s="26">
        <f t="shared" si="166"/>
        <v>16067000000</v>
      </c>
      <c r="S549" s="26">
        <f t="shared" si="167"/>
        <v>4788240000</v>
      </c>
      <c r="T549" s="26">
        <f t="shared" si="168"/>
        <v>-942200000</v>
      </c>
      <c r="U549" s="26">
        <f t="shared" si="169"/>
        <v>499810000</v>
      </c>
      <c r="V549" s="26">
        <f t="shared" si="170"/>
        <v>2712820000</v>
      </c>
      <c r="W549">
        <f t="shared" si="159"/>
        <v>1.4810269080521912E-10</v>
      </c>
      <c r="X549">
        <f t="shared" si="171"/>
        <v>0.16884421485031431</v>
      </c>
    </row>
    <row r="550" spans="1:24">
      <c r="A550" s="21">
        <v>45418</v>
      </c>
      <c r="B550" s="28">
        <v>10.93</v>
      </c>
      <c r="C550" s="23">
        <f t="shared" si="157"/>
        <v>-5.4595086442220655E-3</v>
      </c>
      <c r="D550" s="22">
        <f t="shared" si="160"/>
        <v>2.3171905268777052E-2</v>
      </c>
      <c r="E550" s="28">
        <v>11.11</v>
      </c>
      <c r="F550" s="28">
        <v>10.87</v>
      </c>
      <c r="G550" s="39">
        <f t="shared" si="161"/>
        <v>2.1838034576888102E-2</v>
      </c>
      <c r="H550" s="28">
        <v>10.95</v>
      </c>
      <c r="I550" s="28">
        <v>10.94</v>
      </c>
      <c r="J550" s="39">
        <f t="shared" si="162"/>
        <v>9.1365920511647203E-4</v>
      </c>
      <c r="K550" s="25">
        <v>2745422</v>
      </c>
      <c r="L550" s="40">
        <f t="shared" si="163"/>
        <v>561090000</v>
      </c>
      <c r="M550" s="41">
        <f t="shared" si="158"/>
        <v>30007462.460000001</v>
      </c>
      <c r="N550" s="24">
        <f t="shared" si="164"/>
        <v>561100000</v>
      </c>
      <c r="O550" s="41">
        <f t="shared" si="165"/>
        <v>4.8929281767955803E-3</v>
      </c>
      <c r="P550" s="24">
        <v>72764.240000000005</v>
      </c>
      <c r="Q550" s="42">
        <v>0.21590000000000001</v>
      </c>
      <c r="R550" s="26">
        <f t="shared" si="166"/>
        <v>16067000000</v>
      </c>
      <c r="S550" s="26">
        <f t="shared" si="167"/>
        <v>4788240000</v>
      </c>
      <c r="T550" s="26">
        <f t="shared" si="168"/>
        <v>-942200000</v>
      </c>
      <c r="U550" s="26">
        <f t="shared" si="169"/>
        <v>499810000</v>
      </c>
      <c r="V550" s="26">
        <f t="shared" si="170"/>
        <v>2712820000</v>
      </c>
      <c r="W550">
        <f t="shared" si="159"/>
        <v>1.8193836454847191E-10</v>
      </c>
      <c r="X550">
        <f t="shared" si="171"/>
        <v>0.16884421485031431</v>
      </c>
    </row>
    <row r="551" spans="1:24">
      <c r="A551" s="21">
        <v>45415</v>
      </c>
      <c r="B551" s="28">
        <v>10.99</v>
      </c>
      <c r="C551" s="23">
        <f t="shared" si="157"/>
        <v>1.0110294117647006E-2</v>
      </c>
      <c r="D551" s="22">
        <f t="shared" si="160"/>
        <v>2.3171905268777052E-2</v>
      </c>
      <c r="E551" s="28">
        <v>11.28</v>
      </c>
      <c r="F551" s="28">
        <v>10.81</v>
      </c>
      <c r="G551" s="39">
        <f t="shared" si="161"/>
        <v>4.2553191489361597E-2</v>
      </c>
      <c r="H551" s="28">
        <v>10.99</v>
      </c>
      <c r="I551" s="28">
        <v>10.95</v>
      </c>
      <c r="J551" s="39">
        <f t="shared" si="162"/>
        <v>3.646308113035636E-3</v>
      </c>
      <c r="K551" s="25">
        <v>4872965</v>
      </c>
      <c r="L551" s="40">
        <f t="shared" si="163"/>
        <v>561090000</v>
      </c>
      <c r="M551" s="41">
        <f t="shared" si="158"/>
        <v>53553885.350000001</v>
      </c>
      <c r="N551" s="24">
        <f t="shared" si="164"/>
        <v>561100000</v>
      </c>
      <c r="O551" s="41">
        <f t="shared" si="165"/>
        <v>8.6846640527535202E-3</v>
      </c>
      <c r="P551" s="24">
        <v>71902.09</v>
      </c>
      <c r="Q551" s="42">
        <v>0.21590000000000001</v>
      </c>
      <c r="R551" s="26">
        <f t="shared" si="166"/>
        <v>16067000000</v>
      </c>
      <c r="S551" s="26">
        <f t="shared" si="167"/>
        <v>4788240000</v>
      </c>
      <c r="T551" s="26">
        <f t="shared" si="168"/>
        <v>-942200000</v>
      </c>
      <c r="U551" s="26">
        <f t="shared" si="169"/>
        <v>499810000</v>
      </c>
      <c r="V551" s="26">
        <f t="shared" si="170"/>
        <v>2712820000</v>
      </c>
      <c r="W551">
        <f t="shared" si="159"/>
        <v>1.8878731303193868E-10</v>
      </c>
      <c r="X551">
        <f t="shared" si="171"/>
        <v>0.16884421485031431</v>
      </c>
    </row>
    <row r="552" spans="1:24">
      <c r="A552" s="21">
        <v>45414</v>
      </c>
      <c r="B552" s="28">
        <v>10.88</v>
      </c>
      <c r="C552" s="23">
        <f t="shared" si="157"/>
        <v>7.4074074074074138E-3</v>
      </c>
      <c r="D552" s="22">
        <f t="shared" si="160"/>
        <v>2.3171905268777052E-2</v>
      </c>
      <c r="E552" s="28">
        <v>11.04</v>
      </c>
      <c r="F552" s="28">
        <v>10.7</v>
      </c>
      <c r="G552" s="39">
        <f t="shared" si="161"/>
        <v>3.1278748850045987E-2</v>
      </c>
      <c r="H552" s="28">
        <v>10.9</v>
      </c>
      <c r="I552" s="28">
        <v>10.83</v>
      </c>
      <c r="J552" s="39">
        <f t="shared" si="162"/>
        <v>6.4427059364933533E-3</v>
      </c>
      <c r="K552" s="25">
        <v>2292372</v>
      </c>
      <c r="L552" s="40">
        <f t="shared" si="163"/>
        <v>561090000</v>
      </c>
      <c r="M552" s="41">
        <f t="shared" si="158"/>
        <v>24941007.360000003</v>
      </c>
      <c r="N552" s="24">
        <f t="shared" si="164"/>
        <v>561100000</v>
      </c>
      <c r="O552" s="41">
        <f t="shared" si="165"/>
        <v>4.085496346462306E-3</v>
      </c>
      <c r="P552" s="24">
        <v>70657.64</v>
      </c>
      <c r="Q552" s="42">
        <v>0.21590000000000001</v>
      </c>
      <c r="R552" s="26">
        <f t="shared" si="166"/>
        <v>16067000000</v>
      </c>
      <c r="S552" s="26">
        <f t="shared" si="167"/>
        <v>4788240000</v>
      </c>
      <c r="T552" s="26">
        <f t="shared" si="168"/>
        <v>-942200000</v>
      </c>
      <c r="U552" s="26">
        <f t="shared" si="169"/>
        <v>499810000</v>
      </c>
      <c r="V552" s="26">
        <f t="shared" si="170"/>
        <v>2712820000</v>
      </c>
      <c r="W552">
        <f t="shared" si="159"/>
        <v>2.9699712206842525E-10</v>
      </c>
      <c r="X552">
        <f t="shared" si="171"/>
        <v>0.16884421485031431</v>
      </c>
    </row>
    <row r="553" spans="1:24">
      <c r="A553" s="21">
        <v>45412</v>
      </c>
      <c r="B553" s="28">
        <v>10.8</v>
      </c>
      <c r="C553" s="23">
        <f t="shared" si="157"/>
        <v>-3.5714285714285587E-2</v>
      </c>
      <c r="D553" s="22">
        <f t="shared" si="160"/>
        <v>2.3171905268777052E-2</v>
      </c>
      <c r="E553" s="28">
        <v>11.35</v>
      </c>
      <c r="F553" s="28">
        <v>10.75</v>
      </c>
      <c r="G553" s="39">
        <f t="shared" si="161"/>
        <v>5.4298642533936618E-2</v>
      </c>
      <c r="H553" s="28">
        <v>10.78</v>
      </c>
      <c r="I553" s="28">
        <v>10.75</v>
      </c>
      <c r="J553" s="39">
        <f t="shared" si="162"/>
        <v>2.7868091035763453E-3</v>
      </c>
      <c r="K553" s="25">
        <v>4599316</v>
      </c>
      <c r="L553" s="40">
        <f t="shared" si="163"/>
        <v>561090000</v>
      </c>
      <c r="M553" s="41">
        <f t="shared" si="158"/>
        <v>49672612.800000004</v>
      </c>
      <c r="N553" s="24">
        <f t="shared" si="164"/>
        <v>561100000</v>
      </c>
      <c r="O553" s="41">
        <f t="shared" si="165"/>
        <v>8.1969631081803603E-3</v>
      </c>
      <c r="P553" s="24">
        <v>71102.55</v>
      </c>
      <c r="Q553" s="42">
        <v>0.21590000000000001</v>
      </c>
      <c r="R553" s="26">
        <f t="shared" si="166"/>
        <v>16067000000</v>
      </c>
      <c r="S553" s="26">
        <f t="shared" si="167"/>
        <v>4788240000</v>
      </c>
      <c r="T553" s="26">
        <f t="shared" si="168"/>
        <v>-942200000</v>
      </c>
      <c r="U553" s="26">
        <f t="shared" si="169"/>
        <v>499810000</v>
      </c>
      <c r="V553" s="26">
        <f t="shared" si="170"/>
        <v>2712820000</v>
      </c>
      <c r="W553">
        <f t="shared" si="159"/>
        <v>7.1899349965914389E-10</v>
      </c>
      <c r="X553">
        <f t="shared" si="171"/>
        <v>0.16884421485031431</v>
      </c>
    </row>
    <row r="554" spans="1:24">
      <c r="A554" s="21">
        <v>45411</v>
      </c>
      <c r="B554" s="28">
        <v>11.2</v>
      </c>
      <c r="C554" s="23">
        <f t="shared" si="157"/>
        <v>-2.7777777777777804E-2</v>
      </c>
      <c r="D554" s="22">
        <f t="shared" si="160"/>
        <v>2.3171905268777052E-2</v>
      </c>
      <c r="E554" s="28">
        <v>11.52</v>
      </c>
      <c r="F554" s="28">
        <v>11.15</v>
      </c>
      <c r="G554" s="39">
        <f t="shared" si="161"/>
        <v>3.2642258491398256E-2</v>
      </c>
      <c r="H554" s="28">
        <v>11.18</v>
      </c>
      <c r="I554" s="28">
        <v>11.16</v>
      </c>
      <c r="J554" s="39">
        <f t="shared" si="162"/>
        <v>1.7905102954341606E-3</v>
      </c>
      <c r="K554" s="25">
        <v>4318377</v>
      </c>
      <c r="L554" s="40">
        <f t="shared" si="163"/>
        <v>561090000</v>
      </c>
      <c r="M554" s="41">
        <f t="shared" si="158"/>
        <v>48365822.399999999</v>
      </c>
      <c r="N554" s="24">
        <f t="shared" si="164"/>
        <v>561100000</v>
      </c>
      <c r="O554" s="41">
        <f t="shared" si="165"/>
        <v>7.6962698271252896E-3</v>
      </c>
      <c r="P554" s="24">
        <v>71695.03</v>
      </c>
      <c r="Q554" s="42">
        <v>0.21640000000000001</v>
      </c>
      <c r="R554" s="26">
        <f t="shared" si="166"/>
        <v>16067000000</v>
      </c>
      <c r="S554" s="26">
        <f t="shared" si="167"/>
        <v>4788240000</v>
      </c>
      <c r="T554" s="26">
        <f t="shared" si="168"/>
        <v>-942200000</v>
      </c>
      <c r="U554" s="26">
        <f t="shared" si="169"/>
        <v>499810000</v>
      </c>
      <c r="V554" s="26">
        <f t="shared" si="170"/>
        <v>2712820000</v>
      </c>
      <c r="W554">
        <f t="shared" si="159"/>
        <v>5.7432658847496002E-10</v>
      </c>
      <c r="X554">
        <f t="shared" si="171"/>
        <v>0.16884421485031431</v>
      </c>
    </row>
    <row r="555" spans="1:24">
      <c r="A555" s="21">
        <v>45408</v>
      </c>
      <c r="B555" s="28">
        <v>11.52</v>
      </c>
      <c r="C555" s="23">
        <f t="shared" si="157"/>
        <v>-5.1813471502591101E-3</v>
      </c>
      <c r="D555" s="22">
        <f t="shared" si="160"/>
        <v>2.3171905268777052E-2</v>
      </c>
      <c r="E555" s="28">
        <v>11.8</v>
      </c>
      <c r="F555" s="28">
        <v>11.42</v>
      </c>
      <c r="G555" s="39">
        <f t="shared" si="161"/>
        <v>3.273040482342815E-2</v>
      </c>
      <c r="H555" s="28">
        <v>11.49</v>
      </c>
      <c r="I555" s="28">
        <v>11.45</v>
      </c>
      <c r="J555" s="39">
        <f t="shared" si="162"/>
        <v>3.4873583260680843E-3</v>
      </c>
      <c r="K555" s="25">
        <v>3214249</v>
      </c>
      <c r="L555" s="40">
        <f t="shared" si="163"/>
        <v>561090000</v>
      </c>
      <c r="M555" s="41">
        <f t="shared" si="158"/>
        <v>37028148.479999997</v>
      </c>
      <c r="N555" s="24">
        <f t="shared" si="164"/>
        <v>561100000</v>
      </c>
      <c r="O555" s="41">
        <f t="shared" si="165"/>
        <v>5.7284779896631614E-3</v>
      </c>
      <c r="P555" s="24">
        <v>72742.75</v>
      </c>
      <c r="Q555" s="42">
        <v>0.21640000000000001</v>
      </c>
      <c r="R555" s="26">
        <f t="shared" si="166"/>
        <v>16067000000</v>
      </c>
      <c r="S555" s="26">
        <f t="shared" si="167"/>
        <v>4788240000</v>
      </c>
      <c r="T555" s="26">
        <f t="shared" si="168"/>
        <v>-942200000</v>
      </c>
      <c r="U555" s="26">
        <f t="shared" si="169"/>
        <v>499810000</v>
      </c>
      <c r="V555" s="26">
        <f t="shared" si="170"/>
        <v>2712820000</v>
      </c>
      <c r="W555">
        <f t="shared" si="159"/>
        <v>1.3992995499242177E-10</v>
      </c>
      <c r="X555">
        <f t="shared" si="171"/>
        <v>0.16884421485031431</v>
      </c>
    </row>
    <row r="556" spans="1:24">
      <c r="A556" s="21">
        <v>45407</v>
      </c>
      <c r="B556" s="28">
        <v>11.58</v>
      </c>
      <c r="C556" s="23">
        <f t="shared" si="157"/>
        <v>-1.1101622544833541E-2</v>
      </c>
      <c r="D556" s="22">
        <f t="shared" si="160"/>
        <v>2.3171905268777052E-2</v>
      </c>
      <c r="E556" s="28">
        <v>11.9</v>
      </c>
      <c r="F556" s="28">
        <v>11.5</v>
      </c>
      <c r="G556" s="39">
        <f t="shared" si="161"/>
        <v>3.4188034188034219E-2</v>
      </c>
      <c r="H556" s="28">
        <v>11.58</v>
      </c>
      <c r="I556" s="28">
        <v>11.56</v>
      </c>
      <c r="J556" s="39">
        <f t="shared" si="162"/>
        <v>1.7286084701814671E-3</v>
      </c>
      <c r="K556" s="25">
        <v>3012785</v>
      </c>
      <c r="L556" s="40">
        <f t="shared" si="163"/>
        <v>561090000</v>
      </c>
      <c r="M556" s="41">
        <f t="shared" si="158"/>
        <v>34888050.299999997</v>
      </c>
      <c r="N556" s="24">
        <f t="shared" si="164"/>
        <v>561100000</v>
      </c>
      <c r="O556" s="41">
        <f t="shared" si="165"/>
        <v>5.3694261272500448E-3</v>
      </c>
      <c r="P556" s="24">
        <v>71971.399999999994</v>
      </c>
      <c r="Q556" s="42">
        <v>0.21640000000000001</v>
      </c>
      <c r="R556" s="26">
        <f t="shared" si="166"/>
        <v>16067000000</v>
      </c>
      <c r="S556" s="26">
        <f t="shared" si="167"/>
        <v>4788240000</v>
      </c>
      <c r="T556" s="26">
        <f t="shared" si="168"/>
        <v>-942200000</v>
      </c>
      <c r="U556" s="26">
        <f t="shared" si="169"/>
        <v>499810000</v>
      </c>
      <c r="V556" s="26">
        <f t="shared" si="170"/>
        <v>2712820000</v>
      </c>
      <c r="W556">
        <f t="shared" si="159"/>
        <v>3.1820702072404266E-10</v>
      </c>
      <c r="X556">
        <f t="shared" si="171"/>
        <v>0.16884421485031431</v>
      </c>
    </row>
    <row r="557" spans="1:24">
      <c r="A557" s="21">
        <v>45406</v>
      </c>
      <c r="B557" s="28">
        <v>11.71</v>
      </c>
      <c r="C557" s="23">
        <f t="shared" si="157"/>
        <v>-1.9262981574539251E-2</v>
      </c>
      <c r="D557" s="22">
        <f t="shared" si="160"/>
        <v>2.3171905268777052E-2</v>
      </c>
      <c r="E557" s="28">
        <v>12.1</v>
      </c>
      <c r="F557" s="28">
        <v>11.64</v>
      </c>
      <c r="G557" s="39">
        <f t="shared" si="161"/>
        <v>3.8753159224936731E-2</v>
      </c>
      <c r="H557" s="28">
        <v>11.64</v>
      </c>
      <c r="I557" s="28">
        <v>11.62</v>
      </c>
      <c r="J557" s="39">
        <f t="shared" si="162"/>
        <v>1.719690455718087E-3</v>
      </c>
      <c r="K557" s="25">
        <v>4295949</v>
      </c>
      <c r="L557" s="40">
        <f t="shared" si="163"/>
        <v>561090000</v>
      </c>
      <c r="M557" s="41">
        <f t="shared" si="158"/>
        <v>50305562.790000007</v>
      </c>
      <c r="N557" s="24">
        <f t="shared" si="164"/>
        <v>561100000</v>
      </c>
      <c r="O557" s="41">
        <f t="shared" si="165"/>
        <v>7.6562983425414368E-3</v>
      </c>
      <c r="P557" s="24">
        <v>72051.89</v>
      </c>
      <c r="Q557" s="42">
        <v>0.21640000000000001</v>
      </c>
      <c r="R557" s="26">
        <f t="shared" si="166"/>
        <v>16067000000</v>
      </c>
      <c r="S557" s="26">
        <f t="shared" si="167"/>
        <v>4788240000</v>
      </c>
      <c r="T557" s="26">
        <f t="shared" si="168"/>
        <v>-942200000</v>
      </c>
      <c r="U557" s="26">
        <f t="shared" si="169"/>
        <v>499810000</v>
      </c>
      <c r="V557" s="26">
        <f t="shared" si="170"/>
        <v>2712820000</v>
      </c>
      <c r="W557">
        <f t="shared" si="159"/>
        <v>3.8291951239969914E-10</v>
      </c>
      <c r="X557">
        <f t="shared" si="171"/>
        <v>0.16884421485031431</v>
      </c>
    </row>
    <row r="558" spans="1:24">
      <c r="A558" s="21">
        <v>45405</v>
      </c>
      <c r="B558" s="28">
        <v>11.94</v>
      </c>
      <c r="C558" s="23">
        <f t="shared" si="157"/>
        <v>-2.5062656641604958E-3</v>
      </c>
      <c r="D558" s="22">
        <f t="shared" si="160"/>
        <v>2.3171905268777052E-2</v>
      </c>
      <c r="E558" s="28">
        <v>12.25</v>
      </c>
      <c r="F558" s="28">
        <v>11.85</v>
      </c>
      <c r="G558" s="39">
        <f t="shared" si="161"/>
        <v>3.3195020746887995E-2</v>
      </c>
      <c r="H558" s="28">
        <v>11.9</v>
      </c>
      <c r="I558" s="28">
        <v>11.86</v>
      </c>
      <c r="J558" s="39">
        <f t="shared" si="162"/>
        <v>3.3670033670034449E-3</v>
      </c>
      <c r="K558" s="25">
        <v>11706678</v>
      </c>
      <c r="L558" s="40">
        <f t="shared" si="163"/>
        <v>561090000</v>
      </c>
      <c r="M558" s="41">
        <f t="shared" si="158"/>
        <v>139777735.31999999</v>
      </c>
      <c r="N558" s="24">
        <f t="shared" si="164"/>
        <v>561100000</v>
      </c>
      <c r="O558" s="41">
        <f t="shared" si="165"/>
        <v>2.0863799679201569E-2</v>
      </c>
      <c r="P558" s="24">
        <v>71359.41</v>
      </c>
      <c r="Q558" s="42">
        <v>0.21640000000000001</v>
      </c>
      <c r="R558" s="26">
        <f t="shared" si="166"/>
        <v>16067000000</v>
      </c>
      <c r="S558" s="26">
        <f t="shared" si="167"/>
        <v>4788240000</v>
      </c>
      <c r="T558" s="26">
        <f t="shared" si="168"/>
        <v>-942200000</v>
      </c>
      <c r="U558" s="26">
        <f t="shared" si="169"/>
        <v>499810000</v>
      </c>
      <c r="V558" s="26">
        <f t="shared" si="170"/>
        <v>2712820000</v>
      </c>
      <c r="W558">
        <f t="shared" si="159"/>
        <v>1.7930363934018387E-11</v>
      </c>
      <c r="X558">
        <f t="shared" si="171"/>
        <v>0.16884421485031431</v>
      </c>
    </row>
    <row r="559" spans="1:24">
      <c r="A559" s="21">
        <v>45404</v>
      </c>
      <c r="B559" s="28">
        <v>11.97</v>
      </c>
      <c r="C559" s="23">
        <f t="shared" si="157"/>
        <v>3.9965247610773316E-2</v>
      </c>
      <c r="D559" s="22">
        <f t="shared" si="160"/>
        <v>2.3171905268777052E-2</v>
      </c>
      <c r="E559" s="28">
        <v>12.15</v>
      </c>
      <c r="F559" s="28">
        <v>11.38</v>
      </c>
      <c r="G559" s="39">
        <f t="shared" si="161"/>
        <v>6.5448363790905184E-2</v>
      </c>
      <c r="H559" s="28">
        <v>12.05</v>
      </c>
      <c r="I559" s="28">
        <v>12.03</v>
      </c>
      <c r="J559" s="39">
        <f t="shared" si="162"/>
        <v>1.6611295681064244E-3</v>
      </c>
      <c r="K559" s="25">
        <v>13652588</v>
      </c>
      <c r="L559" s="40">
        <f t="shared" si="163"/>
        <v>561090000</v>
      </c>
      <c r="M559" s="41">
        <f t="shared" si="158"/>
        <v>163421478.36000001</v>
      </c>
      <c r="N559" s="24">
        <f t="shared" si="164"/>
        <v>561100000</v>
      </c>
      <c r="O559" s="41">
        <f t="shared" si="165"/>
        <v>2.4331826768846907E-2</v>
      </c>
      <c r="P559" s="24">
        <v>71433.460000000006</v>
      </c>
      <c r="Q559" s="42">
        <v>0.21640000000000001</v>
      </c>
      <c r="R559" s="26">
        <f t="shared" si="166"/>
        <v>16067000000</v>
      </c>
      <c r="S559" s="26">
        <f t="shared" si="167"/>
        <v>4788240000</v>
      </c>
      <c r="T559" s="26">
        <f t="shared" si="168"/>
        <v>-942200000</v>
      </c>
      <c r="U559" s="26">
        <f t="shared" si="169"/>
        <v>499810000</v>
      </c>
      <c r="V559" s="26">
        <f t="shared" si="170"/>
        <v>2712820000</v>
      </c>
      <c r="W559">
        <f t="shared" si="159"/>
        <v>2.4455321302830313E-10</v>
      </c>
      <c r="X559">
        <f t="shared" si="171"/>
        <v>0.16884421485031431</v>
      </c>
    </row>
    <row r="560" spans="1:24">
      <c r="A560" s="21">
        <v>45401</v>
      </c>
      <c r="B560" s="28">
        <v>11.51</v>
      </c>
      <c r="C560" s="23">
        <f t="shared" si="157"/>
        <v>-2.0425531914893637E-2</v>
      </c>
      <c r="D560" s="22">
        <f t="shared" si="160"/>
        <v>2.3171905268777052E-2</v>
      </c>
      <c r="E560" s="28">
        <v>11.7</v>
      </c>
      <c r="F560" s="28">
        <v>11.47</v>
      </c>
      <c r="G560" s="39">
        <f t="shared" si="161"/>
        <v>1.9853258523953268E-2</v>
      </c>
      <c r="H560" s="28">
        <v>11.5</v>
      </c>
      <c r="I560" s="28">
        <v>11.48</v>
      </c>
      <c r="J560" s="39">
        <f t="shared" si="162"/>
        <v>1.7406440382941317E-3</v>
      </c>
      <c r="K560" s="25">
        <v>3019426</v>
      </c>
      <c r="L560" s="40">
        <f t="shared" si="163"/>
        <v>561090000</v>
      </c>
      <c r="M560" s="41">
        <f t="shared" si="158"/>
        <v>34753593.259999998</v>
      </c>
      <c r="N560" s="24">
        <f t="shared" si="164"/>
        <v>561100000</v>
      </c>
      <c r="O560" s="41">
        <f t="shared" si="165"/>
        <v>5.3812618071644985E-3</v>
      </c>
      <c r="P560" s="24">
        <v>70909.899999999994</v>
      </c>
      <c r="Q560" s="42">
        <v>0.21640000000000001</v>
      </c>
      <c r="R560" s="26">
        <f t="shared" si="166"/>
        <v>16067000000</v>
      </c>
      <c r="S560" s="26">
        <f t="shared" si="167"/>
        <v>4788240000</v>
      </c>
      <c r="T560" s="26">
        <f t="shared" si="168"/>
        <v>-942200000</v>
      </c>
      <c r="U560" s="26">
        <f t="shared" si="169"/>
        <v>499810000</v>
      </c>
      <c r="V560" s="26">
        <f t="shared" si="170"/>
        <v>2712820000</v>
      </c>
      <c r="W560">
        <f t="shared" si="159"/>
        <v>5.8772431852111855E-10</v>
      </c>
      <c r="X560">
        <f t="shared" si="171"/>
        <v>0.16884421485031431</v>
      </c>
    </row>
    <row r="561" spans="1:24">
      <c r="A561" s="21">
        <v>45400</v>
      </c>
      <c r="B561" s="28">
        <v>11.75</v>
      </c>
      <c r="C561" s="23">
        <f t="shared" si="157"/>
        <v>1.9080659150043422E-2</v>
      </c>
      <c r="D561" s="22">
        <f t="shared" si="160"/>
        <v>2.3171905268777052E-2</v>
      </c>
      <c r="E561" s="28">
        <v>12.09</v>
      </c>
      <c r="F561" s="28">
        <v>11.55</v>
      </c>
      <c r="G561" s="39">
        <f t="shared" si="161"/>
        <v>4.5685279187817188E-2</v>
      </c>
      <c r="H561" s="28">
        <v>11.75</v>
      </c>
      <c r="I561" s="28">
        <v>11.71</v>
      </c>
      <c r="J561" s="39">
        <f t="shared" si="162"/>
        <v>3.4100596760442579E-3</v>
      </c>
      <c r="K561" s="25">
        <v>13277667</v>
      </c>
      <c r="L561" s="40">
        <f t="shared" si="163"/>
        <v>561090000</v>
      </c>
      <c r="M561" s="41">
        <f t="shared" si="158"/>
        <v>156012587.25</v>
      </c>
      <c r="N561" s="24">
        <f t="shared" si="164"/>
        <v>561100000</v>
      </c>
      <c r="O561" s="41">
        <f t="shared" si="165"/>
        <v>2.3663637497772234E-2</v>
      </c>
      <c r="P561" s="24">
        <v>70290.12</v>
      </c>
      <c r="Q561" s="42">
        <v>0.21640000000000001</v>
      </c>
      <c r="R561" s="26">
        <f t="shared" si="166"/>
        <v>16067000000</v>
      </c>
      <c r="S561" s="26">
        <f t="shared" si="167"/>
        <v>4788240000</v>
      </c>
      <c r="T561" s="26">
        <f t="shared" si="168"/>
        <v>-942200000</v>
      </c>
      <c r="U561" s="26">
        <f t="shared" si="169"/>
        <v>499810000</v>
      </c>
      <c r="V561" s="26">
        <f t="shared" si="170"/>
        <v>2712820000</v>
      </c>
      <c r="W561">
        <f t="shared" si="159"/>
        <v>1.2230204938187397E-10</v>
      </c>
      <c r="X561">
        <f t="shared" si="171"/>
        <v>0.16884421485031431</v>
      </c>
    </row>
    <row r="562" spans="1:24">
      <c r="A562" s="21">
        <v>45399</v>
      </c>
      <c r="B562" s="28">
        <v>11.53</v>
      </c>
      <c r="C562" s="23">
        <f t="shared" si="157"/>
        <v>1.9451812555260729E-2</v>
      </c>
      <c r="D562" s="22">
        <f t="shared" si="160"/>
        <v>2.3171905268777052E-2</v>
      </c>
      <c r="E562" s="28">
        <v>11.74</v>
      </c>
      <c r="F562" s="28">
        <v>11.27</v>
      </c>
      <c r="G562" s="39">
        <f t="shared" si="161"/>
        <v>4.0851803563668028E-2</v>
      </c>
      <c r="H562" s="28">
        <v>11.59</v>
      </c>
      <c r="I562" s="28">
        <v>11.52</v>
      </c>
      <c r="J562" s="39">
        <f t="shared" si="162"/>
        <v>6.0579835569017993E-3</v>
      </c>
      <c r="K562" s="25">
        <v>5378738</v>
      </c>
      <c r="L562" s="40">
        <f t="shared" si="163"/>
        <v>561090000</v>
      </c>
      <c r="M562" s="41">
        <f t="shared" si="158"/>
        <v>62016849.139999993</v>
      </c>
      <c r="N562" s="24">
        <f t="shared" si="164"/>
        <v>561100000</v>
      </c>
      <c r="O562" s="41">
        <f t="shared" si="165"/>
        <v>9.5860595259312058E-3</v>
      </c>
      <c r="P562" s="24">
        <v>70333.320000000007</v>
      </c>
      <c r="Q562" s="42">
        <v>0.21640000000000001</v>
      </c>
      <c r="R562" s="26">
        <f t="shared" si="166"/>
        <v>16067000000</v>
      </c>
      <c r="S562" s="26">
        <f t="shared" si="167"/>
        <v>4788240000</v>
      </c>
      <c r="T562" s="26">
        <f t="shared" si="168"/>
        <v>-942200000</v>
      </c>
      <c r="U562" s="26">
        <f t="shared" si="169"/>
        <v>499810000</v>
      </c>
      <c r="V562" s="26">
        <f t="shared" si="170"/>
        <v>2712820000</v>
      </c>
      <c r="W562">
        <f t="shared" si="159"/>
        <v>3.1365367355811995E-10</v>
      </c>
      <c r="X562">
        <f t="shared" si="171"/>
        <v>0.16884421485031431</v>
      </c>
    </row>
    <row r="563" spans="1:24">
      <c r="A563" s="21">
        <v>45398</v>
      </c>
      <c r="B563" s="28">
        <v>11.31</v>
      </c>
      <c r="C563" s="23">
        <f t="shared" si="157"/>
        <v>3.5492457852707121E-3</v>
      </c>
      <c r="D563" s="22">
        <f t="shared" si="160"/>
        <v>2.3171905268777052E-2</v>
      </c>
      <c r="E563" s="28">
        <v>11.8</v>
      </c>
      <c r="F563" s="28">
        <v>11.22</v>
      </c>
      <c r="G563" s="39">
        <f t="shared" si="161"/>
        <v>5.0390964378801043E-2</v>
      </c>
      <c r="H563" s="28">
        <v>11.34</v>
      </c>
      <c r="I563" s="28">
        <v>11.3</v>
      </c>
      <c r="J563" s="39">
        <f t="shared" si="162"/>
        <v>3.5335689045935641E-3</v>
      </c>
      <c r="K563" s="25">
        <v>6214569</v>
      </c>
      <c r="L563" s="40">
        <f t="shared" si="163"/>
        <v>561090000</v>
      </c>
      <c r="M563" s="41">
        <f t="shared" si="158"/>
        <v>70286775.390000001</v>
      </c>
      <c r="N563" s="24">
        <f t="shared" si="164"/>
        <v>561100000</v>
      </c>
      <c r="O563" s="41">
        <f t="shared" si="165"/>
        <v>1.1075688825521297E-2</v>
      </c>
      <c r="P563" s="24">
        <v>70483.66</v>
      </c>
      <c r="Q563" s="42">
        <v>0.216</v>
      </c>
      <c r="R563" s="26">
        <f t="shared" si="166"/>
        <v>16067000000</v>
      </c>
      <c r="S563" s="26">
        <f t="shared" si="167"/>
        <v>4788240000</v>
      </c>
      <c r="T563" s="26">
        <f t="shared" si="168"/>
        <v>-942200000</v>
      </c>
      <c r="U563" s="26">
        <f t="shared" si="169"/>
        <v>499810000</v>
      </c>
      <c r="V563" s="26">
        <f t="shared" si="170"/>
        <v>2712820000</v>
      </c>
      <c r="W563">
        <f t="shared" si="159"/>
        <v>5.0496637035587757E-11</v>
      </c>
      <c r="X563">
        <f t="shared" si="171"/>
        <v>0.16884421485031431</v>
      </c>
    </row>
    <row r="564" spans="1:24">
      <c r="A564" s="21">
        <v>45397</v>
      </c>
      <c r="B564" s="28">
        <v>11.27</v>
      </c>
      <c r="C564" s="23">
        <f t="shared" si="157"/>
        <v>1.7777777777777399E-3</v>
      </c>
      <c r="D564" s="22">
        <f t="shared" si="160"/>
        <v>2.3171905268777052E-2</v>
      </c>
      <c r="E564" s="28">
        <v>11.58</v>
      </c>
      <c r="F564" s="28">
        <v>11.06</v>
      </c>
      <c r="G564" s="39">
        <f t="shared" si="161"/>
        <v>4.5936395759717273E-2</v>
      </c>
      <c r="H564" s="28">
        <v>11.3</v>
      </c>
      <c r="I564" s="28">
        <v>11.27</v>
      </c>
      <c r="J564" s="39">
        <f t="shared" si="162"/>
        <v>2.6583961010191526E-3</v>
      </c>
      <c r="K564" s="25">
        <v>5926787</v>
      </c>
      <c r="L564" s="40">
        <f t="shared" si="163"/>
        <v>561090000</v>
      </c>
      <c r="M564" s="41">
        <f t="shared" si="158"/>
        <v>66794889.489999995</v>
      </c>
      <c r="N564" s="24">
        <f t="shared" si="164"/>
        <v>561100000</v>
      </c>
      <c r="O564" s="41">
        <f t="shared" si="165"/>
        <v>1.0562799857422919E-2</v>
      </c>
      <c r="P564" s="24">
        <v>70544.58</v>
      </c>
      <c r="Q564" s="42">
        <v>0.216</v>
      </c>
      <c r="R564" s="26">
        <f t="shared" si="166"/>
        <v>16067000000</v>
      </c>
      <c r="S564" s="26">
        <f t="shared" si="167"/>
        <v>4788240000</v>
      </c>
      <c r="T564" s="26">
        <f t="shared" si="168"/>
        <v>-942200000</v>
      </c>
      <c r="U564" s="26">
        <f t="shared" si="169"/>
        <v>499810000</v>
      </c>
      <c r="V564" s="26">
        <f t="shared" si="170"/>
        <v>2712820000</v>
      </c>
      <c r="W564">
        <f t="shared" si="159"/>
        <v>2.6615475994520433E-11</v>
      </c>
      <c r="X564">
        <f t="shared" si="171"/>
        <v>0.16884421485031431</v>
      </c>
    </row>
    <row r="565" spans="1:24">
      <c r="A565" s="21">
        <v>45391</v>
      </c>
      <c r="B565" s="28">
        <v>11.25</v>
      </c>
      <c r="C565" s="23">
        <f t="shared" si="157"/>
        <v>2.2727272727272728E-2</v>
      </c>
      <c r="D565" s="22">
        <f t="shared" si="160"/>
        <v>2.3171905268777052E-2</v>
      </c>
      <c r="E565" s="28">
        <v>11.37</v>
      </c>
      <c r="F565" s="28">
        <v>10.96</v>
      </c>
      <c r="G565" s="39">
        <f t="shared" si="161"/>
        <v>3.6721898790864162E-2</v>
      </c>
      <c r="H565" s="28">
        <v>11.29</v>
      </c>
      <c r="I565" s="28">
        <v>11.23</v>
      </c>
      <c r="J565" s="39">
        <f t="shared" si="162"/>
        <v>5.3285968028418049E-3</v>
      </c>
      <c r="K565" s="25">
        <v>3892965</v>
      </c>
      <c r="L565" s="40">
        <f t="shared" si="163"/>
        <v>561090000</v>
      </c>
      <c r="M565" s="41">
        <f t="shared" si="158"/>
        <v>43795856.25</v>
      </c>
      <c r="N565" s="24">
        <f t="shared" si="164"/>
        <v>561100000</v>
      </c>
      <c r="O565" s="41">
        <f t="shared" si="165"/>
        <v>6.9380948137586886E-3</v>
      </c>
      <c r="P565" s="24">
        <v>70314.720000000001</v>
      </c>
      <c r="Q565" s="42">
        <v>0.216</v>
      </c>
      <c r="R565" s="26">
        <f t="shared" si="166"/>
        <v>16067000000</v>
      </c>
      <c r="S565" s="26">
        <f t="shared" si="167"/>
        <v>4788240000</v>
      </c>
      <c r="T565" s="26">
        <f t="shared" si="168"/>
        <v>-942200000</v>
      </c>
      <c r="U565" s="26">
        <f t="shared" si="169"/>
        <v>499810000</v>
      </c>
      <c r="V565" s="26">
        <f t="shared" si="170"/>
        <v>2712820000</v>
      </c>
      <c r="W565">
        <f t="shared" si="159"/>
        <v>5.1893659979013944E-10</v>
      </c>
      <c r="X565">
        <f t="shared" si="171"/>
        <v>0.16884421485031431</v>
      </c>
    </row>
    <row r="566" spans="1:24">
      <c r="A566" s="21">
        <v>45390</v>
      </c>
      <c r="B566" s="28">
        <v>11</v>
      </c>
      <c r="C566" s="23">
        <f t="shared" si="157"/>
        <v>-4.524886877828118E-3</v>
      </c>
      <c r="D566" s="22">
        <f t="shared" si="160"/>
        <v>2.3171905268777052E-2</v>
      </c>
      <c r="E566" s="28">
        <v>11.18</v>
      </c>
      <c r="F566" s="28">
        <v>10.88</v>
      </c>
      <c r="G566" s="39">
        <f t="shared" si="161"/>
        <v>2.7198549410697995E-2</v>
      </c>
      <c r="H566" s="28">
        <v>11.02</v>
      </c>
      <c r="I566" s="28">
        <v>11</v>
      </c>
      <c r="J566" s="39">
        <f t="shared" si="162"/>
        <v>1.8165304268846117E-3</v>
      </c>
      <c r="K566" s="25">
        <v>1842027</v>
      </c>
      <c r="L566" s="40">
        <f t="shared" si="163"/>
        <v>561090000</v>
      </c>
      <c r="M566" s="41">
        <f t="shared" si="158"/>
        <v>20262297</v>
      </c>
      <c r="N566" s="24">
        <f t="shared" si="164"/>
        <v>561100000</v>
      </c>
      <c r="O566" s="41">
        <f t="shared" si="165"/>
        <v>3.2828854036713599E-3</v>
      </c>
      <c r="P566" s="24">
        <v>69619.990000000005</v>
      </c>
      <c r="Q566" s="42">
        <v>0.216</v>
      </c>
      <c r="R566" s="26">
        <f t="shared" si="166"/>
        <v>16067000000</v>
      </c>
      <c r="S566" s="26">
        <f t="shared" si="167"/>
        <v>4788240000</v>
      </c>
      <c r="T566" s="26">
        <f t="shared" si="168"/>
        <v>-942200000</v>
      </c>
      <c r="U566" s="26">
        <f t="shared" si="169"/>
        <v>499810000</v>
      </c>
      <c r="V566" s="26">
        <f t="shared" si="170"/>
        <v>2712820000</v>
      </c>
      <c r="W566">
        <f t="shared" si="159"/>
        <v>2.2331559338154594E-10</v>
      </c>
      <c r="X566">
        <f t="shared" si="171"/>
        <v>0.16884421485031431</v>
      </c>
    </row>
    <row r="567" spans="1:24">
      <c r="A567" s="21">
        <v>45386</v>
      </c>
      <c r="B567" s="28">
        <v>11.05</v>
      </c>
      <c r="C567" s="23">
        <f t="shared" si="157"/>
        <v>2.722323049001918E-3</v>
      </c>
      <c r="D567" s="22">
        <f t="shared" si="160"/>
        <v>2.3171905268777052E-2</v>
      </c>
      <c r="E567" s="28">
        <v>11.2</v>
      </c>
      <c r="F567" s="28">
        <v>10.92</v>
      </c>
      <c r="G567" s="39">
        <f t="shared" si="161"/>
        <v>2.5316455696202476E-2</v>
      </c>
      <c r="H567" s="28">
        <v>11.02</v>
      </c>
      <c r="I567" s="28">
        <v>11.01</v>
      </c>
      <c r="J567" s="39">
        <f t="shared" si="162"/>
        <v>9.0785292782567285E-4</v>
      </c>
      <c r="K567" s="25">
        <v>1566171</v>
      </c>
      <c r="L567" s="40">
        <f t="shared" si="163"/>
        <v>561090000</v>
      </c>
      <c r="M567" s="41">
        <f t="shared" si="158"/>
        <v>17306189.550000001</v>
      </c>
      <c r="N567" s="24">
        <f t="shared" si="164"/>
        <v>561100000</v>
      </c>
      <c r="O567" s="41">
        <f t="shared" si="165"/>
        <v>2.7912511138834433E-3</v>
      </c>
      <c r="P567" s="24">
        <v>68416.78</v>
      </c>
      <c r="Q567" s="42">
        <v>0.216</v>
      </c>
      <c r="R567" s="26">
        <f t="shared" si="166"/>
        <v>16067000000</v>
      </c>
      <c r="S567" s="26">
        <f t="shared" si="167"/>
        <v>4788240000</v>
      </c>
      <c r="T567" s="26">
        <f t="shared" si="168"/>
        <v>-942200000</v>
      </c>
      <c r="U567" s="26">
        <f t="shared" si="169"/>
        <v>499810000</v>
      </c>
      <c r="V567" s="26">
        <f t="shared" si="170"/>
        <v>2712820000</v>
      </c>
      <c r="W567">
        <f t="shared" si="159"/>
        <v>1.5730343419253246E-10</v>
      </c>
      <c r="X567">
        <f t="shared" si="171"/>
        <v>0.16884421485031431</v>
      </c>
    </row>
    <row r="568" spans="1:24">
      <c r="A568" s="21">
        <v>45385</v>
      </c>
      <c r="B568" s="28">
        <v>11.02</v>
      </c>
      <c r="C568" s="23">
        <f t="shared" si="157"/>
        <v>1.6605166051660489E-2</v>
      </c>
      <c r="D568" s="22">
        <f t="shared" si="160"/>
        <v>2.3171905268777052E-2</v>
      </c>
      <c r="E568" s="28">
        <v>11.18</v>
      </c>
      <c r="F568" s="28">
        <v>10.82</v>
      </c>
      <c r="G568" s="39">
        <f t="shared" si="161"/>
        <v>3.2727272727272674E-2</v>
      </c>
      <c r="H568" s="28">
        <v>11.05</v>
      </c>
      <c r="I568" s="28">
        <v>11.03</v>
      </c>
      <c r="J568" s="39">
        <f t="shared" si="162"/>
        <v>1.811594202898673E-3</v>
      </c>
      <c r="K568" s="25">
        <v>2262831</v>
      </c>
      <c r="L568" s="40">
        <f t="shared" si="163"/>
        <v>561090000</v>
      </c>
      <c r="M568" s="41">
        <f t="shared" si="158"/>
        <v>24936397.619999997</v>
      </c>
      <c r="N568" s="24">
        <f t="shared" si="164"/>
        <v>561100000</v>
      </c>
      <c r="O568" s="41">
        <f t="shared" si="165"/>
        <v>4.0328479771876667E-3</v>
      </c>
      <c r="P568" s="24">
        <v>67756.039999999994</v>
      </c>
      <c r="Q568" s="42">
        <v>0.216</v>
      </c>
      <c r="R568" s="26">
        <f t="shared" si="166"/>
        <v>16067000000</v>
      </c>
      <c r="S568" s="26">
        <f t="shared" si="167"/>
        <v>4788240000</v>
      </c>
      <c r="T568" s="26">
        <f t="shared" si="168"/>
        <v>-942200000</v>
      </c>
      <c r="U568" s="26">
        <f t="shared" si="169"/>
        <v>499810000</v>
      </c>
      <c r="V568" s="26">
        <f t="shared" si="170"/>
        <v>2712820000</v>
      </c>
      <c r="W568">
        <f t="shared" si="159"/>
        <v>6.6590075698594391E-10</v>
      </c>
      <c r="X568">
        <f t="shared" si="171"/>
        <v>0.16884421485031431</v>
      </c>
    </row>
    <row r="569" spans="1:24">
      <c r="A569" s="21">
        <v>45384</v>
      </c>
      <c r="B569" s="28">
        <v>10.84</v>
      </c>
      <c r="C569" s="23">
        <f t="shared" si="157"/>
        <v>-6.4161319890009422E-3</v>
      </c>
      <c r="D569" s="22">
        <f t="shared" si="160"/>
        <v>2.3171905268777052E-2</v>
      </c>
      <c r="E569" s="28">
        <v>11</v>
      </c>
      <c r="F569" s="28">
        <v>10.76</v>
      </c>
      <c r="G569" s="39">
        <f t="shared" si="161"/>
        <v>2.2058823529411787E-2</v>
      </c>
      <c r="H569" s="28">
        <v>10.8</v>
      </c>
      <c r="I569" s="28">
        <v>10.77</v>
      </c>
      <c r="J569" s="39">
        <f t="shared" si="162"/>
        <v>2.7816411682893959E-3</v>
      </c>
      <c r="K569" s="25">
        <v>1278301</v>
      </c>
      <c r="L569" s="40">
        <f t="shared" si="163"/>
        <v>561090000</v>
      </c>
      <c r="M569" s="41">
        <f t="shared" si="158"/>
        <v>13856782.84</v>
      </c>
      <c r="N569" s="24">
        <f t="shared" si="164"/>
        <v>561100000</v>
      </c>
      <c r="O569" s="41">
        <f t="shared" si="165"/>
        <v>2.2782053109962576E-3</v>
      </c>
      <c r="P569" s="24">
        <v>66886.259999999995</v>
      </c>
      <c r="Q569" s="42">
        <v>0.216</v>
      </c>
      <c r="R569" s="26">
        <f t="shared" si="166"/>
        <v>16067000000</v>
      </c>
      <c r="S569" s="26">
        <f t="shared" si="167"/>
        <v>4788240000</v>
      </c>
      <c r="T569" s="26">
        <f t="shared" si="168"/>
        <v>-942200000</v>
      </c>
      <c r="U569" s="26">
        <f t="shared" si="169"/>
        <v>499810000</v>
      </c>
      <c r="V569" s="26">
        <f t="shared" si="170"/>
        <v>2712820000</v>
      </c>
      <c r="W569">
        <f t="shared" si="159"/>
        <v>4.6303186411204104E-10</v>
      </c>
      <c r="X569">
        <f t="shared" si="171"/>
        <v>0.16884421485031431</v>
      </c>
    </row>
    <row r="570" spans="1:24">
      <c r="A570" s="21">
        <v>45383</v>
      </c>
      <c r="B570" s="28">
        <v>10.91</v>
      </c>
      <c r="C570" s="23">
        <f t="shared" si="157"/>
        <v>-2.1524663677130063E-2</v>
      </c>
      <c r="D570" s="22">
        <f t="shared" si="160"/>
        <v>2.3171905268777052E-2</v>
      </c>
      <c r="E570" s="28">
        <v>11.34</v>
      </c>
      <c r="F570" s="28">
        <v>10.87</v>
      </c>
      <c r="G570" s="39">
        <f t="shared" si="161"/>
        <v>4.232327780279159E-2</v>
      </c>
      <c r="H570" s="28">
        <v>10.98</v>
      </c>
      <c r="I570" s="28">
        <v>10.9</v>
      </c>
      <c r="J570" s="39">
        <f t="shared" si="162"/>
        <v>7.3126142595978123E-3</v>
      </c>
      <c r="K570" s="25">
        <v>2296798</v>
      </c>
      <c r="L570" s="40">
        <f t="shared" si="163"/>
        <v>561090000</v>
      </c>
      <c r="M570" s="41">
        <f t="shared" si="158"/>
        <v>25058066.18</v>
      </c>
      <c r="N570" s="24">
        <f t="shared" si="164"/>
        <v>561100000</v>
      </c>
      <c r="O570" s="41">
        <f t="shared" si="165"/>
        <v>4.0933844234539302E-3</v>
      </c>
      <c r="P570" s="24">
        <v>66796.320000000007</v>
      </c>
      <c r="Q570" s="42">
        <v>0.216</v>
      </c>
      <c r="R570" s="26">
        <f t="shared" si="166"/>
        <v>16067000000</v>
      </c>
      <c r="S570" s="26">
        <f t="shared" si="167"/>
        <v>4788240000</v>
      </c>
      <c r="T570" s="26">
        <f t="shared" si="168"/>
        <v>-942200000</v>
      </c>
      <c r="U570" s="26">
        <f t="shared" si="169"/>
        <v>499810000</v>
      </c>
      <c r="V570" s="26">
        <f t="shared" si="170"/>
        <v>2712820000</v>
      </c>
      <c r="W570">
        <f t="shared" si="159"/>
        <v>8.5899141308477718E-10</v>
      </c>
      <c r="X570">
        <f t="shared" si="171"/>
        <v>0.16884421485031431</v>
      </c>
    </row>
    <row r="571" spans="1:24">
      <c r="A571" s="21">
        <v>45380</v>
      </c>
      <c r="B571" s="28">
        <v>11.15</v>
      </c>
      <c r="C571" s="23">
        <f t="shared" si="157"/>
        <v>-2.364273204903674E-2</v>
      </c>
      <c r="D571" s="22">
        <f t="shared" si="160"/>
        <v>2.3171905268777052E-2</v>
      </c>
      <c r="E571" s="28">
        <v>11.84</v>
      </c>
      <c r="F571" s="28">
        <v>11.09</v>
      </c>
      <c r="G571" s="39">
        <f t="shared" si="161"/>
        <v>6.5416484954208459E-2</v>
      </c>
      <c r="H571" s="28">
        <v>11.28</v>
      </c>
      <c r="I571" s="28">
        <v>11.16</v>
      </c>
      <c r="J571" s="39">
        <f t="shared" si="162"/>
        <v>1.0695187165775333E-2</v>
      </c>
      <c r="K571" s="25">
        <v>10663229</v>
      </c>
      <c r="L571" s="40">
        <f t="shared" si="163"/>
        <v>561090000</v>
      </c>
      <c r="M571" s="41">
        <f t="shared" si="158"/>
        <v>118895003.35000001</v>
      </c>
      <c r="N571" s="24">
        <f t="shared" si="164"/>
        <v>561100000</v>
      </c>
      <c r="O571" s="41">
        <f t="shared" si="165"/>
        <v>1.9004150775262876E-2</v>
      </c>
      <c r="P571" s="24">
        <v>67005.11</v>
      </c>
      <c r="Q571" s="42">
        <v>0.216</v>
      </c>
      <c r="R571" s="26">
        <f t="shared" si="166"/>
        <v>16067000000</v>
      </c>
      <c r="S571" s="26">
        <f t="shared" si="167"/>
        <v>4788240000</v>
      </c>
      <c r="T571" s="26">
        <f t="shared" si="168"/>
        <v>-942200000</v>
      </c>
      <c r="U571" s="26">
        <f t="shared" si="169"/>
        <v>499810000</v>
      </c>
      <c r="V571" s="26">
        <f t="shared" si="170"/>
        <v>2712820000</v>
      </c>
      <c r="W571">
        <f t="shared" si="159"/>
        <v>1.9885387428299138E-10</v>
      </c>
      <c r="X571">
        <f t="shared" si="171"/>
        <v>0.16884421485031431</v>
      </c>
    </row>
    <row r="572" spans="1:24">
      <c r="A572" s="21">
        <v>45379</v>
      </c>
      <c r="B572" s="28">
        <v>11.42</v>
      </c>
      <c r="C572" s="23">
        <f t="shared" si="157"/>
        <v>9.3869731800766326E-2</v>
      </c>
      <c r="D572" s="22">
        <f t="shared" si="160"/>
        <v>2.3171905268777052E-2</v>
      </c>
      <c r="E572" s="28">
        <v>11.44</v>
      </c>
      <c r="F572" s="28">
        <v>10.58</v>
      </c>
      <c r="G572" s="39">
        <f t="shared" si="161"/>
        <v>7.811080835603991E-2</v>
      </c>
      <c r="H572" s="28">
        <v>0</v>
      </c>
      <c r="I572" s="28">
        <v>11.44</v>
      </c>
      <c r="J572" s="39">
        <f t="shared" si="162"/>
        <v>-2</v>
      </c>
      <c r="K572" s="25">
        <v>14811673</v>
      </c>
      <c r="L572" s="40">
        <f t="shared" si="163"/>
        <v>561090000</v>
      </c>
      <c r="M572" s="41">
        <f t="shared" si="158"/>
        <v>169149305.66</v>
      </c>
      <c r="N572" s="24">
        <f t="shared" si="164"/>
        <v>561100000</v>
      </c>
      <c r="O572" s="41">
        <f t="shared" si="165"/>
        <v>2.6397563714132953E-2</v>
      </c>
      <c r="P572" s="24">
        <v>67142.12</v>
      </c>
      <c r="Q572" s="42">
        <v>0.216</v>
      </c>
      <c r="R572" s="26">
        <f t="shared" si="166"/>
        <v>16067000000</v>
      </c>
      <c r="S572" s="26">
        <f t="shared" si="167"/>
        <v>4788240000</v>
      </c>
      <c r="T572" s="26">
        <f t="shared" si="168"/>
        <v>-942200000</v>
      </c>
      <c r="U572" s="26">
        <f t="shared" si="169"/>
        <v>499810000</v>
      </c>
      <c r="V572" s="26">
        <f t="shared" si="170"/>
        <v>2712820000</v>
      </c>
      <c r="W572">
        <f t="shared" si="159"/>
        <v>5.5495191916099247E-10</v>
      </c>
      <c r="X572">
        <f t="shared" si="171"/>
        <v>0.16884421485031431</v>
      </c>
    </row>
    <row r="573" spans="1:24">
      <c r="A573" s="21">
        <v>45378</v>
      </c>
      <c r="B573" s="28">
        <v>10.44</v>
      </c>
      <c r="C573" s="23">
        <f t="shared" si="157"/>
        <v>-1.3232514177693815E-2</v>
      </c>
      <c r="D573" s="22">
        <f t="shared" si="160"/>
        <v>2.3171905268777052E-2</v>
      </c>
      <c r="E573" s="28">
        <v>10.62</v>
      </c>
      <c r="F573" s="28">
        <v>10.36</v>
      </c>
      <c r="G573" s="39">
        <f t="shared" si="161"/>
        <v>2.4785510009532871E-2</v>
      </c>
      <c r="H573" s="28">
        <v>10.56</v>
      </c>
      <c r="I573" s="28">
        <v>10.53</v>
      </c>
      <c r="J573" s="39">
        <f t="shared" si="162"/>
        <v>2.8449502133713737E-3</v>
      </c>
      <c r="K573" s="25">
        <v>4069189</v>
      </c>
      <c r="L573" s="40">
        <f t="shared" si="163"/>
        <v>561090000</v>
      </c>
      <c r="M573" s="41">
        <f t="shared" si="158"/>
        <v>42482333.159999996</v>
      </c>
      <c r="N573" s="24">
        <f t="shared" si="164"/>
        <v>561100000</v>
      </c>
      <c r="O573" s="41">
        <f t="shared" si="165"/>
        <v>7.2521636072001424E-3</v>
      </c>
      <c r="P573" s="24">
        <v>66547.789999999994</v>
      </c>
      <c r="Q573" s="42">
        <v>0.216</v>
      </c>
      <c r="R573" s="26">
        <f t="shared" si="166"/>
        <v>16067000000</v>
      </c>
      <c r="S573" s="26">
        <f t="shared" si="167"/>
        <v>4788240000</v>
      </c>
      <c r="T573" s="26">
        <f t="shared" si="168"/>
        <v>-942200000</v>
      </c>
      <c r="U573" s="26">
        <f t="shared" si="169"/>
        <v>499810000</v>
      </c>
      <c r="V573" s="26">
        <f t="shared" si="170"/>
        <v>2712820000</v>
      </c>
      <c r="W573">
        <f t="shared" si="159"/>
        <v>3.1148275514568787E-10</v>
      </c>
      <c r="X573">
        <f t="shared" si="171"/>
        <v>0.16884421485031431</v>
      </c>
    </row>
    <row r="574" spans="1:24">
      <c r="A574" s="21">
        <v>45377</v>
      </c>
      <c r="B574" s="28">
        <v>10.58</v>
      </c>
      <c r="C574" s="23">
        <f t="shared" si="157"/>
        <v>-2.6678932842686215E-2</v>
      </c>
      <c r="D574" s="22">
        <f t="shared" si="160"/>
        <v>2.3171905268777052E-2</v>
      </c>
      <c r="E574" s="28">
        <v>10.96</v>
      </c>
      <c r="F574" s="28">
        <v>10.55</v>
      </c>
      <c r="G574" s="39">
        <f t="shared" si="161"/>
        <v>3.8121803812180395E-2</v>
      </c>
      <c r="H574" s="28">
        <v>10.59</v>
      </c>
      <c r="I574" s="28">
        <v>10.56</v>
      </c>
      <c r="J574" s="39">
        <f t="shared" si="162"/>
        <v>2.8368794326240534E-3</v>
      </c>
      <c r="K574" s="25">
        <v>6308485</v>
      </c>
      <c r="L574" s="40">
        <f t="shared" si="163"/>
        <v>561090000</v>
      </c>
      <c r="M574" s="41">
        <f t="shared" si="158"/>
        <v>66743771.299999997</v>
      </c>
      <c r="N574" s="24">
        <f t="shared" si="164"/>
        <v>561100000</v>
      </c>
      <c r="O574" s="41">
        <f t="shared" si="165"/>
        <v>1.1243067189449295E-2</v>
      </c>
      <c r="P574" s="24">
        <v>65906.28</v>
      </c>
      <c r="Q574" s="42">
        <v>0.216</v>
      </c>
      <c r="R574" s="26">
        <f t="shared" si="166"/>
        <v>16067000000</v>
      </c>
      <c r="S574" s="26">
        <f t="shared" si="167"/>
        <v>4788240000</v>
      </c>
      <c r="T574" s="26">
        <f t="shared" si="168"/>
        <v>-942200000</v>
      </c>
      <c r="U574" s="26">
        <f t="shared" si="169"/>
        <v>499810000</v>
      </c>
      <c r="V574" s="26">
        <f t="shared" si="170"/>
        <v>2712820000</v>
      </c>
      <c r="W574">
        <f t="shared" si="159"/>
        <v>3.9972168672893399E-10</v>
      </c>
      <c r="X574">
        <f t="shared" si="171"/>
        <v>0.16884421485031431</v>
      </c>
    </row>
    <row r="575" spans="1:24">
      <c r="A575" s="21">
        <v>45376</v>
      </c>
      <c r="B575" s="28">
        <v>10.87</v>
      </c>
      <c r="C575" s="23">
        <f t="shared" si="157"/>
        <v>0</v>
      </c>
      <c r="D575" s="22">
        <f t="shared" si="160"/>
        <v>2.3171905268777052E-2</v>
      </c>
      <c r="E575" s="28">
        <v>11.1</v>
      </c>
      <c r="F575" s="28">
        <v>10.83</v>
      </c>
      <c r="G575" s="39">
        <f t="shared" si="161"/>
        <v>2.4623803009575885E-2</v>
      </c>
      <c r="H575" s="28">
        <v>10.9</v>
      </c>
      <c r="I575" s="28">
        <v>10.86</v>
      </c>
      <c r="J575" s="39">
        <f t="shared" si="162"/>
        <v>3.6764705882353795E-3</v>
      </c>
      <c r="K575" s="25">
        <v>1398787</v>
      </c>
      <c r="L575" s="40">
        <f t="shared" si="163"/>
        <v>561090000</v>
      </c>
      <c r="M575" s="41">
        <f t="shared" si="158"/>
        <v>15204814.689999999</v>
      </c>
      <c r="N575" s="24">
        <f t="shared" si="164"/>
        <v>561100000</v>
      </c>
      <c r="O575" s="41">
        <f t="shared" si="165"/>
        <v>2.4929370878631258E-3</v>
      </c>
      <c r="P575" s="24">
        <v>65525.65</v>
      </c>
      <c r="Q575" s="42">
        <v>0.216</v>
      </c>
      <c r="R575" s="26">
        <f t="shared" si="166"/>
        <v>16067000000</v>
      </c>
      <c r="S575" s="26">
        <f t="shared" si="167"/>
        <v>4788240000</v>
      </c>
      <c r="T575" s="26">
        <f t="shared" si="168"/>
        <v>-942200000</v>
      </c>
      <c r="U575" s="26">
        <f t="shared" si="169"/>
        <v>499810000</v>
      </c>
      <c r="V575" s="26">
        <f t="shared" si="170"/>
        <v>2712820000</v>
      </c>
      <c r="W575">
        <f t="shared" si="159"/>
        <v>0</v>
      </c>
      <c r="X575">
        <f t="shared" si="171"/>
        <v>0.16884421485031431</v>
      </c>
    </row>
    <row r="577" spans="1:24" ht="15" thickBot="1"/>
    <row r="578" spans="1:24" ht="16" thickBot="1">
      <c r="A578" s="184" t="s">
        <v>55</v>
      </c>
      <c r="B578" s="185"/>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6"/>
    </row>
    <row r="579" spans="1:24" ht="43.5">
      <c r="A579" s="16" t="s">
        <v>14</v>
      </c>
      <c r="B579" s="16" t="s">
        <v>15</v>
      </c>
      <c r="C579" s="17" t="s">
        <v>16</v>
      </c>
      <c r="D579" s="17" t="s">
        <v>17</v>
      </c>
      <c r="E579" s="18" t="s">
        <v>0</v>
      </c>
      <c r="F579" s="18" t="s">
        <v>13</v>
      </c>
      <c r="G579" s="17" t="s">
        <v>18</v>
      </c>
      <c r="H579" s="16" t="s">
        <v>12</v>
      </c>
      <c r="I579" s="18" t="s">
        <v>1</v>
      </c>
      <c r="J579" s="17" t="s">
        <v>19</v>
      </c>
      <c r="K579" s="16" t="s">
        <v>2</v>
      </c>
      <c r="L579" s="16" t="s">
        <v>54</v>
      </c>
      <c r="M579" s="7" t="s">
        <v>20</v>
      </c>
      <c r="N579" s="5" t="s">
        <v>22</v>
      </c>
      <c r="O579" s="16" t="s">
        <v>49</v>
      </c>
      <c r="P579" s="16" t="s">
        <v>51</v>
      </c>
      <c r="Q579" s="16" t="s">
        <v>6</v>
      </c>
      <c r="R579" s="16" t="s">
        <v>7</v>
      </c>
      <c r="S579" s="16" t="s">
        <v>29</v>
      </c>
      <c r="T579" s="16" t="s">
        <v>9</v>
      </c>
      <c r="U579" s="16" t="s">
        <v>10</v>
      </c>
      <c r="V579" s="16" t="s">
        <v>32</v>
      </c>
      <c r="W579" s="7" t="s">
        <v>73</v>
      </c>
      <c r="X579" s="7" t="s">
        <v>72</v>
      </c>
    </row>
    <row r="580" spans="1:24">
      <c r="A580" s="21">
        <v>45436</v>
      </c>
      <c r="B580" s="28">
        <v>15.99</v>
      </c>
      <c r="C580" s="23">
        <f t="shared" ref="C580:C619" si="172">IFERROR((B580-B581)/B581,0)</f>
        <v>-1.2492192379763491E-3</v>
      </c>
      <c r="D580" s="22">
        <f t="shared" ref="D580:D619" si="173">_xlfn.STDEV.S($C$580:$C$619)</f>
        <v>1.2309351139198234E-2</v>
      </c>
      <c r="E580" s="28">
        <v>16.100000000000001</v>
      </c>
      <c r="F580" s="28">
        <v>15.81</v>
      </c>
      <c r="G580" s="39">
        <f>(E580-F580)/(AVERAGE(E580,F580))</f>
        <v>1.8176120338451951E-2</v>
      </c>
      <c r="H580" s="28">
        <v>16.02</v>
      </c>
      <c r="I580" s="28">
        <v>16</v>
      </c>
      <c r="J580" s="39">
        <f>(H580-I580)/AVERAGE(H580,I580)</f>
        <v>1.2492192379762383E-3</v>
      </c>
      <c r="K580" s="25">
        <v>508500</v>
      </c>
      <c r="L580" s="41">
        <f>2223*1000000</f>
        <v>2223000000</v>
      </c>
      <c r="M580" s="39">
        <f t="shared" ref="M580:M619" si="174">K580*B580</f>
        <v>8130915</v>
      </c>
      <c r="N580">
        <f>2223*1000000</f>
        <v>2223000000</v>
      </c>
      <c r="O580" s="39">
        <f>K580/N580</f>
        <v>2.2874493927125506E-4</v>
      </c>
      <c r="P580" s="36">
        <v>75983.039999999994</v>
      </c>
      <c r="Q580" s="42">
        <v>0.2157</v>
      </c>
      <c r="R580" s="41">
        <f>73305.6*1000000</f>
        <v>73305600000</v>
      </c>
      <c r="S580" s="41">
        <f>859.15*1000000</f>
        <v>859150000</v>
      </c>
      <c r="T580" s="41">
        <f>1024.3*1000000</f>
        <v>1024300000</v>
      </c>
      <c r="U580" s="41">
        <f>1881.63*1000000</f>
        <v>1881630000</v>
      </c>
      <c r="V580" s="41">
        <v>0</v>
      </c>
      <c r="W580">
        <f t="shared" ref="W580:W619" si="175">IFERROR(ABS(C580)/M580,0)</f>
        <v>1.5363821144069875E-10</v>
      </c>
      <c r="X580">
        <f>V580/R580</f>
        <v>0</v>
      </c>
    </row>
    <row r="581" spans="1:24">
      <c r="A581" s="21">
        <v>45435</v>
      </c>
      <c r="B581" s="28">
        <v>16.010000000000002</v>
      </c>
      <c r="C581" s="23">
        <f t="shared" si="172"/>
        <v>-1.9595835884874267E-2</v>
      </c>
      <c r="D581" s="22">
        <f t="shared" si="173"/>
        <v>1.2309351139198234E-2</v>
      </c>
      <c r="E581" s="28">
        <v>16.39</v>
      </c>
      <c r="F581" s="28">
        <v>15.9</v>
      </c>
      <c r="G581" s="39">
        <f t="shared" ref="G581:G619" si="176">(E581-F581)/(AVERAGE(E581,F581))</f>
        <v>3.0349953545989485E-2</v>
      </c>
      <c r="H581" s="28">
        <v>16</v>
      </c>
      <c r="I581" s="28">
        <v>15.96</v>
      </c>
      <c r="J581" s="39">
        <f t="shared" ref="J581:J619" si="177">(H581-I581)/AVERAGE(H581,I581)</f>
        <v>2.5031289111388704E-3</v>
      </c>
      <c r="K581" s="25">
        <v>257500</v>
      </c>
      <c r="L581" s="41">
        <f t="shared" ref="L581:L619" si="178">2223*1000000</f>
        <v>2223000000</v>
      </c>
      <c r="M581" s="39">
        <f t="shared" si="174"/>
        <v>4122575.0000000005</v>
      </c>
      <c r="N581">
        <f t="shared" ref="N581:N619" si="179">2223*1000000</f>
        <v>2223000000</v>
      </c>
      <c r="O581" s="39">
        <f t="shared" ref="O581:O619" si="180">K581/N581</f>
        <v>1.158344579397211E-4</v>
      </c>
      <c r="P581" s="36">
        <v>75114.47</v>
      </c>
      <c r="Q581" s="42">
        <v>0.2157</v>
      </c>
      <c r="R581" s="41">
        <f t="shared" ref="R581:R619" si="181">73305.6*1000000</f>
        <v>73305600000</v>
      </c>
      <c r="S581" s="41">
        <f t="shared" ref="S581:S619" si="182">859.15*1000000</f>
        <v>859150000</v>
      </c>
      <c r="T581" s="41">
        <f t="shared" ref="T581:T619" si="183">1024.3*1000000</f>
        <v>1024300000</v>
      </c>
      <c r="U581" s="41">
        <f t="shared" ref="U581:U619" si="184">1881.63*1000000</f>
        <v>1881630000</v>
      </c>
      <c r="V581" s="41">
        <v>0</v>
      </c>
      <c r="W581">
        <f t="shared" si="175"/>
        <v>4.7533000333224417E-9</v>
      </c>
      <c r="X581">
        <f t="shared" ref="X581:X619" si="185">V581/R581</f>
        <v>0</v>
      </c>
    </row>
    <row r="582" spans="1:24">
      <c r="A582" s="21">
        <v>45434</v>
      </c>
      <c r="B582" s="28">
        <v>16.329999999999998</v>
      </c>
      <c r="C582" s="23">
        <f t="shared" si="172"/>
        <v>-1.0303030303030406E-2</v>
      </c>
      <c r="D582" s="22">
        <f t="shared" si="173"/>
        <v>1.2309351139198234E-2</v>
      </c>
      <c r="E582" s="28">
        <v>16.55</v>
      </c>
      <c r="F582" s="28">
        <v>16.3</v>
      </c>
      <c r="G582" s="39">
        <f t="shared" si="176"/>
        <v>1.5220700152207001E-2</v>
      </c>
      <c r="H582" s="28">
        <v>16.38</v>
      </c>
      <c r="I582" s="28">
        <v>16.3</v>
      </c>
      <c r="J582" s="39">
        <f t="shared" si="177"/>
        <v>4.895960832313237E-3</v>
      </c>
      <c r="K582" s="25">
        <v>540000</v>
      </c>
      <c r="L582" s="41">
        <f t="shared" si="178"/>
        <v>2223000000</v>
      </c>
      <c r="M582" s="39">
        <f t="shared" si="174"/>
        <v>8818200</v>
      </c>
      <c r="N582">
        <f t="shared" si="179"/>
        <v>2223000000</v>
      </c>
      <c r="O582" s="39">
        <f t="shared" si="180"/>
        <v>2.4291497975708503E-4</v>
      </c>
      <c r="P582" s="36">
        <v>74956.67</v>
      </c>
      <c r="Q582" s="42">
        <v>0.2157</v>
      </c>
      <c r="R582" s="41">
        <f t="shared" si="181"/>
        <v>73305600000</v>
      </c>
      <c r="S582" s="41">
        <f t="shared" si="182"/>
        <v>859150000</v>
      </c>
      <c r="T582" s="41">
        <f t="shared" si="183"/>
        <v>1024300000</v>
      </c>
      <c r="U582" s="41">
        <f t="shared" si="184"/>
        <v>1881630000</v>
      </c>
      <c r="V582" s="41">
        <v>0</v>
      </c>
      <c r="W582">
        <f t="shared" si="175"/>
        <v>1.1683824706890755E-9</v>
      </c>
      <c r="X582">
        <f t="shared" si="185"/>
        <v>0</v>
      </c>
    </row>
    <row r="583" spans="1:24">
      <c r="A583" s="21">
        <v>45433</v>
      </c>
      <c r="B583" s="28">
        <v>16.5</v>
      </c>
      <c r="C583" s="23">
        <f t="shared" si="172"/>
        <v>2.4844720496894318E-2</v>
      </c>
      <c r="D583" s="22">
        <f t="shared" si="173"/>
        <v>1.2309351139198234E-2</v>
      </c>
      <c r="E583" s="28">
        <v>16.7</v>
      </c>
      <c r="F583" s="28">
        <v>16</v>
      </c>
      <c r="G583" s="39">
        <f t="shared" si="176"/>
        <v>4.2813455657492311E-2</v>
      </c>
      <c r="H583" s="28">
        <v>16.55</v>
      </c>
      <c r="I583" s="28">
        <v>16.5</v>
      </c>
      <c r="J583" s="39">
        <f t="shared" si="177"/>
        <v>3.0257186081694837E-3</v>
      </c>
      <c r="K583" s="25">
        <v>725500</v>
      </c>
      <c r="L583" s="41">
        <f t="shared" si="178"/>
        <v>2223000000</v>
      </c>
      <c r="M583" s="39">
        <f t="shared" si="174"/>
        <v>11970750</v>
      </c>
      <c r="N583">
        <f t="shared" si="179"/>
        <v>2223000000</v>
      </c>
      <c r="O583" s="39">
        <f t="shared" si="180"/>
        <v>3.2636077372919479E-4</v>
      </c>
      <c r="P583" s="36">
        <v>75206.77</v>
      </c>
      <c r="Q583" s="42">
        <v>0.2157</v>
      </c>
      <c r="R583" s="41">
        <f t="shared" si="181"/>
        <v>73305600000</v>
      </c>
      <c r="S583" s="41">
        <f t="shared" si="182"/>
        <v>859150000</v>
      </c>
      <c r="T583" s="41">
        <f t="shared" si="183"/>
        <v>1024300000</v>
      </c>
      <c r="U583" s="41">
        <f t="shared" si="184"/>
        <v>1881630000</v>
      </c>
      <c r="V583" s="41">
        <v>0</v>
      </c>
      <c r="W583">
        <f t="shared" si="175"/>
        <v>2.0754522896973304E-9</v>
      </c>
      <c r="X583">
        <f t="shared" si="185"/>
        <v>0</v>
      </c>
    </row>
    <row r="584" spans="1:24">
      <c r="A584" s="21">
        <v>45432</v>
      </c>
      <c r="B584" s="28">
        <v>16.100000000000001</v>
      </c>
      <c r="C584" s="23">
        <f t="shared" si="172"/>
        <v>8.140262993112133E-3</v>
      </c>
      <c r="D584" s="22">
        <f t="shared" si="173"/>
        <v>1.2309351139198234E-2</v>
      </c>
      <c r="E584" s="28">
        <v>16.100000000000001</v>
      </c>
      <c r="F584" s="28">
        <v>15.9</v>
      </c>
      <c r="G584" s="39">
        <f t="shared" si="176"/>
        <v>1.2500000000000067E-2</v>
      </c>
      <c r="H584" s="28">
        <v>16.100000000000001</v>
      </c>
      <c r="I584" s="28">
        <v>16.04</v>
      </c>
      <c r="J584" s="39">
        <f t="shared" si="177"/>
        <v>3.7336652146858912E-3</v>
      </c>
      <c r="K584" s="25">
        <v>371000</v>
      </c>
      <c r="L584" s="41">
        <f t="shared" si="178"/>
        <v>2223000000</v>
      </c>
      <c r="M584" s="39">
        <f t="shared" si="174"/>
        <v>5973100.0000000009</v>
      </c>
      <c r="N584">
        <f t="shared" si="179"/>
        <v>2223000000</v>
      </c>
      <c r="O584" s="39">
        <f t="shared" si="180"/>
        <v>1.6689158794421953E-4</v>
      </c>
      <c r="P584" s="36">
        <v>75084</v>
      </c>
      <c r="Q584" s="42">
        <v>0.2157</v>
      </c>
      <c r="R584" s="41">
        <f t="shared" si="181"/>
        <v>73305600000</v>
      </c>
      <c r="S584" s="41">
        <f t="shared" si="182"/>
        <v>859150000</v>
      </c>
      <c r="T584" s="41">
        <f t="shared" si="183"/>
        <v>1024300000</v>
      </c>
      <c r="U584" s="41">
        <f t="shared" si="184"/>
        <v>1881630000</v>
      </c>
      <c r="V584" s="41">
        <v>0</v>
      </c>
      <c r="W584">
        <f t="shared" si="175"/>
        <v>1.3628204773253639E-9</v>
      </c>
      <c r="X584">
        <f t="shared" si="185"/>
        <v>0</v>
      </c>
    </row>
    <row r="585" spans="1:24">
      <c r="A585" s="21">
        <v>45429</v>
      </c>
      <c r="B585" s="28">
        <v>15.97</v>
      </c>
      <c r="C585" s="23">
        <f t="shared" si="172"/>
        <v>4.4025157232704584E-3</v>
      </c>
      <c r="D585" s="22">
        <f t="shared" si="173"/>
        <v>1.2309351139198234E-2</v>
      </c>
      <c r="E585" s="28">
        <v>16</v>
      </c>
      <c r="F585" s="28">
        <v>15.78</v>
      </c>
      <c r="G585" s="39">
        <f t="shared" si="176"/>
        <v>1.3845185651353092E-2</v>
      </c>
      <c r="H585" s="28">
        <v>16</v>
      </c>
      <c r="I585" s="28">
        <v>15.91</v>
      </c>
      <c r="J585" s="39">
        <f t="shared" si="177"/>
        <v>5.6408649326229934E-3</v>
      </c>
      <c r="K585" s="25">
        <v>118500</v>
      </c>
      <c r="L585" s="41">
        <f t="shared" si="178"/>
        <v>2223000000</v>
      </c>
      <c r="M585" s="39">
        <f t="shared" si="174"/>
        <v>1892445</v>
      </c>
      <c r="N585">
        <f t="shared" si="179"/>
        <v>2223000000</v>
      </c>
      <c r="O585" s="39">
        <f t="shared" si="180"/>
        <v>5.3306342780026993E-5</v>
      </c>
      <c r="P585" s="36">
        <v>75342.350000000006</v>
      </c>
      <c r="Q585" s="42">
        <v>0.2157</v>
      </c>
      <c r="R585" s="41">
        <f t="shared" si="181"/>
        <v>73305600000</v>
      </c>
      <c r="S585" s="41">
        <f t="shared" si="182"/>
        <v>859150000</v>
      </c>
      <c r="T585" s="41">
        <f t="shared" si="183"/>
        <v>1024300000</v>
      </c>
      <c r="U585" s="41">
        <f t="shared" si="184"/>
        <v>1881630000</v>
      </c>
      <c r="V585" s="41">
        <v>0</v>
      </c>
      <c r="W585">
        <f t="shared" si="175"/>
        <v>2.3263638960553455E-9</v>
      </c>
      <c r="X585">
        <f t="shared" si="185"/>
        <v>0</v>
      </c>
    </row>
    <row r="586" spans="1:24">
      <c r="A586" s="21">
        <v>45428</v>
      </c>
      <c r="B586" s="28">
        <v>15.9</v>
      </c>
      <c r="C586" s="23">
        <f t="shared" si="172"/>
        <v>-1.256281407035149E-3</v>
      </c>
      <c r="D586" s="22">
        <f t="shared" si="173"/>
        <v>1.2309351139198234E-2</v>
      </c>
      <c r="E586" s="28">
        <v>16</v>
      </c>
      <c r="F586" s="28">
        <v>15.6</v>
      </c>
      <c r="G586" s="39">
        <f t="shared" si="176"/>
        <v>2.5316455696202552E-2</v>
      </c>
      <c r="H586" s="28">
        <v>15.98</v>
      </c>
      <c r="I586" s="28">
        <v>15.81</v>
      </c>
      <c r="J586" s="39">
        <f t="shared" si="177"/>
        <v>1.0695187165775397E-2</v>
      </c>
      <c r="K586" s="25">
        <v>296500</v>
      </c>
      <c r="L586" s="41">
        <f t="shared" si="178"/>
        <v>2223000000</v>
      </c>
      <c r="M586" s="39">
        <f t="shared" si="174"/>
        <v>4714350</v>
      </c>
      <c r="N586">
        <f t="shared" si="179"/>
        <v>2223000000</v>
      </c>
      <c r="O586" s="39">
        <f t="shared" si="180"/>
        <v>1.3337831758884389E-4</v>
      </c>
      <c r="P586" s="36">
        <v>74930.7</v>
      </c>
      <c r="Q586" s="42">
        <v>0.2157</v>
      </c>
      <c r="R586" s="41">
        <f t="shared" si="181"/>
        <v>73305600000</v>
      </c>
      <c r="S586" s="41">
        <f t="shared" si="182"/>
        <v>859150000</v>
      </c>
      <c r="T586" s="41">
        <f t="shared" si="183"/>
        <v>1024300000</v>
      </c>
      <c r="U586" s="41">
        <f t="shared" si="184"/>
        <v>1881630000</v>
      </c>
      <c r="V586" s="41">
        <v>0</v>
      </c>
      <c r="W586">
        <f t="shared" si="175"/>
        <v>2.6648030100335125E-10</v>
      </c>
      <c r="X586">
        <f t="shared" si="185"/>
        <v>0</v>
      </c>
    </row>
    <row r="587" spans="1:24">
      <c r="A587" s="21">
        <v>45427</v>
      </c>
      <c r="B587" s="28">
        <v>15.92</v>
      </c>
      <c r="C587" s="23">
        <f t="shared" si="172"/>
        <v>5.6854074542008757E-3</v>
      </c>
      <c r="D587" s="22">
        <f t="shared" si="173"/>
        <v>1.2309351139198234E-2</v>
      </c>
      <c r="E587" s="28">
        <v>16</v>
      </c>
      <c r="F587" s="28">
        <v>15.8</v>
      </c>
      <c r="G587" s="39">
        <f t="shared" si="176"/>
        <v>1.2578616352201213E-2</v>
      </c>
      <c r="H587" s="28">
        <v>15.9</v>
      </c>
      <c r="I587" s="28">
        <v>15.88</v>
      </c>
      <c r="J587" s="39">
        <f t="shared" si="177"/>
        <v>1.2586532410320689E-3</v>
      </c>
      <c r="K587" s="25">
        <v>219000</v>
      </c>
      <c r="L587" s="41">
        <f t="shared" si="178"/>
        <v>2223000000</v>
      </c>
      <c r="M587" s="39">
        <f t="shared" si="174"/>
        <v>3486480</v>
      </c>
      <c r="N587">
        <f t="shared" si="179"/>
        <v>2223000000</v>
      </c>
      <c r="O587" s="39">
        <f t="shared" si="180"/>
        <v>9.8515519568151145E-5</v>
      </c>
      <c r="P587" s="36">
        <v>74663.98</v>
      </c>
      <c r="Q587" s="42">
        <v>0.2157</v>
      </c>
      <c r="R587" s="41">
        <f t="shared" si="181"/>
        <v>73305600000</v>
      </c>
      <c r="S587" s="41">
        <f t="shared" si="182"/>
        <v>859150000</v>
      </c>
      <c r="T587" s="41">
        <f t="shared" si="183"/>
        <v>1024300000</v>
      </c>
      <c r="U587" s="41">
        <f t="shared" si="184"/>
        <v>1881630000</v>
      </c>
      <c r="V587" s="41">
        <v>0</v>
      </c>
      <c r="W587">
        <f t="shared" si="175"/>
        <v>1.6307012959204916E-9</v>
      </c>
      <c r="X587">
        <f t="shared" si="185"/>
        <v>0</v>
      </c>
    </row>
    <row r="588" spans="1:24">
      <c r="A588" s="21">
        <v>45426</v>
      </c>
      <c r="B588" s="28">
        <v>15.83</v>
      </c>
      <c r="C588" s="23">
        <f t="shared" si="172"/>
        <v>5.7179161372299782E-3</v>
      </c>
      <c r="D588" s="22">
        <f t="shared" si="173"/>
        <v>1.2309351139198234E-2</v>
      </c>
      <c r="E588" s="28">
        <v>15.9</v>
      </c>
      <c r="F588" s="28">
        <v>14.7</v>
      </c>
      <c r="G588" s="39">
        <f t="shared" si="176"/>
        <v>7.8431372549019676E-2</v>
      </c>
      <c r="H588" s="28">
        <v>15.8</v>
      </c>
      <c r="I588" s="28">
        <v>15.7</v>
      </c>
      <c r="J588" s="39">
        <f t="shared" si="177"/>
        <v>6.3492063492064394E-3</v>
      </c>
      <c r="K588" s="25">
        <v>639500</v>
      </c>
      <c r="L588" s="41">
        <f t="shared" si="178"/>
        <v>2223000000</v>
      </c>
      <c r="M588" s="39">
        <f t="shared" si="174"/>
        <v>10123285</v>
      </c>
      <c r="N588">
        <f t="shared" si="179"/>
        <v>2223000000</v>
      </c>
      <c r="O588" s="39">
        <f t="shared" si="180"/>
        <v>2.8767431399010347E-4</v>
      </c>
      <c r="P588" s="36">
        <v>74531.19</v>
      </c>
      <c r="Q588" s="42">
        <v>0.21590000000000001</v>
      </c>
      <c r="R588" s="41">
        <f t="shared" si="181"/>
        <v>73305600000</v>
      </c>
      <c r="S588" s="41">
        <f t="shared" si="182"/>
        <v>859150000</v>
      </c>
      <c r="T588" s="41">
        <f t="shared" si="183"/>
        <v>1024300000</v>
      </c>
      <c r="U588" s="41">
        <f t="shared" si="184"/>
        <v>1881630000</v>
      </c>
      <c r="V588" s="41">
        <v>0</v>
      </c>
      <c r="W588">
        <f t="shared" si="175"/>
        <v>5.6482813012080347E-10</v>
      </c>
      <c r="X588">
        <f t="shared" si="185"/>
        <v>0</v>
      </c>
    </row>
    <row r="589" spans="1:24">
      <c r="A589" s="21">
        <v>45425</v>
      </c>
      <c r="B589" s="28">
        <v>15.74</v>
      </c>
      <c r="C589" s="23">
        <f t="shared" si="172"/>
        <v>4.5152722443559078E-2</v>
      </c>
      <c r="D589" s="22">
        <f t="shared" si="173"/>
        <v>1.2309351139198234E-2</v>
      </c>
      <c r="E589" s="28">
        <v>15.95</v>
      </c>
      <c r="F589" s="28">
        <v>14.86</v>
      </c>
      <c r="G589" s="39">
        <f t="shared" si="176"/>
        <v>7.0756247971437841E-2</v>
      </c>
      <c r="H589" s="28">
        <v>15.75</v>
      </c>
      <c r="I589" s="28">
        <v>15.68</v>
      </c>
      <c r="J589" s="39">
        <f t="shared" si="177"/>
        <v>4.4543429844098176E-3</v>
      </c>
      <c r="K589" s="25">
        <v>667000</v>
      </c>
      <c r="L589" s="41">
        <f t="shared" si="178"/>
        <v>2223000000</v>
      </c>
      <c r="M589" s="39">
        <f t="shared" si="174"/>
        <v>10498580</v>
      </c>
      <c r="N589">
        <f t="shared" si="179"/>
        <v>2223000000</v>
      </c>
      <c r="O589" s="39">
        <f t="shared" si="180"/>
        <v>3.0004498425551055E-4</v>
      </c>
      <c r="P589" s="36">
        <v>73799.11</v>
      </c>
      <c r="Q589" s="42">
        <v>0.21590000000000001</v>
      </c>
      <c r="R589" s="41">
        <f t="shared" si="181"/>
        <v>73305600000</v>
      </c>
      <c r="S589" s="41">
        <f t="shared" si="182"/>
        <v>859150000</v>
      </c>
      <c r="T589" s="41">
        <f t="shared" si="183"/>
        <v>1024300000</v>
      </c>
      <c r="U589" s="41">
        <f t="shared" si="184"/>
        <v>1881630000</v>
      </c>
      <c r="V589" s="41">
        <v>0</v>
      </c>
      <c r="W589">
        <f t="shared" si="175"/>
        <v>4.3008409178726149E-9</v>
      </c>
      <c r="X589">
        <f t="shared" si="185"/>
        <v>0</v>
      </c>
    </row>
    <row r="590" spans="1:24">
      <c r="A590" s="21">
        <v>45422</v>
      </c>
      <c r="B590" s="28">
        <v>15.06</v>
      </c>
      <c r="C590" s="23">
        <f t="shared" si="172"/>
        <v>2.1709633649932177E-2</v>
      </c>
      <c r="D590" s="22">
        <f t="shared" si="173"/>
        <v>1.2309351139198234E-2</v>
      </c>
      <c r="E590" s="28">
        <v>15.1</v>
      </c>
      <c r="F590" s="28">
        <v>14.74</v>
      </c>
      <c r="G590" s="39">
        <f t="shared" si="176"/>
        <v>2.4128686327077709E-2</v>
      </c>
      <c r="H590" s="28">
        <v>15.1</v>
      </c>
      <c r="I590" s="28">
        <v>15.05</v>
      </c>
      <c r="J590" s="39">
        <f t="shared" si="177"/>
        <v>3.3167495854062312E-3</v>
      </c>
      <c r="K590" s="25">
        <v>730000</v>
      </c>
      <c r="L590" s="41">
        <f t="shared" si="178"/>
        <v>2223000000</v>
      </c>
      <c r="M590" s="39">
        <f t="shared" si="174"/>
        <v>10993800</v>
      </c>
      <c r="N590">
        <f t="shared" si="179"/>
        <v>2223000000</v>
      </c>
      <c r="O590" s="39">
        <f t="shared" si="180"/>
        <v>3.283850652271705E-4</v>
      </c>
      <c r="P590" s="36">
        <v>73085.5</v>
      </c>
      <c r="Q590" s="42">
        <v>0.21590000000000001</v>
      </c>
      <c r="R590" s="41">
        <f t="shared" si="181"/>
        <v>73305600000</v>
      </c>
      <c r="S590" s="41">
        <f t="shared" si="182"/>
        <v>859150000</v>
      </c>
      <c r="T590" s="41">
        <f t="shared" si="183"/>
        <v>1024300000</v>
      </c>
      <c r="U590" s="41">
        <f t="shared" si="184"/>
        <v>1881630000</v>
      </c>
      <c r="V590" s="41">
        <v>0</v>
      </c>
      <c r="W590">
        <f t="shared" si="175"/>
        <v>1.9747160808757823E-9</v>
      </c>
      <c r="X590">
        <f t="shared" si="185"/>
        <v>0</v>
      </c>
    </row>
    <row r="591" spans="1:24">
      <c r="A591" s="21">
        <v>45421</v>
      </c>
      <c r="B591" s="28">
        <v>14.74</v>
      </c>
      <c r="C591" s="23">
        <f t="shared" si="172"/>
        <v>9.5890410958904496E-3</v>
      </c>
      <c r="D591" s="22">
        <f t="shared" si="173"/>
        <v>1.2309351139198234E-2</v>
      </c>
      <c r="E591" s="28">
        <v>14.8</v>
      </c>
      <c r="F591" s="28">
        <v>14.49</v>
      </c>
      <c r="G591" s="39">
        <f t="shared" si="176"/>
        <v>2.1167634004779824E-2</v>
      </c>
      <c r="H591" s="28">
        <v>14.8</v>
      </c>
      <c r="I591" s="28">
        <v>14.75</v>
      </c>
      <c r="J591" s="39">
        <f t="shared" si="177"/>
        <v>3.3840947546531783E-3</v>
      </c>
      <c r="K591" s="25">
        <v>331000</v>
      </c>
      <c r="L591" s="41">
        <f t="shared" si="178"/>
        <v>2223000000</v>
      </c>
      <c r="M591" s="39">
        <f t="shared" si="174"/>
        <v>4878940</v>
      </c>
      <c r="N591">
        <f t="shared" si="179"/>
        <v>2223000000</v>
      </c>
      <c r="O591" s="39">
        <f t="shared" si="180"/>
        <v>1.48897885739991E-4</v>
      </c>
      <c r="P591" s="36">
        <v>72658.05</v>
      </c>
      <c r="Q591" s="42">
        <v>0.21590000000000001</v>
      </c>
      <c r="R591" s="41">
        <f t="shared" si="181"/>
        <v>73305600000</v>
      </c>
      <c r="S591" s="41">
        <f t="shared" si="182"/>
        <v>859150000</v>
      </c>
      <c r="T591" s="41">
        <f t="shared" si="183"/>
        <v>1024300000</v>
      </c>
      <c r="U591" s="41">
        <f t="shared" si="184"/>
        <v>1881630000</v>
      </c>
      <c r="V591" s="41">
        <v>0</v>
      </c>
      <c r="W591">
        <f t="shared" si="175"/>
        <v>1.9653943471103253E-9</v>
      </c>
      <c r="X591">
        <f t="shared" si="185"/>
        <v>0</v>
      </c>
    </row>
    <row r="592" spans="1:24">
      <c r="A592" s="21">
        <v>45420</v>
      </c>
      <c r="B592" s="28">
        <v>14.6</v>
      </c>
      <c r="C592" s="23">
        <f t="shared" si="172"/>
        <v>6.8965517241379067E-3</v>
      </c>
      <c r="D592" s="22">
        <f t="shared" si="173"/>
        <v>1.2309351139198234E-2</v>
      </c>
      <c r="E592" s="28">
        <v>14.63</v>
      </c>
      <c r="F592" s="28">
        <v>14.5</v>
      </c>
      <c r="G592" s="39">
        <f t="shared" si="176"/>
        <v>8.9255063508411094E-3</v>
      </c>
      <c r="H592" s="28">
        <v>14.63</v>
      </c>
      <c r="I592" s="28">
        <v>14.6</v>
      </c>
      <c r="J592" s="39">
        <f t="shared" si="177"/>
        <v>2.052685596989472E-3</v>
      </c>
      <c r="K592" s="25">
        <v>98000</v>
      </c>
      <c r="L592" s="41">
        <f t="shared" si="178"/>
        <v>2223000000</v>
      </c>
      <c r="M592" s="39">
        <f t="shared" si="174"/>
        <v>1430800</v>
      </c>
      <c r="N592">
        <f t="shared" si="179"/>
        <v>2223000000</v>
      </c>
      <c r="O592" s="39">
        <f t="shared" si="180"/>
        <v>4.4084570400359873E-5</v>
      </c>
      <c r="P592" s="36">
        <v>72601.820000000007</v>
      </c>
      <c r="Q592" s="42">
        <v>0.21590000000000001</v>
      </c>
      <c r="R592" s="41">
        <f t="shared" si="181"/>
        <v>73305600000</v>
      </c>
      <c r="S592" s="41">
        <f t="shared" si="182"/>
        <v>859150000</v>
      </c>
      <c r="T592" s="41">
        <f t="shared" si="183"/>
        <v>1024300000</v>
      </c>
      <c r="U592" s="41">
        <f t="shared" si="184"/>
        <v>1881630000</v>
      </c>
      <c r="V592" s="41">
        <v>0</v>
      </c>
      <c r="W592">
        <f t="shared" si="175"/>
        <v>4.8200669025285903E-9</v>
      </c>
      <c r="X592">
        <f t="shared" si="185"/>
        <v>0</v>
      </c>
    </row>
    <row r="593" spans="1:24">
      <c r="A593" s="21">
        <v>45419</v>
      </c>
      <c r="B593" s="28">
        <v>14.5</v>
      </c>
      <c r="C593" s="23">
        <f t="shared" si="172"/>
        <v>2.0732550103662309E-3</v>
      </c>
      <c r="D593" s="22">
        <f t="shared" si="173"/>
        <v>1.2309351139198234E-2</v>
      </c>
      <c r="E593" s="28">
        <v>14.61</v>
      </c>
      <c r="F593" s="28">
        <v>14.37</v>
      </c>
      <c r="G593" s="39">
        <f t="shared" si="176"/>
        <v>1.6563146997929622E-2</v>
      </c>
      <c r="H593" s="28">
        <v>14.61</v>
      </c>
      <c r="I593" s="28">
        <v>14.6</v>
      </c>
      <c r="J593" s="39">
        <f t="shared" si="177"/>
        <v>6.8469702156794161E-4</v>
      </c>
      <c r="K593" s="25">
        <v>498500</v>
      </c>
      <c r="L593" s="41">
        <f t="shared" si="178"/>
        <v>2223000000</v>
      </c>
      <c r="M593" s="39">
        <f t="shared" si="174"/>
        <v>7228250</v>
      </c>
      <c r="N593">
        <f t="shared" si="179"/>
        <v>2223000000</v>
      </c>
      <c r="O593" s="39">
        <f t="shared" si="180"/>
        <v>2.2424651372019794E-4</v>
      </c>
      <c r="P593" s="36">
        <v>72761.2</v>
      </c>
      <c r="Q593" s="42">
        <v>0.21590000000000001</v>
      </c>
      <c r="R593" s="41">
        <f t="shared" si="181"/>
        <v>73305600000</v>
      </c>
      <c r="S593" s="41">
        <f t="shared" si="182"/>
        <v>859150000</v>
      </c>
      <c r="T593" s="41">
        <f t="shared" si="183"/>
        <v>1024300000</v>
      </c>
      <c r="U593" s="41">
        <f t="shared" si="184"/>
        <v>1881630000</v>
      </c>
      <c r="V593" s="41">
        <v>0</v>
      </c>
      <c r="W593">
        <f t="shared" si="175"/>
        <v>2.868266883915513E-10</v>
      </c>
      <c r="X593">
        <f t="shared" si="185"/>
        <v>0</v>
      </c>
    </row>
    <row r="594" spans="1:24">
      <c r="A594" s="21">
        <v>45418</v>
      </c>
      <c r="B594" s="28">
        <v>14.47</v>
      </c>
      <c r="C594" s="23">
        <f t="shared" si="172"/>
        <v>7.6601671309193048E-3</v>
      </c>
      <c r="D594" s="22">
        <f t="shared" si="173"/>
        <v>1.2309351139198234E-2</v>
      </c>
      <c r="E594" s="28">
        <v>14.68</v>
      </c>
      <c r="F594" s="28">
        <v>14.3</v>
      </c>
      <c r="G594" s="39">
        <f t="shared" si="176"/>
        <v>2.6224982746721807E-2</v>
      </c>
      <c r="H594" s="28">
        <v>14.48</v>
      </c>
      <c r="I594" s="28">
        <v>14.45</v>
      </c>
      <c r="J594" s="39">
        <f t="shared" si="177"/>
        <v>2.0739716557207836E-3</v>
      </c>
      <c r="K594" s="25">
        <v>420500</v>
      </c>
      <c r="L594" s="41">
        <f t="shared" si="178"/>
        <v>2223000000</v>
      </c>
      <c r="M594" s="39">
        <f t="shared" si="174"/>
        <v>6084635</v>
      </c>
      <c r="N594">
        <f t="shared" si="179"/>
        <v>2223000000</v>
      </c>
      <c r="O594" s="39">
        <f t="shared" si="180"/>
        <v>1.8915879442195233E-4</v>
      </c>
      <c r="P594" s="36">
        <v>72764.240000000005</v>
      </c>
      <c r="Q594" s="42">
        <v>0.21590000000000001</v>
      </c>
      <c r="R594" s="41">
        <f t="shared" si="181"/>
        <v>73305600000</v>
      </c>
      <c r="S594" s="41">
        <f t="shared" si="182"/>
        <v>859150000</v>
      </c>
      <c r="T594" s="41">
        <f t="shared" si="183"/>
        <v>1024300000</v>
      </c>
      <c r="U594" s="41">
        <f t="shared" si="184"/>
        <v>1881630000</v>
      </c>
      <c r="V594" s="41">
        <v>0</v>
      </c>
      <c r="W594">
        <f t="shared" si="175"/>
        <v>1.2589361779168849E-9</v>
      </c>
      <c r="X594">
        <f t="shared" si="185"/>
        <v>0</v>
      </c>
    </row>
    <row r="595" spans="1:24">
      <c r="A595" s="21">
        <v>45415</v>
      </c>
      <c r="B595" s="28">
        <v>14.36</v>
      </c>
      <c r="C595" s="23">
        <f t="shared" si="172"/>
        <v>4.1958041958041065E-3</v>
      </c>
      <c r="D595" s="22">
        <f t="shared" si="173"/>
        <v>1.2309351139198234E-2</v>
      </c>
      <c r="E595" s="28">
        <v>14.5</v>
      </c>
      <c r="F595" s="28">
        <v>14.28</v>
      </c>
      <c r="G595" s="39">
        <f t="shared" si="176"/>
        <v>1.5288394718554596E-2</v>
      </c>
      <c r="H595" s="28">
        <v>14.38</v>
      </c>
      <c r="I595" s="28">
        <v>14.35</v>
      </c>
      <c r="J595" s="39">
        <f t="shared" si="177"/>
        <v>2.0884093282284117E-3</v>
      </c>
      <c r="K595" s="25">
        <v>379000</v>
      </c>
      <c r="L595" s="41">
        <f t="shared" si="178"/>
        <v>2223000000</v>
      </c>
      <c r="M595" s="39">
        <f t="shared" si="174"/>
        <v>5442440</v>
      </c>
      <c r="N595">
        <f t="shared" si="179"/>
        <v>2223000000</v>
      </c>
      <c r="O595" s="39">
        <f t="shared" si="180"/>
        <v>1.7049032838506524E-4</v>
      </c>
      <c r="P595" s="36">
        <v>71902.09</v>
      </c>
      <c r="Q595" s="42">
        <v>0.21590000000000001</v>
      </c>
      <c r="R595" s="41">
        <f t="shared" si="181"/>
        <v>73305600000</v>
      </c>
      <c r="S595" s="41">
        <f t="shared" si="182"/>
        <v>859150000</v>
      </c>
      <c r="T595" s="41">
        <f t="shared" si="183"/>
        <v>1024300000</v>
      </c>
      <c r="U595" s="41">
        <f t="shared" si="184"/>
        <v>1881630000</v>
      </c>
      <c r="V595" s="41">
        <v>0</v>
      </c>
      <c r="W595">
        <f t="shared" si="175"/>
        <v>7.7094174594558805E-10</v>
      </c>
      <c r="X595">
        <f t="shared" si="185"/>
        <v>0</v>
      </c>
    </row>
    <row r="596" spans="1:24">
      <c r="A596" s="21">
        <v>45414</v>
      </c>
      <c r="B596" s="28">
        <v>14.3</v>
      </c>
      <c r="C596" s="23">
        <f t="shared" si="172"/>
        <v>6.9979006298121513E-4</v>
      </c>
      <c r="D596" s="22">
        <f t="shared" si="173"/>
        <v>1.2309351139198234E-2</v>
      </c>
      <c r="E596" s="28">
        <v>14.41</v>
      </c>
      <c r="F596" s="28">
        <v>14.21</v>
      </c>
      <c r="G596" s="39">
        <f t="shared" si="176"/>
        <v>1.3976240391334681E-2</v>
      </c>
      <c r="H596" s="28">
        <v>14.33</v>
      </c>
      <c r="I596" s="28">
        <v>14.3</v>
      </c>
      <c r="J596" s="39">
        <f t="shared" si="177"/>
        <v>2.0957038071952048E-3</v>
      </c>
      <c r="K596" s="25">
        <v>300500</v>
      </c>
      <c r="L596" s="41">
        <f t="shared" si="178"/>
        <v>2223000000</v>
      </c>
      <c r="M596" s="39">
        <f t="shared" si="174"/>
        <v>4297150</v>
      </c>
      <c r="N596">
        <f t="shared" si="179"/>
        <v>2223000000</v>
      </c>
      <c r="O596" s="39">
        <f t="shared" si="180"/>
        <v>1.3517768780926676E-4</v>
      </c>
      <c r="P596" s="36">
        <v>70657.64</v>
      </c>
      <c r="Q596" s="42">
        <v>0.21590000000000001</v>
      </c>
      <c r="R596" s="41">
        <f t="shared" si="181"/>
        <v>73305600000</v>
      </c>
      <c r="S596" s="41">
        <f t="shared" si="182"/>
        <v>859150000</v>
      </c>
      <c r="T596" s="41">
        <f t="shared" si="183"/>
        <v>1024300000</v>
      </c>
      <c r="U596" s="41">
        <f t="shared" si="184"/>
        <v>1881630000</v>
      </c>
      <c r="V596" s="41">
        <v>0</v>
      </c>
      <c r="W596">
        <f t="shared" si="175"/>
        <v>1.6284981045139571E-10</v>
      </c>
      <c r="X596">
        <f t="shared" si="185"/>
        <v>0</v>
      </c>
    </row>
    <row r="597" spans="1:24">
      <c r="A597" s="21">
        <v>45412</v>
      </c>
      <c r="B597" s="28">
        <v>14.29</v>
      </c>
      <c r="C597" s="23">
        <f t="shared" si="172"/>
        <v>-1.3802622498274745E-2</v>
      </c>
      <c r="D597" s="22">
        <f t="shared" si="173"/>
        <v>1.2309351139198234E-2</v>
      </c>
      <c r="E597" s="28">
        <v>14.5</v>
      </c>
      <c r="F597" s="28">
        <v>14.2</v>
      </c>
      <c r="G597" s="39">
        <f t="shared" si="176"/>
        <v>2.0905923344947785E-2</v>
      </c>
      <c r="H597" s="28">
        <v>14.32</v>
      </c>
      <c r="I597" s="28">
        <v>14.28</v>
      </c>
      <c r="J597" s="39">
        <f t="shared" si="177"/>
        <v>2.7972027972028618E-3</v>
      </c>
      <c r="K597" s="25">
        <v>955000</v>
      </c>
      <c r="L597" s="41">
        <f t="shared" si="178"/>
        <v>2223000000</v>
      </c>
      <c r="M597" s="39">
        <f t="shared" si="174"/>
        <v>13646950</v>
      </c>
      <c r="N597">
        <f t="shared" si="179"/>
        <v>2223000000</v>
      </c>
      <c r="O597" s="39">
        <f t="shared" si="180"/>
        <v>4.295996401259559E-4</v>
      </c>
      <c r="P597" s="36">
        <v>71102.55</v>
      </c>
      <c r="Q597" s="42">
        <v>0.21590000000000001</v>
      </c>
      <c r="R597" s="41">
        <f t="shared" si="181"/>
        <v>73305600000</v>
      </c>
      <c r="S597" s="41">
        <f t="shared" si="182"/>
        <v>859150000</v>
      </c>
      <c r="T597" s="41">
        <f t="shared" si="183"/>
        <v>1024300000</v>
      </c>
      <c r="U597" s="41">
        <f t="shared" si="184"/>
        <v>1881630000</v>
      </c>
      <c r="V597" s="41">
        <v>0</v>
      </c>
      <c r="W597">
        <f t="shared" si="175"/>
        <v>1.0114071274735193E-9</v>
      </c>
      <c r="X597">
        <f t="shared" si="185"/>
        <v>0</v>
      </c>
    </row>
    <row r="598" spans="1:24">
      <c r="A598" s="21">
        <v>45411</v>
      </c>
      <c r="B598" s="28">
        <v>14.49</v>
      </c>
      <c r="C598" s="23">
        <f t="shared" si="172"/>
        <v>4.8543689320388545E-3</v>
      </c>
      <c r="D598" s="22">
        <f t="shared" si="173"/>
        <v>1.2309351139198234E-2</v>
      </c>
      <c r="E598" s="28">
        <v>14.51</v>
      </c>
      <c r="F598" s="28">
        <v>14.31</v>
      </c>
      <c r="G598" s="39">
        <f t="shared" si="176"/>
        <v>1.3879250520471845E-2</v>
      </c>
      <c r="H598" s="28">
        <v>14.51</v>
      </c>
      <c r="I598" s="28">
        <v>14.5</v>
      </c>
      <c r="J598" s="39">
        <f t="shared" si="177"/>
        <v>6.8941744226127459E-4</v>
      </c>
      <c r="K598" s="25">
        <v>176500</v>
      </c>
      <c r="L598" s="41">
        <f t="shared" si="178"/>
        <v>2223000000</v>
      </c>
      <c r="M598" s="39">
        <f t="shared" si="174"/>
        <v>2557485</v>
      </c>
      <c r="N598">
        <f t="shared" si="179"/>
        <v>2223000000</v>
      </c>
      <c r="O598" s="39">
        <f t="shared" si="180"/>
        <v>7.939721097615835E-5</v>
      </c>
      <c r="P598" s="36">
        <v>71695.03</v>
      </c>
      <c r="Q598" s="42">
        <v>0.21640000000000001</v>
      </c>
      <c r="R598" s="41">
        <f t="shared" si="181"/>
        <v>73305600000</v>
      </c>
      <c r="S598" s="41">
        <f t="shared" si="182"/>
        <v>859150000</v>
      </c>
      <c r="T598" s="41">
        <f t="shared" si="183"/>
        <v>1024300000</v>
      </c>
      <c r="U598" s="41">
        <f t="shared" si="184"/>
        <v>1881630000</v>
      </c>
      <c r="V598" s="41">
        <v>0</v>
      </c>
      <c r="W598">
        <f t="shared" si="175"/>
        <v>1.8981026015944782E-9</v>
      </c>
      <c r="X598">
        <f t="shared" si="185"/>
        <v>0</v>
      </c>
    </row>
    <row r="599" spans="1:24">
      <c r="A599" s="21">
        <v>45408</v>
      </c>
      <c r="B599" s="28">
        <v>14.42</v>
      </c>
      <c r="C599" s="23">
        <f t="shared" si="172"/>
        <v>1.4778325123152643E-2</v>
      </c>
      <c r="D599" s="22">
        <f t="shared" si="173"/>
        <v>1.2309351139198234E-2</v>
      </c>
      <c r="E599" s="28">
        <v>14.48</v>
      </c>
      <c r="F599" s="28">
        <v>14.23</v>
      </c>
      <c r="G599" s="39">
        <f t="shared" si="176"/>
        <v>1.7415534656913968E-2</v>
      </c>
      <c r="H599" s="28">
        <v>14.45</v>
      </c>
      <c r="I599" s="28">
        <v>14.38</v>
      </c>
      <c r="J599" s="39">
        <f t="shared" si="177"/>
        <v>4.8560527228580308E-3</v>
      </c>
      <c r="K599" s="25">
        <v>90500</v>
      </c>
      <c r="L599" s="41">
        <f t="shared" si="178"/>
        <v>2223000000</v>
      </c>
      <c r="M599" s="39">
        <f t="shared" si="174"/>
        <v>1305010</v>
      </c>
      <c r="N599">
        <f t="shared" si="179"/>
        <v>2223000000</v>
      </c>
      <c r="O599" s="39">
        <f t="shared" si="180"/>
        <v>4.0710751237067028E-5</v>
      </c>
      <c r="P599" s="36">
        <v>72742.75</v>
      </c>
      <c r="Q599" s="42">
        <v>0.21640000000000001</v>
      </c>
      <c r="R599" s="41">
        <f t="shared" si="181"/>
        <v>73305600000</v>
      </c>
      <c r="S599" s="41">
        <f t="shared" si="182"/>
        <v>859150000</v>
      </c>
      <c r="T599" s="41">
        <f t="shared" si="183"/>
        <v>1024300000</v>
      </c>
      <c r="U599" s="41">
        <f t="shared" si="184"/>
        <v>1881630000</v>
      </c>
      <c r="V599" s="41">
        <v>0</v>
      </c>
      <c r="W599">
        <f t="shared" si="175"/>
        <v>1.1324300291302475E-8</v>
      </c>
      <c r="X599">
        <f t="shared" si="185"/>
        <v>0</v>
      </c>
    </row>
    <row r="600" spans="1:24">
      <c r="A600" s="21">
        <v>45407</v>
      </c>
      <c r="B600" s="28">
        <v>14.21</v>
      </c>
      <c r="C600" s="23">
        <f t="shared" si="172"/>
        <v>-2.4038461538461512E-2</v>
      </c>
      <c r="D600" s="22">
        <f t="shared" si="173"/>
        <v>1.2309351139198234E-2</v>
      </c>
      <c r="E600" s="28">
        <v>14.5</v>
      </c>
      <c r="F600" s="28">
        <v>14.2</v>
      </c>
      <c r="G600" s="39">
        <f t="shared" si="176"/>
        <v>2.0905923344947785E-2</v>
      </c>
      <c r="H600" s="28">
        <v>14.3</v>
      </c>
      <c r="I600" s="28">
        <v>14.21</v>
      </c>
      <c r="J600" s="39">
        <f t="shared" si="177"/>
        <v>6.3135741844966573E-3</v>
      </c>
      <c r="K600" s="25">
        <v>684000</v>
      </c>
      <c r="L600" s="41">
        <f t="shared" si="178"/>
        <v>2223000000</v>
      </c>
      <c r="M600" s="39">
        <f t="shared" si="174"/>
        <v>9719640</v>
      </c>
      <c r="N600">
        <f t="shared" si="179"/>
        <v>2223000000</v>
      </c>
      <c r="O600" s="39">
        <f t="shared" si="180"/>
        <v>3.076923076923077E-4</v>
      </c>
      <c r="P600" s="36">
        <v>71971.399999999994</v>
      </c>
      <c r="Q600" s="42">
        <v>0.21640000000000001</v>
      </c>
      <c r="R600" s="41">
        <f t="shared" si="181"/>
        <v>73305600000</v>
      </c>
      <c r="S600" s="41">
        <f t="shared" si="182"/>
        <v>859150000</v>
      </c>
      <c r="T600" s="41">
        <f t="shared" si="183"/>
        <v>1024300000</v>
      </c>
      <c r="U600" s="41">
        <f t="shared" si="184"/>
        <v>1881630000</v>
      </c>
      <c r="V600" s="41">
        <v>0</v>
      </c>
      <c r="W600">
        <f t="shared" si="175"/>
        <v>2.4731843502909071E-9</v>
      </c>
      <c r="X600">
        <f t="shared" si="185"/>
        <v>0</v>
      </c>
    </row>
    <row r="601" spans="1:24">
      <c r="A601" s="21">
        <v>45406</v>
      </c>
      <c r="B601" s="28">
        <v>14.56</v>
      </c>
      <c r="C601" s="23">
        <f t="shared" si="172"/>
        <v>4.1379310344827926E-3</v>
      </c>
      <c r="D601" s="22">
        <f t="shared" si="173"/>
        <v>1.2309351139198234E-2</v>
      </c>
      <c r="E601" s="28">
        <v>14.6</v>
      </c>
      <c r="F601" s="28">
        <v>14.46</v>
      </c>
      <c r="G601" s="39">
        <f t="shared" si="176"/>
        <v>9.6352374397796828E-3</v>
      </c>
      <c r="H601" s="28">
        <v>14.6</v>
      </c>
      <c r="I601" s="28">
        <v>14.52</v>
      </c>
      <c r="J601" s="39">
        <f t="shared" si="177"/>
        <v>5.4945054945055001E-3</v>
      </c>
      <c r="K601" s="25">
        <v>115500</v>
      </c>
      <c r="L601" s="41">
        <f t="shared" si="178"/>
        <v>2223000000</v>
      </c>
      <c r="M601" s="39">
        <f t="shared" si="174"/>
        <v>1681680</v>
      </c>
      <c r="N601">
        <f t="shared" si="179"/>
        <v>2223000000</v>
      </c>
      <c r="O601" s="39">
        <f t="shared" si="180"/>
        <v>5.1956815114709848E-5</v>
      </c>
      <c r="P601" s="36">
        <v>72051.89</v>
      </c>
      <c r="Q601" s="42">
        <v>0.21640000000000001</v>
      </c>
      <c r="R601" s="41">
        <f t="shared" si="181"/>
        <v>73305600000</v>
      </c>
      <c r="S601" s="41">
        <f t="shared" si="182"/>
        <v>859150000</v>
      </c>
      <c r="T601" s="41">
        <f t="shared" si="183"/>
        <v>1024300000</v>
      </c>
      <c r="U601" s="41">
        <f t="shared" si="184"/>
        <v>1881630000</v>
      </c>
      <c r="V601" s="41">
        <v>0</v>
      </c>
      <c r="W601">
        <f t="shared" si="175"/>
        <v>2.4605935935985398E-9</v>
      </c>
      <c r="X601">
        <f t="shared" si="185"/>
        <v>0</v>
      </c>
    </row>
    <row r="602" spans="1:24">
      <c r="A602" s="21">
        <v>45405</v>
      </c>
      <c r="B602" s="28">
        <v>14.5</v>
      </c>
      <c r="C602" s="23">
        <f t="shared" si="172"/>
        <v>4.1551246537396471E-3</v>
      </c>
      <c r="D602" s="22">
        <f t="shared" si="173"/>
        <v>1.2309351139198234E-2</v>
      </c>
      <c r="E602" s="28">
        <v>14.69</v>
      </c>
      <c r="F602" s="28">
        <v>14.43</v>
      </c>
      <c r="G602" s="39">
        <f t="shared" si="176"/>
        <v>1.7857142857142846E-2</v>
      </c>
      <c r="H602" s="28">
        <v>14.51</v>
      </c>
      <c r="I602" s="28">
        <v>14.49</v>
      </c>
      <c r="J602" s="39">
        <f t="shared" si="177"/>
        <v>1.3793103448275568E-3</v>
      </c>
      <c r="K602" s="25">
        <v>204500</v>
      </c>
      <c r="L602" s="41">
        <f t="shared" si="178"/>
        <v>2223000000</v>
      </c>
      <c r="M602" s="39">
        <f t="shared" si="174"/>
        <v>2965250</v>
      </c>
      <c r="N602">
        <f t="shared" si="179"/>
        <v>2223000000</v>
      </c>
      <c r="O602" s="39">
        <f t="shared" si="180"/>
        <v>9.1992802519118308E-5</v>
      </c>
      <c r="P602" s="36">
        <v>71359.41</v>
      </c>
      <c r="Q602" s="42">
        <v>0.21640000000000001</v>
      </c>
      <c r="R602" s="41">
        <f t="shared" si="181"/>
        <v>73305600000</v>
      </c>
      <c r="S602" s="41">
        <f t="shared" si="182"/>
        <v>859150000</v>
      </c>
      <c r="T602" s="41">
        <f t="shared" si="183"/>
        <v>1024300000</v>
      </c>
      <c r="U602" s="41">
        <f t="shared" si="184"/>
        <v>1881630000</v>
      </c>
      <c r="V602" s="41">
        <v>0</v>
      </c>
      <c r="W602">
        <f t="shared" si="175"/>
        <v>1.4012729630687621E-9</v>
      </c>
      <c r="X602">
        <f t="shared" si="185"/>
        <v>0</v>
      </c>
    </row>
    <row r="603" spans="1:24">
      <c r="A603" s="21">
        <v>45404</v>
      </c>
      <c r="B603" s="28">
        <v>14.44</v>
      </c>
      <c r="C603" s="23">
        <f t="shared" si="172"/>
        <v>-6.1940812112869833E-3</v>
      </c>
      <c r="D603" s="22">
        <f t="shared" si="173"/>
        <v>1.2309351139198234E-2</v>
      </c>
      <c r="E603" s="28">
        <v>14.6</v>
      </c>
      <c r="F603" s="28">
        <v>14.35</v>
      </c>
      <c r="G603" s="39">
        <f t="shared" si="176"/>
        <v>1.7271157167530225E-2</v>
      </c>
      <c r="H603" s="28">
        <v>14.55</v>
      </c>
      <c r="I603" s="28">
        <v>14.46</v>
      </c>
      <c r="J603" s="39">
        <f t="shared" si="177"/>
        <v>6.2047569803515929E-3</v>
      </c>
      <c r="K603" s="25">
        <v>414000</v>
      </c>
      <c r="L603" s="41">
        <f t="shared" si="178"/>
        <v>2223000000</v>
      </c>
      <c r="M603" s="39">
        <f t="shared" si="174"/>
        <v>5978160</v>
      </c>
      <c r="N603">
        <f t="shared" si="179"/>
        <v>2223000000</v>
      </c>
      <c r="O603" s="39">
        <f t="shared" si="180"/>
        <v>1.8623481781376519E-4</v>
      </c>
      <c r="P603" s="36">
        <v>71433.460000000006</v>
      </c>
      <c r="Q603" s="42">
        <v>0.21640000000000001</v>
      </c>
      <c r="R603" s="41">
        <f t="shared" si="181"/>
        <v>73305600000</v>
      </c>
      <c r="S603" s="41">
        <f t="shared" si="182"/>
        <v>859150000</v>
      </c>
      <c r="T603" s="41">
        <f t="shared" si="183"/>
        <v>1024300000</v>
      </c>
      <c r="U603" s="41">
        <f t="shared" si="184"/>
        <v>1881630000</v>
      </c>
      <c r="V603" s="41">
        <v>0</v>
      </c>
      <c r="W603">
        <f t="shared" si="175"/>
        <v>1.0361183393028931E-9</v>
      </c>
      <c r="X603">
        <f t="shared" si="185"/>
        <v>0</v>
      </c>
    </row>
    <row r="604" spans="1:24">
      <c r="A604" s="21">
        <v>45401</v>
      </c>
      <c r="B604" s="28">
        <v>14.53</v>
      </c>
      <c r="C604" s="23">
        <f t="shared" si="172"/>
        <v>2.7605244996548755E-3</v>
      </c>
      <c r="D604" s="22">
        <f t="shared" si="173"/>
        <v>1.2309351139198234E-2</v>
      </c>
      <c r="E604" s="28">
        <v>14.55</v>
      </c>
      <c r="F604" s="28">
        <v>14.38</v>
      </c>
      <c r="G604" s="39">
        <f t="shared" si="176"/>
        <v>1.1752506049083991E-2</v>
      </c>
      <c r="H604" s="28">
        <v>14.55</v>
      </c>
      <c r="I604" s="28">
        <v>14.5</v>
      </c>
      <c r="J604" s="39">
        <f t="shared" si="177"/>
        <v>3.4423407917384308E-3</v>
      </c>
      <c r="K604" s="25">
        <v>150000</v>
      </c>
      <c r="L604" s="41">
        <f t="shared" si="178"/>
        <v>2223000000</v>
      </c>
      <c r="M604" s="39">
        <f t="shared" si="174"/>
        <v>2179500</v>
      </c>
      <c r="N604">
        <f t="shared" si="179"/>
        <v>2223000000</v>
      </c>
      <c r="O604" s="39">
        <f t="shared" si="180"/>
        <v>6.7476383265856947E-5</v>
      </c>
      <c r="P604" s="36">
        <v>70909.899999999994</v>
      </c>
      <c r="Q604" s="42">
        <v>0.21640000000000001</v>
      </c>
      <c r="R604" s="41">
        <f t="shared" si="181"/>
        <v>73305600000</v>
      </c>
      <c r="S604" s="41">
        <f t="shared" si="182"/>
        <v>859150000</v>
      </c>
      <c r="T604" s="41">
        <f t="shared" si="183"/>
        <v>1024300000</v>
      </c>
      <c r="U604" s="41">
        <f t="shared" si="184"/>
        <v>1881630000</v>
      </c>
      <c r="V604" s="41">
        <v>0</v>
      </c>
      <c r="W604">
        <f t="shared" si="175"/>
        <v>1.2665861434525696E-9</v>
      </c>
      <c r="X604">
        <f t="shared" si="185"/>
        <v>0</v>
      </c>
    </row>
    <row r="605" spans="1:24">
      <c r="A605" s="21">
        <v>45400</v>
      </c>
      <c r="B605" s="28">
        <v>14.49</v>
      </c>
      <c r="C605" s="23">
        <f t="shared" si="172"/>
        <v>2.768166089965462E-3</v>
      </c>
      <c r="D605" s="22">
        <f t="shared" si="173"/>
        <v>1.2309351139198234E-2</v>
      </c>
      <c r="E605" s="28">
        <v>14.55</v>
      </c>
      <c r="F605" s="28">
        <v>14.35</v>
      </c>
      <c r="G605" s="39">
        <f t="shared" si="176"/>
        <v>1.3840830449827065E-2</v>
      </c>
      <c r="H605" s="28">
        <v>14.49</v>
      </c>
      <c r="I605" s="28">
        <v>14.42</v>
      </c>
      <c r="J605" s="39">
        <f t="shared" si="177"/>
        <v>4.8426150121065568E-3</v>
      </c>
      <c r="K605" s="25">
        <v>105500</v>
      </c>
      <c r="L605" s="41">
        <f t="shared" si="178"/>
        <v>2223000000</v>
      </c>
      <c r="M605" s="39">
        <f t="shared" si="174"/>
        <v>1528695</v>
      </c>
      <c r="N605">
        <f t="shared" si="179"/>
        <v>2223000000</v>
      </c>
      <c r="O605" s="39">
        <f t="shared" si="180"/>
        <v>4.7458389563652724E-5</v>
      </c>
      <c r="P605" s="36">
        <v>70290.12</v>
      </c>
      <c r="Q605" s="42">
        <v>0.21640000000000001</v>
      </c>
      <c r="R605" s="41">
        <f t="shared" si="181"/>
        <v>73305600000</v>
      </c>
      <c r="S605" s="41">
        <f t="shared" si="182"/>
        <v>859150000</v>
      </c>
      <c r="T605" s="41">
        <f t="shared" si="183"/>
        <v>1024300000</v>
      </c>
      <c r="U605" s="41">
        <f t="shared" si="184"/>
        <v>1881630000</v>
      </c>
      <c r="V605" s="41">
        <v>0</v>
      </c>
      <c r="W605">
        <f t="shared" si="175"/>
        <v>1.8108033911051336E-9</v>
      </c>
      <c r="X605">
        <f t="shared" si="185"/>
        <v>0</v>
      </c>
    </row>
    <row r="606" spans="1:24">
      <c r="A606" s="21">
        <v>45399</v>
      </c>
      <c r="B606" s="28">
        <v>14.45</v>
      </c>
      <c r="C606" s="23">
        <f t="shared" si="172"/>
        <v>-1.4996591683708291E-2</v>
      </c>
      <c r="D606" s="22">
        <f t="shared" si="173"/>
        <v>1.2309351139198234E-2</v>
      </c>
      <c r="E606" s="28">
        <v>14.5</v>
      </c>
      <c r="F606" s="28">
        <v>14.14</v>
      </c>
      <c r="G606" s="39">
        <f t="shared" si="176"/>
        <v>2.5139664804469233E-2</v>
      </c>
      <c r="H606" s="28">
        <v>14.48</v>
      </c>
      <c r="I606" s="28">
        <v>14.4</v>
      </c>
      <c r="J606" s="39">
        <f t="shared" si="177"/>
        <v>5.5401662049861539E-3</v>
      </c>
      <c r="K606" s="25">
        <v>263500</v>
      </c>
      <c r="L606" s="41">
        <f t="shared" si="178"/>
        <v>2223000000</v>
      </c>
      <c r="M606" s="39">
        <f t="shared" si="174"/>
        <v>3807575</v>
      </c>
      <c r="N606">
        <f t="shared" si="179"/>
        <v>2223000000</v>
      </c>
      <c r="O606" s="39">
        <f t="shared" si="180"/>
        <v>1.1853351327035537E-4</v>
      </c>
      <c r="P606" s="36">
        <v>70333.320000000007</v>
      </c>
      <c r="Q606" s="42">
        <v>0.21640000000000001</v>
      </c>
      <c r="R606" s="41">
        <f t="shared" si="181"/>
        <v>73305600000</v>
      </c>
      <c r="S606" s="41">
        <f t="shared" si="182"/>
        <v>859150000</v>
      </c>
      <c r="T606" s="41">
        <f t="shared" si="183"/>
        <v>1024300000</v>
      </c>
      <c r="U606" s="41">
        <f t="shared" si="184"/>
        <v>1881630000</v>
      </c>
      <c r="V606" s="41">
        <v>0</v>
      </c>
      <c r="W606">
        <f t="shared" si="175"/>
        <v>3.9386201673527879E-9</v>
      </c>
      <c r="X606">
        <f t="shared" si="185"/>
        <v>0</v>
      </c>
    </row>
    <row r="607" spans="1:24">
      <c r="A607" s="21">
        <v>45398</v>
      </c>
      <c r="B607" s="28">
        <v>14.67</v>
      </c>
      <c r="C607" s="23">
        <f t="shared" si="172"/>
        <v>-2.0408163265305686E-3</v>
      </c>
      <c r="D607" s="22">
        <f t="shared" si="173"/>
        <v>1.2309351139198234E-2</v>
      </c>
      <c r="E607" s="28">
        <v>14.7</v>
      </c>
      <c r="F607" s="28">
        <v>14.6</v>
      </c>
      <c r="G607" s="39">
        <f t="shared" si="176"/>
        <v>6.8259385665528777E-3</v>
      </c>
      <c r="H607" s="28">
        <v>14.67</v>
      </c>
      <c r="I607" s="28">
        <v>14.61</v>
      </c>
      <c r="J607" s="39">
        <f t="shared" si="177"/>
        <v>4.098360655737739E-3</v>
      </c>
      <c r="K607" s="25">
        <v>295500</v>
      </c>
      <c r="L607" s="41">
        <f t="shared" si="178"/>
        <v>2223000000</v>
      </c>
      <c r="M607" s="39">
        <f t="shared" si="174"/>
        <v>4334985</v>
      </c>
      <c r="N607">
        <f t="shared" si="179"/>
        <v>2223000000</v>
      </c>
      <c r="O607" s="39">
        <f t="shared" si="180"/>
        <v>1.3292847503373819E-4</v>
      </c>
      <c r="P607" s="36">
        <v>70483.66</v>
      </c>
      <c r="Q607" s="42">
        <v>0.216</v>
      </c>
      <c r="R607" s="41">
        <f t="shared" si="181"/>
        <v>73305600000</v>
      </c>
      <c r="S607" s="41">
        <f t="shared" si="182"/>
        <v>859150000</v>
      </c>
      <c r="T607" s="41">
        <f t="shared" si="183"/>
        <v>1024300000</v>
      </c>
      <c r="U607" s="41">
        <f t="shared" si="184"/>
        <v>1881630000</v>
      </c>
      <c r="V607" s="41">
        <v>0</v>
      </c>
      <c r="W607">
        <f t="shared" si="175"/>
        <v>4.7077817490269713E-10</v>
      </c>
      <c r="X607">
        <f t="shared" si="185"/>
        <v>0</v>
      </c>
    </row>
    <row r="608" spans="1:24">
      <c r="A608" s="21">
        <v>45397</v>
      </c>
      <c r="B608" s="28">
        <v>14.7</v>
      </c>
      <c r="C608" s="23">
        <f t="shared" si="172"/>
        <v>6.1601642710472186E-3</v>
      </c>
      <c r="D608" s="22">
        <f t="shared" si="173"/>
        <v>1.2309351139198234E-2</v>
      </c>
      <c r="E608" s="28">
        <v>14.84</v>
      </c>
      <c r="F608" s="28">
        <v>14.5</v>
      </c>
      <c r="G608" s="39">
        <f t="shared" si="176"/>
        <v>2.3176550783912737E-2</v>
      </c>
      <c r="H608" s="28">
        <v>14.74</v>
      </c>
      <c r="I608" s="28">
        <v>14.67</v>
      </c>
      <c r="J608" s="39">
        <f t="shared" si="177"/>
        <v>4.7602856171370476E-3</v>
      </c>
      <c r="K608" s="25">
        <v>675000</v>
      </c>
      <c r="L608" s="41">
        <f t="shared" si="178"/>
        <v>2223000000</v>
      </c>
      <c r="M608" s="39">
        <f t="shared" si="174"/>
        <v>9922500</v>
      </c>
      <c r="N608">
        <f t="shared" si="179"/>
        <v>2223000000</v>
      </c>
      <c r="O608" s="39">
        <f t="shared" si="180"/>
        <v>3.0364372469635629E-4</v>
      </c>
      <c r="P608" s="36">
        <v>70544.58</v>
      </c>
      <c r="Q608" s="42">
        <v>0.216</v>
      </c>
      <c r="R608" s="41">
        <f t="shared" si="181"/>
        <v>73305600000</v>
      </c>
      <c r="S608" s="41">
        <f t="shared" si="182"/>
        <v>859150000</v>
      </c>
      <c r="T608" s="41">
        <f t="shared" si="183"/>
        <v>1024300000</v>
      </c>
      <c r="U608" s="41">
        <f t="shared" si="184"/>
        <v>1881630000</v>
      </c>
      <c r="V608" s="41">
        <v>0</v>
      </c>
      <c r="W608">
        <f t="shared" si="175"/>
        <v>6.2082784288709682E-10</v>
      </c>
      <c r="X608">
        <f t="shared" si="185"/>
        <v>0</v>
      </c>
    </row>
    <row r="609" spans="1:24">
      <c r="A609" s="21">
        <v>45391</v>
      </c>
      <c r="B609" s="28">
        <v>14.61</v>
      </c>
      <c r="C609" s="23">
        <f t="shared" si="172"/>
        <v>1.1772853185595563E-2</v>
      </c>
      <c r="D609" s="22">
        <f t="shared" si="173"/>
        <v>1.2309351139198234E-2</v>
      </c>
      <c r="E609" s="28">
        <v>14.65</v>
      </c>
      <c r="F609" s="28">
        <v>14.45</v>
      </c>
      <c r="G609" s="39">
        <f t="shared" si="176"/>
        <v>1.3745704467354024E-2</v>
      </c>
      <c r="H609" s="28">
        <v>14.6</v>
      </c>
      <c r="I609" s="28">
        <v>14.56</v>
      </c>
      <c r="J609" s="39">
        <f t="shared" si="177"/>
        <v>2.7434842249656481E-3</v>
      </c>
      <c r="K609" s="25">
        <v>280500</v>
      </c>
      <c r="L609" s="41">
        <f t="shared" si="178"/>
        <v>2223000000</v>
      </c>
      <c r="M609" s="39">
        <f t="shared" si="174"/>
        <v>4098105</v>
      </c>
      <c r="N609">
        <f t="shared" si="179"/>
        <v>2223000000</v>
      </c>
      <c r="O609" s="39">
        <f t="shared" si="180"/>
        <v>1.261808367071525E-4</v>
      </c>
      <c r="P609" s="36">
        <v>70314.720000000001</v>
      </c>
      <c r="Q609" s="42">
        <v>0.216</v>
      </c>
      <c r="R609" s="41">
        <f t="shared" si="181"/>
        <v>73305600000</v>
      </c>
      <c r="S609" s="41">
        <f t="shared" si="182"/>
        <v>859150000</v>
      </c>
      <c r="T609" s="41">
        <f t="shared" si="183"/>
        <v>1024300000</v>
      </c>
      <c r="U609" s="41">
        <f t="shared" si="184"/>
        <v>1881630000</v>
      </c>
      <c r="V609" s="41">
        <v>0</v>
      </c>
      <c r="W609">
        <f t="shared" si="175"/>
        <v>2.8727553797659071E-9</v>
      </c>
      <c r="X609">
        <f t="shared" si="185"/>
        <v>0</v>
      </c>
    </row>
    <row r="610" spans="1:24">
      <c r="A610" s="21">
        <v>45390</v>
      </c>
      <c r="B610" s="28">
        <v>14.44</v>
      </c>
      <c r="C610" s="23">
        <f t="shared" si="172"/>
        <v>8.3798882681563706E-3</v>
      </c>
      <c r="D610" s="22">
        <f t="shared" si="173"/>
        <v>1.2309351139198234E-2</v>
      </c>
      <c r="E610" s="28">
        <v>14.49</v>
      </c>
      <c r="F610" s="28">
        <v>14.25</v>
      </c>
      <c r="G610" s="39">
        <f t="shared" si="176"/>
        <v>1.6701461377870576E-2</v>
      </c>
      <c r="H610" s="28">
        <v>14.4</v>
      </c>
      <c r="I610" s="28">
        <v>14.36</v>
      </c>
      <c r="J610" s="39">
        <f t="shared" si="177"/>
        <v>2.7816411682893552E-3</v>
      </c>
      <c r="K610" s="25">
        <v>270000</v>
      </c>
      <c r="L610" s="41">
        <f t="shared" si="178"/>
        <v>2223000000</v>
      </c>
      <c r="M610" s="39">
        <f t="shared" si="174"/>
        <v>3898800</v>
      </c>
      <c r="N610">
        <f t="shared" si="179"/>
        <v>2223000000</v>
      </c>
      <c r="O610" s="39">
        <f t="shared" si="180"/>
        <v>1.2145748987854252E-4</v>
      </c>
      <c r="P610" s="36">
        <v>69619.990000000005</v>
      </c>
      <c r="Q610" s="42">
        <v>0.216</v>
      </c>
      <c r="R610" s="41">
        <f t="shared" si="181"/>
        <v>73305600000</v>
      </c>
      <c r="S610" s="41">
        <f t="shared" si="182"/>
        <v>859150000</v>
      </c>
      <c r="T610" s="41">
        <f t="shared" si="183"/>
        <v>1024300000</v>
      </c>
      <c r="U610" s="41">
        <f t="shared" si="184"/>
        <v>1881630000</v>
      </c>
      <c r="V610" s="41">
        <v>0</v>
      </c>
      <c r="W610">
        <f t="shared" si="175"/>
        <v>2.1493506381851775E-9</v>
      </c>
      <c r="X610">
        <f t="shared" si="185"/>
        <v>0</v>
      </c>
    </row>
    <row r="611" spans="1:24">
      <c r="A611" s="21">
        <v>45386</v>
      </c>
      <c r="B611" s="28">
        <v>14.32</v>
      </c>
      <c r="C611" s="23">
        <f t="shared" si="172"/>
        <v>4.9122807017544061E-3</v>
      </c>
      <c r="D611" s="22">
        <f t="shared" si="173"/>
        <v>1.2309351139198234E-2</v>
      </c>
      <c r="E611" s="28">
        <v>14.4</v>
      </c>
      <c r="F611" s="28">
        <v>14.2</v>
      </c>
      <c r="G611" s="39">
        <f t="shared" si="176"/>
        <v>1.3986013986014061E-2</v>
      </c>
      <c r="H611" s="28">
        <v>14.4</v>
      </c>
      <c r="I611" s="28">
        <v>14.26</v>
      </c>
      <c r="J611" s="39">
        <f t="shared" si="177"/>
        <v>9.7697138869504933E-3</v>
      </c>
      <c r="K611" s="25">
        <v>172000</v>
      </c>
      <c r="L611" s="41">
        <f t="shared" si="178"/>
        <v>2223000000</v>
      </c>
      <c r="M611" s="39">
        <f t="shared" si="174"/>
        <v>2463040</v>
      </c>
      <c r="N611">
        <f t="shared" si="179"/>
        <v>2223000000</v>
      </c>
      <c r="O611" s="39">
        <f t="shared" si="180"/>
        <v>7.7372919478182629E-5</v>
      </c>
      <c r="P611" s="36">
        <v>68416.78</v>
      </c>
      <c r="Q611" s="42">
        <v>0.216</v>
      </c>
      <c r="R611" s="41">
        <f t="shared" si="181"/>
        <v>73305600000</v>
      </c>
      <c r="S611" s="41">
        <f t="shared" si="182"/>
        <v>859150000</v>
      </c>
      <c r="T611" s="41">
        <f t="shared" si="183"/>
        <v>1024300000</v>
      </c>
      <c r="U611" s="41">
        <f t="shared" si="184"/>
        <v>1881630000</v>
      </c>
      <c r="V611" s="41">
        <v>0</v>
      </c>
      <c r="W611">
        <f t="shared" si="175"/>
        <v>1.9943974526416163E-9</v>
      </c>
      <c r="X611">
        <f t="shared" si="185"/>
        <v>0</v>
      </c>
    </row>
    <row r="612" spans="1:24">
      <c r="A612" s="21">
        <v>45385</v>
      </c>
      <c r="B612" s="28">
        <v>14.25</v>
      </c>
      <c r="C612" s="23">
        <f t="shared" si="172"/>
        <v>3.5211267605634307E-3</v>
      </c>
      <c r="D612" s="22">
        <f t="shared" si="173"/>
        <v>1.2309351139198234E-2</v>
      </c>
      <c r="E612" s="28">
        <v>14.29</v>
      </c>
      <c r="F612" s="28">
        <v>14.14</v>
      </c>
      <c r="G612" s="39">
        <f t="shared" si="176"/>
        <v>1.0552233556102608E-2</v>
      </c>
      <c r="H612" s="28">
        <v>14.25</v>
      </c>
      <c r="I612" s="28">
        <v>14.21</v>
      </c>
      <c r="J612" s="39">
        <f t="shared" si="177"/>
        <v>2.8109627547434398E-3</v>
      </c>
      <c r="K612" s="25">
        <v>101000</v>
      </c>
      <c r="L612" s="41">
        <f t="shared" si="178"/>
        <v>2223000000</v>
      </c>
      <c r="M612" s="39">
        <f t="shared" si="174"/>
        <v>1439250</v>
      </c>
      <c r="N612">
        <f t="shared" si="179"/>
        <v>2223000000</v>
      </c>
      <c r="O612" s="39">
        <f t="shared" si="180"/>
        <v>4.5434098065677011E-5</v>
      </c>
      <c r="P612" s="36">
        <v>67756.039999999994</v>
      </c>
      <c r="Q612" s="42">
        <v>0.216</v>
      </c>
      <c r="R612" s="41">
        <f t="shared" si="181"/>
        <v>73305600000</v>
      </c>
      <c r="S612" s="41">
        <f t="shared" si="182"/>
        <v>859150000</v>
      </c>
      <c r="T612" s="41">
        <f t="shared" si="183"/>
        <v>1024300000</v>
      </c>
      <c r="U612" s="41">
        <f t="shared" si="184"/>
        <v>1881630000</v>
      </c>
      <c r="V612" s="41">
        <v>0</v>
      </c>
      <c r="W612">
        <f t="shared" si="175"/>
        <v>2.4465011363998129E-9</v>
      </c>
      <c r="X612">
        <f t="shared" si="185"/>
        <v>0</v>
      </c>
    </row>
    <row r="613" spans="1:24">
      <c r="A613" s="21">
        <v>45384</v>
      </c>
      <c r="B613" s="28">
        <v>14.2</v>
      </c>
      <c r="C613" s="23">
        <f t="shared" si="172"/>
        <v>2.8248587570620866E-3</v>
      </c>
      <c r="D613" s="22">
        <f t="shared" si="173"/>
        <v>1.2309351139198234E-2</v>
      </c>
      <c r="E613" s="28">
        <v>14.2</v>
      </c>
      <c r="F613" s="28">
        <v>14.05</v>
      </c>
      <c r="G613" s="39">
        <f t="shared" si="176"/>
        <v>1.0619469026548572E-2</v>
      </c>
      <c r="H613" s="28">
        <v>14.2</v>
      </c>
      <c r="I613" s="28">
        <v>14.1</v>
      </c>
      <c r="J613" s="39">
        <f t="shared" si="177"/>
        <v>7.0671378091872548E-3</v>
      </c>
      <c r="K613" s="25">
        <v>202500</v>
      </c>
      <c r="L613" s="41">
        <f t="shared" si="178"/>
        <v>2223000000</v>
      </c>
      <c r="M613" s="39">
        <f t="shared" si="174"/>
        <v>2875500</v>
      </c>
      <c r="N613">
        <f t="shared" si="179"/>
        <v>2223000000</v>
      </c>
      <c r="O613" s="39">
        <f t="shared" si="180"/>
        <v>9.1093117408906887E-5</v>
      </c>
      <c r="P613" s="36">
        <v>66886.259999999995</v>
      </c>
      <c r="Q613" s="42">
        <v>0.216</v>
      </c>
      <c r="R613" s="41">
        <f t="shared" si="181"/>
        <v>73305600000</v>
      </c>
      <c r="S613" s="41">
        <f t="shared" si="182"/>
        <v>859150000</v>
      </c>
      <c r="T613" s="41">
        <f t="shared" si="183"/>
        <v>1024300000</v>
      </c>
      <c r="U613" s="41">
        <f t="shared" si="184"/>
        <v>1881630000</v>
      </c>
      <c r="V613" s="41">
        <v>0</v>
      </c>
      <c r="W613">
        <f t="shared" si="175"/>
        <v>9.8238871746203663E-10</v>
      </c>
      <c r="X613">
        <f t="shared" si="185"/>
        <v>0</v>
      </c>
    </row>
    <row r="614" spans="1:24">
      <c r="A614" s="21">
        <v>45383</v>
      </c>
      <c r="B614" s="28">
        <v>14.16</v>
      </c>
      <c r="C614" s="23">
        <f t="shared" si="172"/>
        <v>-1.2552301255230106E-2</v>
      </c>
      <c r="D614" s="22">
        <f t="shared" si="173"/>
        <v>1.2309351139198234E-2</v>
      </c>
      <c r="E614" s="28">
        <v>14.5</v>
      </c>
      <c r="F614" s="28">
        <v>14.01</v>
      </c>
      <c r="G614" s="39">
        <f t="shared" si="176"/>
        <v>3.4373903893370764E-2</v>
      </c>
      <c r="H614" s="28">
        <v>14.2</v>
      </c>
      <c r="I614" s="28">
        <v>14.15</v>
      </c>
      <c r="J614" s="39">
        <f t="shared" si="177"/>
        <v>3.5273368606701188E-3</v>
      </c>
      <c r="K614" s="25">
        <v>562000</v>
      </c>
      <c r="L614" s="41">
        <f t="shared" si="178"/>
        <v>2223000000</v>
      </c>
      <c r="M614" s="39">
        <f t="shared" si="174"/>
        <v>7957920</v>
      </c>
      <c r="N614">
        <f t="shared" si="179"/>
        <v>2223000000</v>
      </c>
      <c r="O614" s="39">
        <f t="shared" si="180"/>
        <v>2.5281151596941073E-4</v>
      </c>
      <c r="P614" s="36">
        <v>66796.320000000007</v>
      </c>
      <c r="Q614" s="42">
        <v>0.216</v>
      </c>
      <c r="R614" s="41">
        <f t="shared" si="181"/>
        <v>73305600000</v>
      </c>
      <c r="S614" s="41">
        <f t="shared" si="182"/>
        <v>859150000</v>
      </c>
      <c r="T614" s="41">
        <f t="shared" si="183"/>
        <v>1024300000</v>
      </c>
      <c r="U614" s="41">
        <f t="shared" si="184"/>
        <v>1881630000</v>
      </c>
      <c r="V614" s="41">
        <v>0</v>
      </c>
      <c r="W614">
        <f t="shared" si="175"/>
        <v>1.5773344360373196E-9</v>
      </c>
      <c r="X614">
        <f t="shared" si="185"/>
        <v>0</v>
      </c>
    </row>
    <row r="615" spans="1:24">
      <c r="A615" s="21">
        <v>45380</v>
      </c>
      <c r="B615" s="28">
        <v>14.34</v>
      </c>
      <c r="C615" s="23">
        <f t="shared" si="172"/>
        <v>1.9914651493598817E-2</v>
      </c>
      <c r="D615" s="22">
        <f t="shared" si="173"/>
        <v>1.2309351139198234E-2</v>
      </c>
      <c r="E615" s="28">
        <v>15.1</v>
      </c>
      <c r="F615" s="28">
        <v>14.02</v>
      </c>
      <c r="G615" s="39">
        <f t="shared" si="176"/>
        <v>7.417582417582419E-2</v>
      </c>
      <c r="H615" s="28">
        <v>14.1</v>
      </c>
      <c r="I615" s="28">
        <v>14.04</v>
      </c>
      <c r="J615" s="39">
        <f t="shared" si="177"/>
        <v>4.2643923240938521E-3</v>
      </c>
      <c r="K615" s="25">
        <v>425500</v>
      </c>
      <c r="L615" s="41">
        <f t="shared" si="178"/>
        <v>2223000000</v>
      </c>
      <c r="M615" s="39">
        <f t="shared" si="174"/>
        <v>6101670</v>
      </c>
      <c r="N615">
        <f t="shared" si="179"/>
        <v>2223000000</v>
      </c>
      <c r="O615" s="39">
        <f t="shared" si="180"/>
        <v>1.9140800719748087E-4</v>
      </c>
      <c r="P615" s="36">
        <v>67005.11</v>
      </c>
      <c r="Q615" s="42">
        <v>0.216</v>
      </c>
      <c r="R615" s="41">
        <f t="shared" si="181"/>
        <v>73305600000</v>
      </c>
      <c r="S615" s="41">
        <f t="shared" si="182"/>
        <v>859150000</v>
      </c>
      <c r="T615" s="41">
        <f t="shared" si="183"/>
        <v>1024300000</v>
      </c>
      <c r="U615" s="41">
        <f t="shared" si="184"/>
        <v>1881630000</v>
      </c>
      <c r="V615" s="41">
        <v>0</v>
      </c>
      <c r="W615">
        <f t="shared" si="175"/>
        <v>3.2638034330927133E-9</v>
      </c>
      <c r="X615">
        <f t="shared" si="185"/>
        <v>0</v>
      </c>
    </row>
    <row r="616" spans="1:24">
      <c r="A616" s="21">
        <v>45379</v>
      </c>
      <c r="B616" s="28">
        <v>14.06</v>
      </c>
      <c r="C616" s="23">
        <f t="shared" si="172"/>
        <v>-2.836879432624053E-3</v>
      </c>
      <c r="D616" s="22">
        <f t="shared" si="173"/>
        <v>1.2309351139198234E-2</v>
      </c>
      <c r="E616" s="28">
        <v>14.19</v>
      </c>
      <c r="F616" s="28">
        <v>14.05</v>
      </c>
      <c r="G616" s="39">
        <f t="shared" si="176"/>
        <v>9.9150141643058621E-3</v>
      </c>
      <c r="H616" s="28">
        <v>14.15</v>
      </c>
      <c r="I616" s="28">
        <v>14.05</v>
      </c>
      <c r="J616" s="39">
        <f t="shared" si="177"/>
        <v>7.0921985815602575E-3</v>
      </c>
      <c r="K616" s="25">
        <v>243000</v>
      </c>
      <c r="L616" s="41">
        <f t="shared" si="178"/>
        <v>2223000000</v>
      </c>
      <c r="M616" s="39">
        <f t="shared" si="174"/>
        <v>3416580</v>
      </c>
      <c r="N616">
        <f t="shared" si="179"/>
        <v>2223000000</v>
      </c>
      <c r="O616" s="39">
        <f t="shared" si="180"/>
        <v>1.0931174089068826E-4</v>
      </c>
      <c r="P616" s="36">
        <v>67142.12</v>
      </c>
      <c r="Q616" s="42">
        <v>0.216</v>
      </c>
      <c r="R616" s="41">
        <f t="shared" si="181"/>
        <v>73305600000</v>
      </c>
      <c r="S616" s="41">
        <f t="shared" si="182"/>
        <v>859150000</v>
      </c>
      <c r="T616" s="41">
        <f t="shared" si="183"/>
        <v>1024300000</v>
      </c>
      <c r="U616" s="41">
        <f t="shared" si="184"/>
        <v>1881630000</v>
      </c>
      <c r="V616" s="41">
        <v>0</v>
      </c>
      <c r="W616">
        <f t="shared" si="175"/>
        <v>8.3032723736135348E-10</v>
      </c>
      <c r="X616">
        <f t="shared" si="185"/>
        <v>0</v>
      </c>
    </row>
    <row r="617" spans="1:24">
      <c r="A617" s="21">
        <v>45378</v>
      </c>
      <c r="B617" s="28">
        <v>14.1</v>
      </c>
      <c r="C617" s="23">
        <f t="shared" si="172"/>
        <v>-4.9400141143260612E-3</v>
      </c>
      <c r="D617" s="22">
        <f t="shared" si="173"/>
        <v>1.2309351139198234E-2</v>
      </c>
      <c r="E617" s="28">
        <v>14.19</v>
      </c>
      <c r="F617" s="28">
        <v>14.03</v>
      </c>
      <c r="G617" s="39">
        <f t="shared" si="176"/>
        <v>1.1339475549255858E-2</v>
      </c>
      <c r="H617" s="28">
        <v>14.17</v>
      </c>
      <c r="I617" s="28">
        <v>14.1</v>
      </c>
      <c r="J617" s="39">
        <f t="shared" si="177"/>
        <v>4.9522461973824042E-3</v>
      </c>
      <c r="K617" s="25">
        <v>373500</v>
      </c>
      <c r="L617" s="41">
        <f t="shared" si="178"/>
        <v>2223000000</v>
      </c>
      <c r="M617" s="39">
        <f t="shared" si="174"/>
        <v>5266350</v>
      </c>
      <c r="N617">
        <f t="shared" si="179"/>
        <v>2223000000</v>
      </c>
      <c r="O617" s="39">
        <f t="shared" si="180"/>
        <v>1.680161943319838E-4</v>
      </c>
      <c r="P617" s="36">
        <v>66547.789999999994</v>
      </c>
      <c r="Q617" s="42">
        <v>0.216</v>
      </c>
      <c r="R617" s="41">
        <f t="shared" si="181"/>
        <v>73305600000</v>
      </c>
      <c r="S617" s="41">
        <f t="shared" si="182"/>
        <v>859150000</v>
      </c>
      <c r="T617" s="41">
        <f t="shared" si="183"/>
        <v>1024300000</v>
      </c>
      <c r="U617" s="41">
        <f t="shared" si="184"/>
        <v>1881630000</v>
      </c>
      <c r="V617" s="41">
        <v>0</v>
      </c>
      <c r="W617">
        <f t="shared" si="175"/>
        <v>9.3803376424393773E-10</v>
      </c>
      <c r="X617">
        <f t="shared" si="185"/>
        <v>0</v>
      </c>
    </row>
    <row r="618" spans="1:24">
      <c r="A618" s="21">
        <v>45377</v>
      </c>
      <c r="B618" s="28">
        <v>14.17</v>
      </c>
      <c r="C618" s="23">
        <f t="shared" si="172"/>
        <v>1.3590844062947031E-2</v>
      </c>
      <c r="D618" s="22">
        <f t="shared" si="173"/>
        <v>1.2309351139198234E-2</v>
      </c>
      <c r="E618" s="28">
        <v>14.19</v>
      </c>
      <c r="F618" s="28">
        <v>14</v>
      </c>
      <c r="G618" s="39">
        <f t="shared" si="176"/>
        <v>1.3479957431713339E-2</v>
      </c>
      <c r="H618" s="28">
        <v>14.18</v>
      </c>
      <c r="I618" s="28">
        <v>14.1</v>
      </c>
      <c r="J618" s="39">
        <f t="shared" si="177"/>
        <v>5.6577086280056622E-3</v>
      </c>
      <c r="K618" s="25">
        <v>767000</v>
      </c>
      <c r="L618" s="41">
        <f t="shared" si="178"/>
        <v>2223000000</v>
      </c>
      <c r="M618" s="39">
        <f t="shared" si="174"/>
        <v>10868390</v>
      </c>
      <c r="N618">
        <f t="shared" si="179"/>
        <v>2223000000</v>
      </c>
      <c r="O618" s="39">
        <f t="shared" si="180"/>
        <v>3.4502923976608189E-4</v>
      </c>
      <c r="P618" s="36">
        <v>65906.28</v>
      </c>
      <c r="Q618" s="42">
        <v>0.216</v>
      </c>
      <c r="R618" s="41">
        <f t="shared" si="181"/>
        <v>73305600000</v>
      </c>
      <c r="S618" s="41">
        <f t="shared" si="182"/>
        <v>859150000</v>
      </c>
      <c r="T618" s="41">
        <f t="shared" si="183"/>
        <v>1024300000</v>
      </c>
      <c r="U618" s="41">
        <f t="shared" si="184"/>
        <v>1881630000</v>
      </c>
      <c r="V618" s="41">
        <v>0</v>
      </c>
      <c r="W618">
        <f t="shared" si="175"/>
        <v>1.2504928570788342E-9</v>
      </c>
      <c r="X618">
        <f t="shared" si="185"/>
        <v>0</v>
      </c>
    </row>
    <row r="619" spans="1:24">
      <c r="A619" s="21">
        <v>45376</v>
      </c>
      <c r="B619" s="28">
        <v>13.98</v>
      </c>
      <c r="C619" s="23">
        <f t="shared" si="172"/>
        <v>0</v>
      </c>
      <c r="D619" s="22">
        <f t="shared" si="173"/>
        <v>1.2309351139198234E-2</v>
      </c>
      <c r="E619" s="28">
        <v>14</v>
      </c>
      <c r="F619" s="28">
        <v>13.91</v>
      </c>
      <c r="G619" s="39">
        <f t="shared" si="176"/>
        <v>6.4493013256897071E-3</v>
      </c>
      <c r="H619" s="28">
        <v>14</v>
      </c>
      <c r="I619" s="28">
        <v>13.95</v>
      </c>
      <c r="J619" s="39">
        <f t="shared" si="177"/>
        <v>3.5778175313059542E-3</v>
      </c>
      <c r="K619" s="25">
        <v>84500</v>
      </c>
      <c r="L619" s="41">
        <f t="shared" si="178"/>
        <v>2223000000</v>
      </c>
      <c r="M619" s="39">
        <f t="shared" si="174"/>
        <v>1181310</v>
      </c>
      <c r="N619">
        <f t="shared" si="179"/>
        <v>2223000000</v>
      </c>
      <c r="O619" s="39">
        <f t="shared" si="180"/>
        <v>3.8011695906432746E-5</v>
      </c>
      <c r="P619" s="36">
        <v>65525.65</v>
      </c>
      <c r="Q619" s="42">
        <v>0.216</v>
      </c>
      <c r="R619" s="41">
        <f t="shared" si="181"/>
        <v>73305600000</v>
      </c>
      <c r="S619" s="41">
        <f t="shared" si="182"/>
        <v>859150000</v>
      </c>
      <c r="T619" s="41">
        <f t="shared" si="183"/>
        <v>1024300000</v>
      </c>
      <c r="U619" s="41">
        <f t="shared" si="184"/>
        <v>1881630000</v>
      </c>
      <c r="V619" s="41">
        <v>0</v>
      </c>
      <c r="W619">
        <f t="shared" si="175"/>
        <v>0</v>
      </c>
      <c r="X619">
        <f t="shared" si="185"/>
        <v>0</v>
      </c>
    </row>
    <row r="621" spans="1:24" ht="15" thickBot="1"/>
    <row r="622" spans="1:24" ht="16" thickBot="1">
      <c r="A622" s="184" t="s">
        <v>57</v>
      </c>
      <c r="B622" s="185"/>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6"/>
    </row>
    <row r="623" spans="1:24" ht="43.5">
      <c r="A623" s="16" t="s">
        <v>14</v>
      </c>
      <c r="B623" s="16" t="s">
        <v>15</v>
      </c>
      <c r="C623" s="17" t="s">
        <v>16</v>
      </c>
      <c r="D623" s="17" t="s">
        <v>17</v>
      </c>
      <c r="E623" s="18" t="s">
        <v>0</v>
      </c>
      <c r="F623" s="18" t="s">
        <v>13</v>
      </c>
      <c r="G623" s="17" t="s">
        <v>18</v>
      </c>
      <c r="H623" s="16" t="s">
        <v>12</v>
      </c>
      <c r="I623" s="18" t="s">
        <v>1</v>
      </c>
      <c r="J623" s="19" t="s">
        <v>19</v>
      </c>
      <c r="K623" s="20" t="s">
        <v>2</v>
      </c>
      <c r="L623" s="20" t="s">
        <v>56</v>
      </c>
      <c r="M623" s="7" t="s">
        <v>20</v>
      </c>
      <c r="N623" s="5" t="s">
        <v>22</v>
      </c>
      <c r="O623" s="7" t="s">
        <v>21</v>
      </c>
      <c r="P623" s="20" t="s">
        <v>51</v>
      </c>
      <c r="Q623" s="20" t="s">
        <v>6</v>
      </c>
      <c r="R623" s="20" t="s">
        <v>7</v>
      </c>
      <c r="S623" s="20" t="s">
        <v>29</v>
      </c>
      <c r="T623" s="20" t="s">
        <v>30</v>
      </c>
      <c r="U623" s="20" t="s">
        <v>10</v>
      </c>
      <c r="V623" s="20" t="s">
        <v>32</v>
      </c>
      <c r="W623" s="7" t="s">
        <v>73</v>
      </c>
      <c r="X623" s="7" t="s">
        <v>72</v>
      </c>
    </row>
    <row r="624" spans="1:24">
      <c r="A624" s="21">
        <v>45436</v>
      </c>
      <c r="B624" s="28">
        <v>13.57</v>
      </c>
      <c r="C624" s="23">
        <f t="shared" ref="C624:C663" si="186">IFERROR((B624-B625)/B625,0)</f>
        <v>-5.860805860805866E-3</v>
      </c>
      <c r="D624" s="22">
        <f>_xlfn.STDEV.S($C$624:$C$663)</f>
        <v>2.0231708816028929E-2</v>
      </c>
      <c r="E624" s="28">
        <v>13.9</v>
      </c>
      <c r="F624" s="28">
        <v>13</v>
      </c>
      <c r="G624" s="39">
        <f>(E624-F624)/(AVERAGE(E624,F624))</f>
        <v>6.6914498141263976E-2</v>
      </c>
      <c r="H624" s="28">
        <v>139.80000000000001</v>
      </c>
      <c r="I624" s="28">
        <v>13.99</v>
      </c>
      <c r="J624" s="39">
        <f>(H624-I624)/AVERAGE(H624,I624)</f>
        <v>1.6361271864230444</v>
      </c>
      <c r="K624" s="25">
        <v>25000</v>
      </c>
      <c r="L624" s="41">
        <f>140*1000000</f>
        <v>140000000</v>
      </c>
      <c r="M624" s="39">
        <f t="shared" ref="M624:M663" si="187">K624*B624</f>
        <v>339250</v>
      </c>
      <c r="N624" s="24">
        <f>140*1000000</f>
        <v>140000000</v>
      </c>
      <c r="O624" s="41">
        <f>K624/N624</f>
        <v>1.7857142857142857E-4</v>
      </c>
      <c r="P624" s="36">
        <v>75983.039999999994</v>
      </c>
      <c r="Q624" s="42">
        <v>0.2157</v>
      </c>
      <c r="R624" s="41">
        <f>4370.86*1000000</f>
        <v>4370860000</v>
      </c>
      <c r="S624" s="26">
        <f>2698.27*1000000</f>
        <v>2698270000</v>
      </c>
      <c r="T624" s="26">
        <f>51.73*10000000</f>
        <v>517299999.99999994</v>
      </c>
      <c r="U624" s="26">
        <f>19.71*1000000</f>
        <v>19710000</v>
      </c>
      <c r="V624" s="26">
        <f>1316.67*1000000</f>
        <v>1316670000</v>
      </c>
      <c r="W624">
        <f t="shared" ref="W624:W663" si="188">IFERROR(ABS(C624)/M624,0)</f>
        <v>1.7275772618440283E-8</v>
      </c>
      <c r="X624">
        <f>V624/R624</f>
        <v>0.30123820026264853</v>
      </c>
    </row>
    <row r="625" spans="1:24">
      <c r="A625" s="21">
        <v>45435</v>
      </c>
      <c r="B625" s="28">
        <v>13.65</v>
      </c>
      <c r="C625" s="23">
        <f t="shared" si="186"/>
        <v>0</v>
      </c>
      <c r="D625" s="22">
        <f t="shared" ref="D625:D663" si="189">_xlfn.STDEV.S($C$624:$C$663)</f>
        <v>2.0231708816028929E-2</v>
      </c>
      <c r="E625" s="28">
        <v>14.3</v>
      </c>
      <c r="F625" s="28">
        <v>14.3</v>
      </c>
      <c r="G625" s="39">
        <f t="shared" ref="G625:G663" si="190">(E625-F625)/(AVERAGE(E625,F625))</f>
        <v>0</v>
      </c>
      <c r="H625" s="28">
        <v>139.80000000000001</v>
      </c>
      <c r="I625" s="28">
        <v>14.5</v>
      </c>
      <c r="J625" s="39">
        <f t="shared" ref="J625:J663" si="191">(H625-I625)/AVERAGE(H625,I625)</f>
        <v>1.6241088788075178</v>
      </c>
      <c r="K625" s="25">
        <v>25000</v>
      </c>
      <c r="L625" s="41">
        <f t="shared" ref="L625:L663" si="192">140*1000000</f>
        <v>140000000</v>
      </c>
      <c r="M625" s="39">
        <f t="shared" si="187"/>
        <v>341250</v>
      </c>
      <c r="N625" s="24">
        <f t="shared" ref="N625:N663" si="193">140*1000000</f>
        <v>140000000</v>
      </c>
      <c r="O625" s="41">
        <f t="shared" ref="O625:O663" si="194">K625/N625</f>
        <v>1.7857142857142857E-4</v>
      </c>
      <c r="P625" s="36">
        <v>75114.47</v>
      </c>
      <c r="Q625" s="42">
        <v>0.2157</v>
      </c>
      <c r="R625" s="41">
        <f t="shared" ref="R625:R663" si="195">4370.86*1000000</f>
        <v>4370860000</v>
      </c>
      <c r="S625" s="26">
        <f t="shared" ref="S625:S663" si="196">2698.27*1000000</f>
        <v>2698270000</v>
      </c>
      <c r="T625" s="26">
        <f t="shared" ref="T625:T663" si="197">51.73*10000000</f>
        <v>517299999.99999994</v>
      </c>
      <c r="U625" s="26">
        <f t="shared" ref="U625:U663" si="198">19.71*1000000</f>
        <v>19710000</v>
      </c>
      <c r="V625" s="26">
        <f t="shared" ref="V625:V663" si="199">1316.67*1000000</f>
        <v>1316670000</v>
      </c>
      <c r="W625">
        <f t="shared" si="188"/>
        <v>0</v>
      </c>
      <c r="X625">
        <f>V625/R625</f>
        <v>0.30123820026264853</v>
      </c>
    </row>
    <row r="626" spans="1:24">
      <c r="A626" s="21">
        <v>45434</v>
      </c>
      <c r="B626" s="28">
        <v>13.65</v>
      </c>
      <c r="C626" s="23">
        <f t="shared" si="186"/>
        <v>1.1111111111111138E-2</v>
      </c>
      <c r="D626" s="22">
        <f t="shared" si="189"/>
        <v>2.0231708816028929E-2</v>
      </c>
      <c r="E626" s="28">
        <v>13.68</v>
      </c>
      <c r="F626" s="28">
        <v>13.65</v>
      </c>
      <c r="G626" s="39">
        <f t="shared" si="190"/>
        <v>2.1953896816684494E-3</v>
      </c>
      <c r="H626" s="28">
        <v>139.80000000000001</v>
      </c>
      <c r="I626" s="28">
        <v>13.79</v>
      </c>
      <c r="J626" s="39">
        <f t="shared" si="191"/>
        <v>1.640862035288756</v>
      </c>
      <c r="K626" s="25">
        <v>1000</v>
      </c>
      <c r="L626" s="41">
        <f t="shared" si="192"/>
        <v>140000000</v>
      </c>
      <c r="M626" s="39">
        <f t="shared" si="187"/>
        <v>13650</v>
      </c>
      <c r="N626" s="24">
        <f t="shared" si="193"/>
        <v>140000000</v>
      </c>
      <c r="O626" s="41">
        <f t="shared" si="194"/>
        <v>7.1428571428571427E-6</v>
      </c>
      <c r="P626" s="36">
        <v>74956.67</v>
      </c>
      <c r="Q626" s="42">
        <v>0.2157</v>
      </c>
      <c r="R626" s="41">
        <f t="shared" si="195"/>
        <v>4370860000</v>
      </c>
      <c r="S626" s="26">
        <f t="shared" si="196"/>
        <v>2698270000</v>
      </c>
      <c r="T626" s="26">
        <f t="shared" si="197"/>
        <v>517299999.99999994</v>
      </c>
      <c r="U626" s="26">
        <f t="shared" si="198"/>
        <v>19710000</v>
      </c>
      <c r="V626" s="26">
        <f t="shared" si="199"/>
        <v>1316670000</v>
      </c>
      <c r="W626">
        <f t="shared" si="188"/>
        <v>8.1400081400081596E-7</v>
      </c>
      <c r="X626">
        <f t="shared" ref="X626:X663" si="200">V626/R626</f>
        <v>0.30123820026264853</v>
      </c>
    </row>
    <row r="627" spans="1:24">
      <c r="A627" s="21">
        <v>45433</v>
      </c>
      <c r="B627" s="28">
        <v>13.5</v>
      </c>
      <c r="C627" s="23">
        <f t="shared" si="186"/>
        <v>-1.026392961876837E-2</v>
      </c>
      <c r="D627" s="22">
        <f t="shared" si="189"/>
        <v>2.0231708816028929E-2</v>
      </c>
      <c r="E627" s="28">
        <v>13.5</v>
      </c>
      <c r="F627" s="28">
        <v>12.81</v>
      </c>
      <c r="G627" s="39">
        <f t="shared" si="190"/>
        <v>5.2451539338654464E-2</v>
      </c>
      <c r="H627" s="28">
        <v>139.80000000000001</v>
      </c>
      <c r="I627" s="28">
        <v>13.84</v>
      </c>
      <c r="J627" s="39">
        <f t="shared" si="191"/>
        <v>1.6396771674043218</v>
      </c>
      <c r="K627" s="25">
        <v>2500</v>
      </c>
      <c r="L627" s="41">
        <f t="shared" si="192"/>
        <v>140000000</v>
      </c>
      <c r="M627" s="39">
        <f t="shared" si="187"/>
        <v>33750</v>
      </c>
      <c r="N627" s="24">
        <f t="shared" si="193"/>
        <v>140000000</v>
      </c>
      <c r="O627" s="41">
        <f t="shared" si="194"/>
        <v>1.7857142857142858E-5</v>
      </c>
      <c r="P627" s="36">
        <v>75206.77</v>
      </c>
      <c r="Q627" s="42">
        <v>0.2157</v>
      </c>
      <c r="R627" s="41">
        <f t="shared" si="195"/>
        <v>4370860000</v>
      </c>
      <c r="S627" s="26">
        <f t="shared" si="196"/>
        <v>2698270000</v>
      </c>
      <c r="T627" s="26">
        <f t="shared" si="197"/>
        <v>517299999.99999994</v>
      </c>
      <c r="U627" s="26">
        <f t="shared" si="198"/>
        <v>19710000</v>
      </c>
      <c r="V627" s="26">
        <f t="shared" si="199"/>
        <v>1316670000</v>
      </c>
      <c r="W627">
        <f t="shared" si="188"/>
        <v>3.0411643314869243E-7</v>
      </c>
      <c r="X627">
        <f t="shared" si="200"/>
        <v>0.30123820026264853</v>
      </c>
    </row>
    <row r="628" spans="1:24">
      <c r="A628" s="21">
        <v>45432</v>
      </c>
      <c r="B628" s="28">
        <v>13.64</v>
      </c>
      <c r="C628" s="23">
        <f t="shared" si="186"/>
        <v>-1.7998560115190784E-2</v>
      </c>
      <c r="D628" s="22">
        <f t="shared" si="189"/>
        <v>2.0231708816028929E-2</v>
      </c>
      <c r="E628" s="28">
        <v>13.64</v>
      </c>
      <c r="F628" s="28">
        <v>13.64</v>
      </c>
      <c r="G628" s="39">
        <f t="shared" si="190"/>
        <v>0</v>
      </c>
      <c r="H628" s="28">
        <v>139.80000000000001</v>
      </c>
      <c r="I628" s="28">
        <v>13.97</v>
      </c>
      <c r="J628" s="39">
        <f t="shared" si="191"/>
        <v>1.6366001170579438</v>
      </c>
      <c r="K628" s="25">
        <v>1000</v>
      </c>
      <c r="L628" s="41">
        <f t="shared" si="192"/>
        <v>140000000</v>
      </c>
      <c r="M628" s="39">
        <f t="shared" si="187"/>
        <v>13640</v>
      </c>
      <c r="N628" s="24">
        <f t="shared" si="193"/>
        <v>140000000</v>
      </c>
      <c r="O628" s="41">
        <f t="shared" si="194"/>
        <v>7.1428571428571427E-6</v>
      </c>
      <c r="P628" s="36">
        <v>75084</v>
      </c>
      <c r="Q628" s="42">
        <v>0.2157</v>
      </c>
      <c r="R628" s="41">
        <f t="shared" si="195"/>
        <v>4370860000</v>
      </c>
      <c r="S628" s="26">
        <f t="shared" si="196"/>
        <v>2698270000</v>
      </c>
      <c r="T628" s="26">
        <f t="shared" si="197"/>
        <v>517299999.99999994</v>
      </c>
      <c r="U628" s="26">
        <f t="shared" si="198"/>
        <v>19710000</v>
      </c>
      <c r="V628" s="26">
        <f t="shared" si="199"/>
        <v>1316670000</v>
      </c>
      <c r="W628">
        <f t="shared" si="188"/>
        <v>1.3195425304392071E-6</v>
      </c>
      <c r="X628">
        <f t="shared" si="200"/>
        <v>0.30123820026264853</v>
      </c>
    </row>
    <row r="629" spans="1:24">
      <c r="A629" s="21">
        <v>45429</v>
      </c>
      <c r="B629" s="28">
        <v>13.89</v>
      </c>
      <c r="C629" s="23">
        <f t="shared" si="186"/>
        <v>2.5849335302806607E-2</v>
      </c>
      <c r="D629" s="22">
        <f t="shared" si="189"/>
        <v>2.0231708816028929E-2</v>
      </c>
      <c r="E629" s="28">
        <v>13.89</v>
      </c>
      <c r="F629" s="28">
        <v>13.51</v>
      </c>
      <c r="G629" s="39">
        <f t="shared" si="190"/>
        <v>2.773722627737232E-2</v>
      </c>
      <c r="H629" s="28">
        <v>139.80000000000001</v>
      </c>
      <c r="I629" s="28">
        <v>13.89</v>
      </c>
      <c r="J629" s="39">
        <f t="shared" si="191"/>
        <v>1.6384930704665237</v>
      </c>
      <c r="K629" s="25">
        <v>5500</v>
      </c>
      <c r="L629" s="41">
        <f t="shared" si="192"/>
        <v>140000000</v>
      </c>
      <c r="M629" s="39">
        <f t="shared" si="187"/>
        <v>76395</v>
      </c>
      <c r="N629" s="24">
        <f t="shared" si="193"/>
        <v>140000000</v>
      </c>
      <c r="O629" s="41">
        <f t="shared" si="194"/>
        <v>3.9285714285714283E-5</v>
      </c>
      <c r="P629" s="36">
        <v>75342.350000000006</v>
      </c>
      <c r="Q629" s="42">
        <v>0.2157</v>
      </c>
      <c r="R629" s="41">
        <f t="shared" si="195"/>
        <v>4370860000</v>
      </c>
      <c r="S629" s="26">
        <f t="shared" si="196"/>
        <v>2698270000</v>
      </c>
      <c r="T629" s="26">
        <f t="shared" si="197"/>
        <v>517299999.99999994</v>
      </c>
      <c r="U629" s="26">
        <f t="shared" si="198"/>
        <v>19710000</v>
      </c>
      <c r="V629" s="26">
        <f t="shared" si="199"/>
        <v>1316670000</v>
      </c>
      <c r="W629">
        <f t="shared" si="188"/>
        <v>3.383642293711186E-7</v>
      </c>
      <c r="X629">
        <f t="shared" si="200"/>
        <v>0.30123820026264853</v>
      </c>
    </row>
    <row r="630" spans="1:24">
      <c r="A630" s="21">
        <v>45428</v>
      </c>
      <c r="B630" s="28">
        <v>13.54</v>
      </c>
      <c r="C630" s="23">
        <f t="shared" si="186"/>
        <v>-3.0780243378668682E-2</v>
      </c>
      <c r="D630" s="22">
        <f t="shared" si="189"/>
        <v>2.0231708816028929E-2</v>
      </c>
      <c r="E630" s="28">
        <v>13.92</v>
      </c>
      <c r="F630" s="28">
        <v>13.54</v>
      </c>
      <c r="G630" s="39">
        <f t="shared" si="190"/>
        <v>2.7676620538965826E-2</v>
      </c>
      <c r="H630" s="28">
        <v>139.80000000000001</v>
      </c>
      <c r="I630" s="28">
        <v>13.94</v>
      </c>
      <c r="J630" s="39">
        <f t="shared" si="191"/>
        <v>1.6373097437231692</v>
      </c>
      <c r="K630" s="25">
        <v>2000</v>
      </c>
      <c r="L630" s="41">
        <f t="shared" si="192"/>
        <v>140000000</v>
      </c>
      <c r="M630" s="39">
        <f t="shared" si="187"/>
        <v>27080</v>
      </c>
      <c r="N630" s="24">
        <f t="shared" si="193"/>
        <v>140000000</v>
      </c>
      <c r="O630" s="41">
        <f t="shared" si="194"/>
        <v>1.4285714285714285E-5</v>
      </c>
      <c r="P630" s="36">
        <v>74930.7</v>
      </c>
      <c r="Q630" s="42">
        <v>0.2157</v>
      </c>
      <c r="R630" s="41">
        <f t="shared" si="195"/>
        <v>4370860000</v>
      </c>
      <c r="S630" s="26">
        <f t="shared" si="196"/>
        <v>2698270000</v>
      </c>
      <c r="T630" s="26">
        <f t="shared" si="197"/>
        <v>517299999.99999994</v>
      </c>
      <c r="U630" s="26">
        <f t="shared" si="198"/>
        <v>19710000</v>
      </c>
      <c r="V630" s="26">
        <f t="shared" si="199"/>
        <v>1316670000</v>
      </c>
      <c r="W630">
        <f t="shared" si="188"/>
        <v>1.1366411882817091E-6</v>
      </c>
      <c r="X630">
        <f t="shared" si="200"/>
        <v>0.30123820026264853</v>
      </c>
    </row>
    <row r="631" spans="1:24">
      <c r="A631" s="21">
        <v>45427</v>
      </c>
      <c r="B631" s="28">
        <v>13.97</v>
      </c>
      <c r="C631" s="23">
        <f t="shared" si="186"/>
        <v>2.6451138868479149E-2</v>
      </c>
      <c r="D631" s="22">
        <f t="shared" si="189"/>
        <v>2.0231708816028929E-2</v>
      </c>
      <c r="E631" s="28">
        <v>13.97</v>
      </c>
      <c r="F631" s="28">
        <v>13</v>
      </c>
      <c r="G631" s="39">
        <f t="shared" si="190"/>
        <v>7.1931776047460191E-2</v>
      </c>
      <c r="H631" s="28">
        <v>139.80000000000001</v>
      </c>
      <c r="I631" s="28">
        <v>13.94</v>
      </c>
      <c r="J631" s="39">
        <f t="shared" si="191"/>
        <v>1.6373097437231692</v>
      </c>
      <c r="K631" s="25">
        <v>13500</v>
      </c>
      <c r="L631" s="41">
        <f t="shared" si="192"/>
        <v>140000000</v>
      </c>
      <c r="M631" s="39">
        <f t="shared" si="187"/>
        <v>188595</v>
      </c>
      <c r="N631" s="24">
        <f t="shared" si="193"/>
        <v>140000000</v>
      </c>
      <c r="O631" s="41">
        <f t="shared" si="194"/>
        <v>9.6428571428571432E-5</v>
      </c>
      <c r="P631" s="36">
        <v>74663.98</v>
      </c>
      <c r="Q631" s="42">
        <v>0.2157</v>
      </c>
      <c r="R631" s="41">
        <f t="shared" si="195"/>
        <v>4370860000</v>
      </c>
      <c r="S631" s="26">
        <f t="shared" si="196"/>
        <v>2698270000</v>
      </c>
      <c r="T631" s="26">
        <f t="shared" si="197"/>
        <v>517299999.99999994</v>
      </c>
      <c r="U631" s="26">
        <f t="shared" si="198"/>
        <v>19710000</v>
      </c>
      <c r="V631" s="26">
        <f t="shared" si="199"/>
        <v>1316670000</v>
      </c>
      <c r="W631">
        <f t="shared" si="188"/>
        <v>1.4025365926179987E-7</v>
      </c>
      <c r="X631">
        <f t="shared" si="200"/>
        <v>0.30123820026264853</v>
      </c>
    </row>
    <row r="632" spans="1:24">
      <c r="A632" s="21">
        <v>45426</v>
      </c>
      <c r="B632" s="28">
        <v>13.61</v>
      </c>
      <c r="C632" s="23">
        <f t="shared" si="186"/>
        <v>0</v>
      </c>
      <c r="D632" s="22">
        <f t="shared" si="189"/>
        <v>2.0231708816028929E-2</v>
      </c>
      <c r="E632" s="28">
        <v>14</v>
      </c>
      <c r="F632" s="28">
        <v>14</v>
      </c>
      <c r="G632" s="39">
        <f t="shared" si="190"/>
        <v>0</v>
      </c>
      <c r="H632" s="28">
        <v>139.80000000000001</v>
      </c>
      <c r="I632" s="28">
        <v>13.95</v>
      </c>
      <c r="J632" s="39">
        <f t="shared" si="191"/>
        <v>1.6370731707317074</v>
      </c>
      <c r="K632" s="25">
        <v>2000</v>
      </c>
      <c r="L632" s="41">
        <f t="shared" si="192"/>
        <v>140000000</v>
      </c>
      <c r="M632" s="39">
        <f t="shared" si="187"/>
        <v>27220</v>
      </c>
      <c r="N632" s="24">
        <f t="shared" si="193"/>
        <v>140000000</v>
      </c>
      <c r="O632" s="41">
        <f t="shared" si="194"/>
        <v>1.4285714285714285E-5</v>
      </c>
      <c r="P632" s="36">
        <v>74531.19</v>
      </c>
      <c r="Q632" s="42">
        <v>0.21590000000000001</v>
      </c>
      <c r="R632" s="41">
        <f t="shared" si="195"/>
        <v>4370860000</v>
      </c>
      <c r="S632" s="26">
        <f t="shared" si="196"/>
        <v>2698270000</v>
      </c>
      <c r="T632" s="26">
        <f t="shared" si="197"/>
        <v>517299999.99999994</v>
      </c>
      <c r="U632" s="26">
        <f t="shared" si="198"/>
        <v>19710000</v>
      </c>
      <c r="V632" s="26">
        <f t="shared" si="199"/>
        <v>1316670000</v>
      </c>
      <c r="W632">
        <f t="shared" si="188"/>
        <v>0</v>
      </c>
      <c r="X632">
        <f t="shared" si="200"/>
        <v>0.30123820026264853</v>
      </c>
    </row>
    <row r="633" spans="1:24">
      <c r="A633" s="21">
        <v>45425</v>
      </c>
      <c r="B633" s="28">
        <v>13.61</v>
      </c>
      <c r="C633" s="23">
        <f t="shared" si="186"/>
        <v>-2.7162258756254522E-2</v>
      </c>
      <c r="D633" s="22">
        <f t="shared" si="189"/>
        <v>2.0231708816028929E-2</v>
      </c>
      <c r="E633" s="28">
        <v>14.17</v>
      </c>
      <c r="F633" s="28">
        <v>13.61</v>
      </c>
      <c r="G633" s="39">
        <f t="shared" si="190"/>
        <v>4.0316774658027389E-2</v>
      </c>
      <c r="H633" s="28">
        <v>139.80000000000001</v>
      </c>
      <c r="I633" s="28">
        <v>14.1</v>
      </c>
      <c r="J633" s="39">
        <f t="shared" si="191"/>
        <v>1.6335282651072127</v>
      </c>
      <c r="K633" s="25">
        <v>2000</v>
      </c>
      <c r="L633" s="41">
        <f t="shared" si="192"/>
        <v>140000000</v>
      </c>
      <c r="M633" s="39">
        <f t="shared" si="187"/>
        <v>27220</v>
      </c>
      <c r="N633" s="24">
        <f t="shared" si="193"/>
        <v>140000000</v>
      </c>
      <c r="O633" s="41">
        <f t="shared" si="194"/>
        <v>1.4285714285714285E-5</v>
      </c>
      <c r="P633" s="36">
        <v>73799.11</v>
      </c>
      <c r="Q633" s="42">
        <v>0.21590000000000001</v>
      </c>
      <c r="R633" s="41">
        <f t="shared" si="195"/>
        <v>4370860000</v>
      </c>
      <c r="S633" s="26">
        <f t="shared" si="196"/>
        <v>2698270000</v>
      </c>
      <c r="T633" s="26">
        <f t="shared" si="197"/>
        <v>517299999.99999994</v>
      </c>
      <c r="U633" s="26">
        <f t="shared" si="198"/>
        <v>19710000</v>
      </c>
      <c r="V633" s="26">
        <f t="shared" si="199"/>
        <v>1316670000</v>
      </c>
      <c r="W633">
        <f t="shared" si="188"/>
        <v>9.9787871992118009E-7</v>
      </c>
      <c r="X633">
        <f t="shared" si="200"/>
        <v>0.30123820026264853</v>
      </c>
    </row>
    <row r="634" spans="1:24">
      <c r="A634" s="21">
        <v>45422</v>
      </c>
      <c r="B634" s="28">
        <v>13.99</v>
      </c>
      <c r="C634" s="23">
        <f t="shared" si="186"/>
        <v>-7.1428571428569911E-4</v>
      </c>
      <c r="D634" s="22">
        <f t="shared" si="189"/>
        <v>2.0231708816028929E-2</v>
      </c>
      <c r="E634" s="28">
        <v>13.99</v>
      </c>
      <c r="F634" s="28">
        <v>13.42</v>
      </c>
      <c r="G634" s="39">
        <f t="shared" si="190"/>
        <v>4.1590660342940552E-2</v>
      </c>
      <c r="H634" s="28">
        <v>139.80000000000001</v>
      </c>
      <c r="I634" s="28">
        <v>14</v>
      </c>
      <c r="J634" s="39">
        <f t="shared" si="191"/>
        <v>1.635890767230169</v>
      </c>
      <c r="K634" s="25">
        <v>4000</v>
      </c>
      <c r="L634" s="41">
        <f t="shared" si="192"/>
        <v>140000000</v>
      </c>
      <c r="M634" s="39">
        <f t="shared" si="187"/>
        <v>55960</v>
      </c>
      <c r="N634" s="24">
        <f t="shared" si="193"/>
        <v>140000000</v>
      </c>
      <c r="O634" s="41">
        <f t="shared" si="194"/>
        <v>2.8571428571428571E-5</v>
      </c>
      <c r="P634" s="36">
        <v>73085.5</v>
      </c>
      <c r="Q634" s="42">
        <v>0.21590000000000001</v>
      </c>
      <c r="R634" s="41">
        <f t="shared" si="195"/>
        <v>4370860000</v>
      </c>
      <c r="S634" s="26">
        <f t="shared" si="196"/>
        <v>2698270000</v>
      </c>
      <c r="T634" s="26">
        <f t="shared" si="197"/>
        <v>517299999.99999994</v>
      </c>
      <c r="U634" s="26">
        <f t="shared" si="198"/>
        <v>19710000</v>
      </c>
      <c r="V634" s="26">
        <f t="shared" si="199"/>
        <v>1316670000</v>
      </c>
      <c r="W634">
        <f t="shared" si="188"/>
        <v>1.2764219340344874E-8</v>
      </c>
      <c r="X634">
        <f t="shared" si="200"/>
        <v>0.30123820026264853</v>
      </c>
    </row>
    <row r="635" spans="1:24">
      <c r="A635" s="21">
        <v>45421</v>
      </c>
      <c r="B635" s="28">
        <v>14</v>
      </c>
      <c r="C635" s="23">
        <f t="shared" si="186"/>
        <v>3.1687546057479712E-2</v>
      </c>
      <c r="D635" s="22">
        <f t="shared" si="189"/>
        <v>2.0231708816028929E-2</v>
      </c>
      <c r="E635" s="28">
        <v>14</v>
      </c>
      <c r="F635" s="28">
        <v>14</v>
      </c>
      <c r="G635" s="39">
        <f t="shared" si="190"/>
        <v>0</v>
      </c>
      <c r="H635" s="28">
        <v>139.80000000000001</v>
      </c>
      <c r="I635" s="28">
        <v>13.93</v>
      </c>
      <c r="J635" s="39">
        <f t="shared" si="191"/>
        <v>1.6375463474923566</v>
      </c>
      <c r="K635" s="25">
        <v>1000</v>
      </c>
      <c r="L635" s="41">
        <f t="shared" si="192"/>
        <v>140000000</v>
      </c>
      <c r="M635" s="39">
        <f t="shared" si="187"/>
        <v>14000</v>
      </c>
      <c r="N635" s="24">
        <f t="shared" si="193"/>
        <v>140000000</v>
      </c>
      <c r="O635" s="41">
        <f t="shared" si="194"/>
        <v>7.1428571428571427E-6</v>
      </c>
      <c r="P635" s="36">
        <v>72658.05</v>
      </c>
      <c r="Q635" s="42">
        <v>0.21590000000000001</v>
      </c>
      <c r="R635" s="41">
        <f t="shared" si="195"/>
        <v>4370860000</v>
      </c>
      <c r="S635" s="26">
        <f t="shared" si="196"/>
        <v>2698270000</v>
      </c>
      <c r="T635" s="26">
        <f t="shared" si="197"/>
        <v>517299999.99999994</v>
      </c>
      <c r="U635" s="26">
        <f t="shared" si="198"/>
        <v>19710000</v>
      </c>
      <c r="V635" s="26">
        <f t="shared" si="199"/>
        <v>1316670000</v>
      </c>
      <c r="W635">
        <f t="shared" si="188"/>
        <v>2.2633961469628368E-6</v>
      </c>
      <c r="X635">
        <f t="shared" si="200"/>
        <v>0.30123820026264853</v>
      </c>
    </row>
    <row r="636" spans="1:24">
      <c r="A636" s="21">
        <v>45420</v>
      </c>
      <c r="B636" s="28">
        <v>13.57</v>
      </c>
      <c r="C636" s="23">
        <f t="shared" si="186"/>
        <v>7.3746312684364209E-4</v>
      </c>
      <c r="D636" s="22">
        <f t="shared" si="189"/>
        <v>2.0231708816028929E-2</v>
      </c>
      <c r="E636" s="28">
        <v>13.58</v>
      </c>
      <c r="F636" s="28">
        <v>13.57</v>
      </c>
      <c r="G636" s="39">
        <f t="shared" si="190"/>
        <v>7.3664825046038953E-4</v>
      </c>
      <c r="H636" s="28">
        <v>139.80000000000001</v>
      </c>
      <c r="I636" s="28">
        <v>13.95</v>
      </c>
      <c r="J636" s="39">
        <f t="shared" si="191"/>
        <v>1.6370731707317074</v>
      </c>
      <c r="K636" s="25">
        <v>1500</v>
      </c>
      <c r="L636" s="41">
        <f t="shared" si="192"/>
        <v>140000000</v>
      </c>
      <c r="M636" s="39">
        <f t="shared" si="187"/>
        <v>20355</v>
      </c>
      <c r="N636" s="24">
        <f t="shared" si="193"/>
        <v>140000000</v>
      </c>
      <c r="O636" s="41">
        <f t="shared" si="194"/>
        <v>1.0714285714285714E-5</v>
      </c>
      <c r="P636" s="36">
        <v>72601.820000000007</v>
      </c>
      <c r="Q636" s="42">
        <v>0.21590000000000001</v>
      </c>
      <c r="R636" s="41">
        <f t="shared" si="195"/>
        <v>4370860000</v>
      </c>
      <c r="S636" s="26">
        <f t="shared" si="196"/>
        <v>2698270000</v>
      </c>
      <c r="T636" s="26">
        <f t="shared" si="197"/>
        <v>517299999.99999994</v>
      </c>
      <c r="U636" s="26">
        <f t="shared" si="198"/>
        <v>19710000</v>
      </c>
      <c r="V636" s="26">
        <f t="shared" si="199"/>
        <v>1316670000</v>
      </c>
      <c r="W636">
        <f t="shared" si="188"/>
        <v>3.6230072554342523E-8</v>
      </c>
      <c r="X636">
        <f t="shared" si="200"/>
        <v>0.30123820026264853</v>
      </c>
    </row>
    <row r="637" spans="1:24">
      <c r="A637" s="21">
        <v>45419</v>
      </c>
      <c r="B637" s="28">
        <v>13.56</v>
      </c>
      <c r="C637" s="23">
        <f t="shared" si="186"/>
        <v>-1.6678752719361759E-2</v>
      </c>
      <c r="D637" s="22">
        <f t="shared" si="189"/>
        <v>2.0231708816028929E-2</v>
      </c>
      <c r="E637" s="28">
        <v>13.56</v>
      </c>
      <c r="F637" s="28">
        <v>13.5</v>
      </c>
      <c r="G637" s="39">
        <f t="shared" si="190"/>
        <v>4.4345898004434954E-3</v>
      </c>
      <c r="H637" s="28">
        <v>139.80000000000001</v>
      </c>
      <c r="I637" s="28">
        <v>13.98</v>
      </c>
      <c r="J637" s="39">
        <f t="shared" si="191"/>
        <v>1.6363636363636365</v>
      </c>
      <c r="K637" s="25">
        <v>5500</v>
      </c>
      <c r="L637" s="41">
        <f t="shared" si="192"/>
        <v>140000000</v>
      </c>
      <c r="M637" s="39">
        <f t="shared" si="187"/>
        <v>74580</v>
      </c>
      <c r="N637" s="24">
        <f t="shared" si="193"/>
        <v>140000000</v>
      </c>
      <c r="O637" s="41">
        <f t="shared" si="194"/>
        <v>3.9285714285714283E-5</v>
      </c>
      <c r="P637" s="36">
        <v>72761.2</v>
      </c>
      <c r="Q637" s="42">
        <v>0.21590000000000001</v>
      </c>
      <c r="R637" s="41">
        <f t="shared" si="195"/>
        <v>4370860000</v>
      </c>
      <c r="S637" s="26">
        <f t="shared" si="196"/>
        <v>2698270000</v>
      </c>
      <c r="T637" s="26">
        <f t="shared" si="197"/>
        <v>517299999.99999994</v>
      </c>
      <c r="U637" s="26">
        <f t="shared" si="198"/>
        <v>19710000</v>
      </c>
      <c r="V637" s="26">
        <f t="shared" si="199"/>
        <v>1316670000</v>
      </c>
      <c r="W637">
        <f t="shared" si="188"/>
        <v>2.2363572967768515E-7</v>
      </c>
      <c r="X637">
        <f t="shared" si="200"/>
        <v>0.30123820026264853</v>
      </c>
    </row>
    <row r="638" spans="1:24">
      <c r="A638" s="21">
        <v>45418</v>
      </c>
      <c r="B638" s="28">
        <v>13.79</v>
      </c>
      <c r="C638" s="23">
        <f t="shared" si="186"/>
        <v>-7.2463768115953349E-4</v>
      </c>
      <c r="D638" s="22">
        <f t="shared" si="189"/>
        <v>2.0231708816028929E-2</v>
      </c>
      <c r="E638" s="28">
        <v>13.8</v>
      </c>
      <c r="F638" s="28">
        <v>13.7</v>
      </c>
      <c r="G638" s="39">
        <f t="shared" si="190"/>
        <v>7.2727272727273759E-3</v>
      </c>
      <c r="H638" s="28">
        <v>139.80000000000001</v>
      </c>
      <c r="I638" s="28">
        <v>13.79</v>
      </c>
      <c r="J638" s="39">
        <f t="shared" si="191"/>
        <v>1.640862035288756</v>
      </c>
      <c r="K638" s="25">
        <v>5500</v>
      </c>
      <c r="L638" s="41">
        <f t="shared" si="192"/>
        <v>140000000</v>
      </c>
      <c r="M638" s="39">
        <f t="shared" si="187"/>
        <v>75845</v>
      </c>
      <c r="N638" s="24">
        <f t="shared" si="193"/>
        <v>140000000</v>
      </c>
      <c r="O638" s="41">
        <f t="shared" si="194"/>
        <v>3.9285714285714283E-5</v>
      </c>
      <c r="P638" s="36">
        <v>72764.240000000005</v>
      </c>
      <c r="Q638" s="42">
        <v>0.21590000000000001</v>
      </c>
      <c r="R638" s="41">
        <f t="shared" si="195"/>
        <v>4370860000</v>
      </c>
      <c r="S638" s="26">
        <f t="shared" si="196"/>
        <v>2698270000</v>
      </c>
      <c r="T638" s="26">
        <f t="shared" si="197"/>
        <v>517299999.99999994</v>
      </c>
      <c r="U638" s="26">
        <f t="shared" si="198"/>
        <v>19710000</v>
      </c>
      <c r="V638" s="26">
        <f t="shared" si="199"/>
        <v>1316670000</v>
      </c>
      <c r="W638">
        <f t="shared" si="188"/>
        <v>9.5541918539064347E-9</v>
      </c>
      <c r="X638">
        <f t="shared" si="200"/>
        <v>0.30123820026264853</v>
      </c>
    </row>
    <row r="639" spans="1:24">
      <c r="A639" s="21">
        <v>45415</v>
      </c>
      <c r="B639" s="28">
        <v>13.8</v>
      </c>
      <c r="C639" s="23">
        <f t="shared" si="186"/>
        <v>2.0710059171597718E-2</v>
      </c>
      <c r="D639" s="22">
        <f t="shared" si="189"/>
        <v>2.0231708816028929E-2</v>
      </c>
      <c r="E639" s="28">
        <v>13.8</v>
      </c>
      <c r="F639" s="28">
        <v>13.8</v>
      </c>
      <c r="G639" s="39">
        <f t="shared" si="190"/>
        <v>0</v>
      </c>
      <c r="H639" s="28">
        <v>139.80000000000001</v>
      </c>
      <c r="I639" s="28">
        <v>13.8</v>
      </c>
      <c r="J639" s="39">
        <f t="shared" si="191"/>
        <v>1.640625</v>
      </c>
      <c r="K639" s="25">
        <v>1000</v>
      </c>
      <c r="L639" s="41">
        <f t="shared" si="192"/>
        <v>140000000</v>
      </c>
      <c r="M639" s="39">
        <f t="shared" si="187"/>
        <v>13800</v>
      </c>
      <c r="N639" s="24">
        <f t="shared" si="193"/>
        <v>140000000</v>
      </c>
      <c r="O639" s="41">
        <f t="shared" si="194"/>
        <v>7.1428571428571427E-6</v>
      </c>
      <c r="P639" s="36">
        <v>71902.09</v>
      </c>
      <c r="Q639" s="42">
        <v>0.21590000000000001</v>
      </c>
      <c r="R639" s="41">
        <f t="shared" si="195"/>
        <v>4370860000</v>
      </c>
      <c r="S639" s="26">
        <f t="shared" si="196"/>
        <v>2698270000</v>
      </c>
      <c r="T639" s="26">
        <f t="shared" si="197"/>
        <v>517299999.99999994</v>
      </c>
      <c r="U639" s="26">
        <f t="shared" si="198"/>
        <v>19710000</v>
      </c>
      <c r="V639" s="26">
        <f t="shared" si="199"/>
        <v>1316670000</v>
      </c>
      <c r="W639">
        <f t="shared" si="188"/>
        <v>1.5007289254780956E-6</v>
      </c>
      <c r="X639">
        <f t="shared" si="200"/>
        <v>0.30123820026264853</v>
      </c>
    </row>
    <row r="640" spans="1:24">
      <c r="A640" s="21">
        <v>45414</v>
      </c>
      <c r="B640" s="28">
        <v>13.52</v>
      </c>
      <c r="C640" s="23">
        <f t="shared" si="186"/>
        <v>0</v>
      </c>
      <c r="D640" s="22">
        <f t="shared" si="189"/>
        <v>2.0231708816028929E-2</v>
      </c>
      <c r="E640" s="28">
        <v>13</v>
      </c>
      <c r="F640" s="28">
        <v>13</v>
      </c>
      <c r="G640" s="39">
        <f t="shared" si="190"/>
        <v>0</v>
      </c>
      <c r="H640" s="28">
        <v>139.80000000000001</v>
      </c>
      <c r="I640" s="28">
        <v>13.95</v>
      </c>
      <c r="J640" s="39">
        <f t="shared" si="191"/>
        <v>1.6370731707317074</v>
      </c>
      <c r="K640" s="25">
        <v>8000</v>
      </c>
      <c r="L640" s="41">
        <f t="shared" si="192"/>
        <v>140000000</v>
      </c>
      <c r="M640" s="39">
        <f t="shared" si="187"/>
        <v>108160</v>
      </c>
      <c r="N640" s="24">
        <f t="shared" si="193"/>
        <v>140000000</v>
      </c>
      <c r="O640" s="41">
        <f t="shared" si="194"/>
        <v>5.7142857142857142E-5</v>
      </c>
      <c r="P640" s="36">
        <v>70657.64</v>
      </c>
      <c r="Q640" s="42">
        <v>0.21590000000000001</v>
      </c>
      <c r="R640" s="41">
        <f t="shared" si="195"/>
        <v>4370860000</v>
      </c>
      <c r="S640" s="26">
        <f t="shared" si="196"/>
        <v>2698270000</v>
      </c>
      <c r="T640" s="26">
        <f t="shared" si="197"/>
        <v>517299999.99999994</v>
      </c>
      <c r="U640" s="26">
        <f t="shared" si="198"/>
        <v>19710000</v>
      </c>
      <c r="V640" s="26">
        <f t="shared" si="199"/>
        <v>1316670000</v>
      </c>
      <c r="W640">
        <f t="shared" si="188"/>
        <v>0</v>
      </c>
      <c r="X640">
        <f t="shared" si="200"/>
        <v>0.30123820026264853</v>
      </c>
    </row>
    <row r="641" spans="1:24">
      <c r="A641" s="21">
        <v>45412</v>
      </c>
      <c r="B641" s="28">
        <v>13.52</v>
      </c>
      <c r="C641" s="23">
        <f t="shared" si="186"/>
        <v>-1.6727272727272757E-2</v>
      </c>
      <c r="D641" s="22">
        <f t="shared" si="189"/>
        <v>2.0231708816028929E-2</v>
      </c>
      <c r="E641" s="28">
        <v>13.99</v>
      </c>
      <c r="F641" s="28">
        <v>13.52</v>
      </c>
      <c r="G641" s="39">
        <f t="shared" si="190"/>
        <v>3.4169392948018948E-2</v>
      </c>
      <c r="H641" s="28">
        <v>139.80000000000001</v>
      </c>
      <c r="I641" s="28">
        <v>13.82</v>
      </c>
      <c r="J641" s="39">
        <f t="shared" si="191"/>
        <v>1.6401510220023436</v>
      </c>
      <c r="K641" s="25">
        <v>9500</v>
      </c>
      <c r="L641" s="41">
        <f t="shared" si="192"/>
        <v>140000000</v>
      </c>
      <c r="M641" s="39">
        <f t="shared" si="187"/>
        <v>128440</v>
      </c>
      <c r="N641" s="24">
        <f t="shared" si="193"/>
        <v>140000000</v>
      </c>
      <c r="O641" s="41">
        <f t="shared" si="194"/>
        <v>6.7857142857142861E-5</v>
      </c>
      <c r="P641" s="36">
        <v>71102.55</v>
      </c>
      <c r="Q641" s="42">
        <v>0.21590000000000001</v>
      </c>
      <c r="R641" s="41">
        <f t="shared" si="195"/>
        <v>4370860000</v>
      </c>
      <c r="S641" s="26">
        <f t="shared" si="196"/>
        <v>2698270000</v>
      </c>
      <c r="T641" s="26">
        <f t="shared" si="197"/>
        <v>517299999.99999994</v>
      </c>
      <c r="U641" s="26">
        <f t="shared" si="198"/>
        <v>19710000</v>
      </c>
      <c r="V641" s="26">
        <f t="shared" si="199"/>
        <v>1316670000</v>
      </c>
      <c r="W641">
        <f t="shared" si="188"/>
        <v>1.3023413833130455E-7</v>
      </c>
      <c r="X641">
        <f t="shared" si="200"/>
        <v>0.30123820026264853</v>
      </c>
    </row>
    <row r="642" spans="1:24">
      <c r="A642" s="21">
        <v>45411</v>
      </c>
      <c r="B642" s="28">
        <v>13.75</v>
      </c>
      <c r="C642" s="23">
        <f t="shared" si="186"/>
        <v>-1.7857142857142856E-2</v>
      </c>
      <c r="D642" s="22">
        <f t="shared" si="189"/>
        <v>2.0231708816028929E-2</v>
      </c>
      <c r="E642" s="28">
        <v>14</v>
      </c>
      <c r="F642" s="28">
        <v>13.1</v>
      </c>
      <c r="G642" s="39">
        <f t="shared" si="190"/>
        <v>6.6420664206642083E-2</v>
      </c>
      <c r="H642" s="28">
        <v>139.80000000000001</v>
      </c>
      <c r="I642" s="28">
        <v>13.9</v>
      </c>
      <c r="J642" s="39">
        <f t="shared" si="191"/>
        <v>1.63825634352635</v>
      </c>
      <c r="K642" s="25">
        <v>15500</v>
      </c>
      <c r="L642" s="41">
        <f t="shared" si="192"/>
        <v>140000000</v>
      </c>
      <c r="M642" s="39">
        <f t="shared" si="187"/>
        <v>213125</v>
      </c>
      <c r="N642" s="24">
        <f t="shared" si="193"/>
        <v>140000000</v>
      </c>
      <c r="O642" s="41">
        <f t="shared" si="194"/>
        <v>1.1071428571428571E-4</v>
      </c>
      <c r="P642" s="36">
        <v>71695.03</v>
      </c>
      <c r="Q642" s="42">
        <v>0.21640000000000001</v>
      </c>
      <c r="R642" s="41">
        <f t="shared" si="195"/>
        <v>4370860000</v>
      </c>
      <c r="S642" s="26">
        <f t="shared" si="196"/>
        <v>2698270000</v>
      </c>
      <c r="T642" s="26">
        <f t="shared" si="197"/>
        <v>517299999.99999994</v>
      </c>
      <c r="U642" s="26">
        <f t="shared" si="198"/>
        <v>19710000</v>
      </c>
      <c r="V642" s="26">
        <f t="shared" si="199"/>
        <v>1316670000</v>
      </c>
      <c r="W642">
        <f t="shared" si="188"/>
        <v>8.3787180561374102E-8</v>
      </c>
      <c r="X642">
        <f t="shared" si="200"/>
        <v>0.30123820026264853</v>
      </c>
    </row>
    <row r="643" spans="1:24">
      <c r="A643" s="21">
        <v>45408</v>
      </c>
      <c r="B643" s="28">
        <v>14</v>
      </c>
      <c r="C643" s="23">
        <f t="shared" si="186"/>
        <v>5.2631578947368363E-2</v>
      </c>
      <c r="D643" s="22">
        <f t="shared" si="189"/>
        <v>2.0231708816028929E-2</v>
      </c>
      <c r="E643" s="28">
        <v>14</v>
      </c>
      <c r="F643" s="28">
        <v>13.3</v>
      </c>
      <c r="G643" s="39">
        <f t="shared" si="190"/>
        <v>5.1282051282051232E-2</v>
      </c>
      <c r="H643" s="28">
        <v>139.80000000000001</v>
      </c>
      <c r="I643" s="28">
        <v>14</v>
      </c>
      <c r="J643" s="39">
        <f t="shared" si="191"/>
        <v>1.635890767230169</v>
      </c>
      <c r="K643" s="25">
        <v>63500</v>
      </c>
      <c r="L643" s="41">
        <f t="shared" si="192"/>
        <v>140000000</v>
      </c>
      <c r="M643" s="39">
        <f t="shared" si="187"/>
        <v>889000</v>
      </c>
      <c r="N643" s="24">
        <f t="shared" si="193"/>
        <v>140000000</v>
      </c>
      <c r="O643" s="41">
        <f t="shared" si="194"/>
        <v>4.5357142857142856E-4</v>
      </c>
      <c r="P643" s="36">
        <v>72742.75</v>
      </c>
      <c r="Q643" s="42">
        <v>0.21640000000000001</v>
      </c>
      <c r="R643" s="41">
        <f t="shared" si="195"/>
        <v>4370860000</v>
      </c>
      <c r="S643" s="26">
        <f t="shared" si="196"/>
        <v>2698270000</v>
      </c>
      <c r="T643" s="26">
        <f t="shared" si="197"/>
        <v>517299999.99999994</v>
      </c>
      <c r="U643" s="26">
        <f t="shared" si="198"/>
        <v>19710000</v>
      </c>
      <c r="V643" s="26">
        <f t="shared" si="199"/>
        <v>1316670000</v>
      </c>
      <c r="W643">
        <f t="shared" si="188"/>
        <v>5.9203125925048779E-8</v>
      </c>
      <c r="X643">
        <f t="shared" si="200"/>
        <v>0.30123820026264853</v>
      </c>
    </row>
    <row r="644" spans="1:24">
      <c r="A644" s="21">
        <v>45407</v>
      </c>
      <c r="B644" s="28">
        <v>13.3</v>
      </c>
      <c r="C644" s="23">
        <f t="shared" si="186"/>
        <v>-1.9174041297935086E-2</v>
      </c>
      <c r="D644" s="22">
        <f t="shared" si="189"/>
        <v>2.0231708816028929E-2</v>
      </c>
      <c r="E644" s="28">
        <v>13.96</v>
      </c>
      <c r="F644" s="28">
        <v>13.2</v>
      </c>
      <c r="G644" s="39">
        <f t="shared" si="190"/>
        <v>5.5964653902798346E-2</v>
      </c>
      <c r="H644" s="28">
        <v>139.80000000000001</v>
      </c>
      <c r="I644" s="28">
        <v>13.92</v>
      </c>
      <c r="J644" s="39">
        <f t="shared" si="191"/>
        <v>1.6377829820452772</v>
      </c>
      <c r="K644" s="25">
        <v>10500</v>
      </c>
      <c r="L644" s="41">
        <f t="shared" si="192"/>
        <v>140000000</v>
      </c>
      <c r="M644" s="39">
        <f t="shared" si="187"/>
        <v>139650</v>
      </c>
      <c r="N644" s="24">
        <f t="shared" si="193"/>
        <v>140000000</v>
      </c>
      <c r="O644" s="41">
        <f t="shared" si="194"/>
        <v>7.4999999999999993E-5</v>
      </c>
      <c r="P644" s="36">
        <v>71971.399999999994</v>
      </c>
      <c r="Q644" s="42">
        <v>0.21640000000000001</v>
      </c>
      <c r="R644" s="41">
        <f t="shared" si="195"/>
        <v>4370860000</v>
      </c>
      <c r="S644" s="26">
        <f t="shared" si="196"/>
        <v>2698270000</v>
      </c>
      <c r="T644" s="26">
        <f t="shared" si="197"/>
        <v>517299999.99999994</v>
      </c>
      <c r="U644" s="26">
        <f t="shared" si="198"/>
        <v>19710000</v>
      </c>
      <c r="V644" s="26">
        <f t="shared" si="199"/>
        <v>1316670000</v>
      </c>
      <c r="W644">
        <f t="shared" si="188"/>
        <v>1.3730068956630924E-7</v>
      </c>
      <c r="X644">
        <f t="shared" si="200"/>
        <v>0.30123820026264853</v>
      </c>
    </row>
    <row r="645" spans="1:24">
      <c r="A645" s="21">
        <v>45406</v>
      </c>
      <c r="B645" s="28">
        <v>13.56</v>
      </c>
      <c r="C645" s="23">
        <f t="shared" si="186"/>
        <v>1.1940298507462697E-2</v>
      </c>
      <c r="D645" s="22">
        <f t="shared" si="189"/>
        <v>2.0231708816028929E-2</v>
      </c>
      <c r="E645" s="28">
        <v>13.97</v>
      </c>
      <c r="F645" s="28">
        <v>13.16</v>
      </c>
      <c r="G645" s="39">
        <f t="shared" si="190"/>
        <v>5.9712495392554396E-2</v>
      </c>
      <c r="H645" s="28">
        <v>139.80000000000001</v>
      </c>
      <c r="I645" s="28">
        <v>13.92</v>
      </c>
      <c r="J645" s="39">
        <f t="shared" si="191"/>
        <v>1.6377829820452772</v>
      </c>
      <c r="K645" s="25">
        <v>3500</v>
      </c>
      <c r="L645" s="41">
        <f t="shared" si="192"/>
        <v>140000000</v>
      </c>
      <c r="M645" s="39">
        <f t="shared" si="187"/>
        <v>47460</v>
      </c>
      <c r="N645" s="24">
        <f t="shared" si="193"/>
        <v>140000000</v>
      </c>
      <c r="O645" s="41">
        <f t="shared" si="194"/>
        <v>2.5000000000000001E-5</v>
      </c>
      <c r="P645" s="36">
        <v>72051.89</v>
      </c>
      <c r="Q645" s="42">
        <v>0.21640000000000001</v>
      </c>
      <c r="R645" s="41">
        <f t="shared" si="195"/>
        <v>4370860000</v>
      </c>
      <c r="S645" s="26">
        <f t="shared" si="196"/>
        <v>2698270000</v>
      </c>
      <c r="T645" s="26">
        <f t="shared" si="197"/>
        <v>517299999.99999994</v>
      </c>
      <c r="U645" s="26">
        <f t="shared" si="198"/>
        <v>19710000</v>
      </c>
      <c r="V645" s="26">
        <f t="shared" si="199"/>
        <v>1316670000</v>
      </c>
      <c r="W645">
        <f t="shared" si="188"/>
        <v>2.5158656779314575E-7</v>
      </c>
      <c r="X645">
        <f t="shared" si="200"/>
        <v>0.30123820026264853</v>
      </c>
    </row>
    <row r="646" spans="1:24">
      <c r="A646" s="21">
        <v>45405</v>
      </c>
      <c r="B646" s="28">
        <v>13.4</v>
      </c>
      <c r="C646" s="23">
        <f t="shared" si="186"/>
        <v>-2.5454545454545428E-2</v>
      </c>
      <c r="D646" s="22">
        <f t="shared" si="189"/>
        <v>2.0231708816028929E-2</v>
      </c>
      <c r="E646" s="28">
        <v>13.98</v>
      </c>
      <c r="F646" s="28">
        <v>13.4</v>
      </c>
      <c r="G646" s="39">
        <f t="shared" si="190"/>
        <v>4.2366691015339665E-2</v>
      </c>
      <c r="H646" s="28">
        <v>139.80000000000001</v>
      </c>
      <c r="I646" s="28">
        <v>13.59</v>
      </c>
      <c r="J646" s="39">
        <f t="shared" si="191"/>
        <v>1.6456092313710151</v>
      </c>
      <c r="K646" s="25">
        <v>8500</v>
      </c>
      <c r="L646" s="41">
        <f t="shared" si="192"/>
        <v>140000000</v>
      </c>
      <c r="M646" s="39">
        <f t="shared" si="187"/>
        <v>113900</v>
      </c>
      <c r="N646" s="24">
        <f t="shared" si="193"/>
        <v>140000000</v>
      </c>
      <c r="O646" s="41">
        <f t="shared" si="194"/>
        <v>6.0714285714285715E-5</v>
      </c>
      <c r="P646" s="36">
        <v>71359.41</v>
      </c>
      <c r="Q646" s="42">
        <v>0.21640000000000001</v>
      </c>
      <c r="R646" s="41">
        <f t="shared" si="195"/>
        <v>4370860000</v>
      </c>
      <c r="S646" s="26">
        <f t="shared" si="196"/>
        <v>2698270000</v>
      </c>
      <c r="T646" s="26">
        <f t="shared" si="197"/>
        <v>517299999.99999994</v>
      </c>
      <c r="U646" s="26">
        <f t="shared" si="198"/>
        <v>19710000</v>
      </c>
      <c r="V646" s="26">
        <f t="shared" si="199"/>
        <v>1316670000</v>
      </c>
      <c r="W646">
        <f t="shared" si="188"/>
        <v>2.2348152286694844E-7</v>
      </c>
      <c r="X646">
        <f t="shared" si="200"/>
        <v>0.30123820026264853</v>
      </c>
    </row>
    <row r="647" spans="1:24">
      <c r="A647" s="21">
        <v>45404</v>
      </c>
      <c r="B647" s="28">
        <v>13.75</v>
      </c>
      <c r="C647" s="23">
        <f t="shared" si="186"/>
        <v>-2.9006526468454787E-3</v>
      </c>
      <c r="D647" s="22">
        <f t="shared" si="189"/>
        <v>2.0231708816028929E-2</v>
      </c>
      <c r="E647" s="28">
        <v>14</v>
      </c>
      <c r="F647" s="28">
        <v>13.41</v>
      </c>
      <c r="G647" s="39">
        <f t="shared" si="190"/>
        <v>4.3049981758482292E-2</v>
      </c>
      <c r="H647" s="28">
        <v>139.80000000000001</v>
      </c>
      <c r="I647" s="28">
        <v>13.88</v>
      </c>
      <c r="J647" s="39">
        <f t="shared" si="191"/>
        <v>1.6387298282144718</v>
      </c>
      <c r="K647" s="25">
        <v>9000</v>
      </c>
      <c r="L647" s="41">
        <f t="shared" si="192"/>
        <v>140000000</v>
      </c>
      <c r="M647" s="39">
        <f t="shared" si="187"/>
        <v>123750</v>
      </c>
      <c r="N647" s="24">
        <f t="shared" si="193"/>
        <v>140000000</v>
      </c>
      <c r="O647" s="41">
        <f t="shared" si="194"/>
        <v>6.4285714285714288E-5</v>
      </c>
      <c r="P647" s="36">
        <v>71433.460000000006</v>
      </c>
      <c r="Q647" s="42">
        <v>0.21640000000000001</v>
      </c>
      <c r="R647" s="41">
        <f t="shared" si="195"/>
        <v>4370860000</v>
      </c>
      <c r="S647" s="26">
        <f t="shared" si="196"/>
        <v>2698270000</v>
      </c>
      <c r="T647" s="26">
        <f t="shared" si="197"/>
        <v>517299999.99999994</v>
      </c>
      <c r="U647" s="26">
        <f t="shared" si="198"/>
        <v>19710000</v>
      </c>
      <c r="V647" s="26">
        <f t="shared" si="199"/>
        <v>1316670000</v>
      </c>
      <c r="W647">
        <f t="shared" si="188"/>
        <v>2.3439617348246294E-8</v>
      </c>
      <c r="X647">
        <f t="shared" si="200"/>
        <v>0.30123820026264853</v>
      </c>
    </row>
    <row r="648" spans="1:24">
      <c r="A648" s="21">
        <v>45401</v>
      </c>
      <c r="B648" s="28">
        <v>13.79</v>
      </c>
      <c r="C648" s="23">
        <f t="shared" si="186"/>
        <v>3.6842105263157773E-2</v>
      </c>
      <c r="D648" s="22">
        <f t="shared" si="189"/>
        <v>2.0231708816028929E-2</v>
      </c>
      <c r="E648" s="28">
        <v>13.8</v>
      </c>
      <c r="F648" s="28">
        <v>13.5</v>
      </c>
      <c r="G648" s="39">
        <f t="shared" si="190"/>
        <v>2.1978021978022028E-2</v>
      </c>
      <c r="H648" s="28">
        <v>139.80000000000001</v>
      </c>
      <c r="I648" s="28">
        <v>13.79</v>
      </c>
      <c r="J648" s="39">
        <f t="shared" si="191"/>
        <v>1.640862035288756</v>
      </c>
      <c r="K648" s="25">
        <v>20000</v>
      </c>
      <c r="L648" s="41">
        <f t="shared" si="192"/>
        <v>140000000</v>
      </c>
      <c r="M648" s="39">
        <f t="shared" si="187"/>
        <v>275800</v>
      </c>
      <c r="N648" s="24">
        <f t="shared" si="193"/>
        <v>140000000</v>
      </c>
      <c r="O648" s="41">
        <f t="shared" si="194"/>
        <v>1.4285714285714287E-4</v>
      </c>
      <c r="P648" s="36">
        <v>70909.899999999994</v>
      </c>
      <c r="Q648" s="42">
        <v>0.21640000000000001</v>
      </c>
      <c r="R648" s="41">
        <f t="shared" si="195"/>
        <v>4370860000</v>
      </c>
      <c r="S648" s="26">
        <f t="shared" si="196"/>
        <v>2698270000</v>
      </c>
      <c r="T648" s="26">
        <f t="shared" si="197"/>
        <v>517299999.99999994</v>
      </c>
      <c r="U648" s="26">
        <f t="shared" si="198"/>
        <v>19710000</v>
      </c>
      <c r="V648" s="26">
        <f t="shared" si="199"/>
        <v>1316670000</v>
      </c>
      <c r="W648">
        <f t="shared" si="188"/>
        <v>1.3358268768367575E-7</v>
      </c>
      <c r="X648">
        <f t="shared" si="200"/>
        <v>0.30123820026264853</v>
      </c>
    </row>
    <row r="649" spans="1:24">
      <c r="A649" s="21">
        <v>45400</v>
      </c>
      <c r="B649" s="28">
        <v>13.3</v>
      </c>
      <c r="C649" s="23">
        <f t="shared" si="186"/>
        <v>3.0209140201394313E-2</v>
      </c>
      <c r="D649" s="22">
        <f t="shared" si="189"/>
        <v>2.0231708816028929E-2</v>
      </c>
      <c r="E649" s="28">
        <v>13.6</v>
      </c>
      <c r="F649" s="28">
        <v>13.15</v>
      </c>
      <c r="G649" s="39">
        <f t="shared" si="190"/>
        <v>3.3644859813084058E-2</v>
      </c>
      <c r="H649" s="28">
        <v>139.80000000000001</v>
      </c>
      <c r="I649" s="28">
        <v>13.35</v>
      </c>
      <c r="J649" s="39">
        <f t="shared" si="191"/>
        <v>1.6513222331047994</v>
      </c>
      <c r="K649" s="25">
        <v>16000</v>
      </c>
      <c r="L649" s="41">
        <f t="shared" si="192"/>
        <v>140000000</v>
      </c>
      <c r="M649" s="39">
        <f t="shared" si="187"/>
        <v>212800</v>
      </c>
      <c r="N649" s="24">
        <f t="shared" si="193"/>
        <v>140000000</v>
      </c>
      <c r="O649" s="41">
        <f t="shared" si="194"/>
        <v>1.1428571428571428E-4</v>
      </c>
      <c r="P649" s="36">
        <v>70290.12</v>
      </c>
      <c r="Q649" s="42">
        <v>0.21640000000000001</v>
      </c>
      <c r="R649" s="41">
        <f t="shared" si="195"/>
        <v>4370860000</v>
      </c>
      <c r="S649" s="26">
        <f t="shared" si="196"/>
        <v>2698270000</v>
      </c>
      <c r="T649" s="26">
        <f t="shared" si="197"/>
        <v>517299999.99999994</v>
      </c>
      <c r="U649" s="26">
        <f t="shared" si="198"/>
        <v>19710000</v>
      </c>
      <c r="V649" s="26">
        <f t="shared" si="199"/>
        <v>1316670000</v>
      </c>
      <c r="W649">
        <f t="shared" si="188"/>
        <v>1.4196024530730411E-7</v>
      </c>
      <c r="X649">
        <f t="shared" si="200"/>
        <v>0.30123820026264853</v>
      </c>
    </row>
    <row r="650" spans="1:24">
      <c r="A650" s="21">
        <v>45399</v>
      </c>
      <c r="B650" s="28">
        <v>12.91</v>
      </c>
      <c r="C650" s="23">
        <f t="shared" si="186"/>
        <v>-2.1228203184230431E-2</v>
      </c>
      <c r="D650" s="22">
        <f t="shared" si="189"/>
        <v>2.0231708816028929E-2</v>
      </c>
      <c r="E650" s="28">
        <v>13.01</v>
      </c>
      <c r="F650" s="28">
        <v>12.91</v>
      </c>
      <c r="G650" s="39">
        <f t="shared" si="190"/>
        <v>7.7160493827160212E-3</v>
      </c>
      <c r="H650" s="28">
        <v>139.80000000000001</v>
      </c>
      <c r="I650" s="28">
        <v>13.19</v>
      </c>
      <c r="J650" s="39">
        <f t="shared" si="191"/>
        <v>1.6551408588796654</v>
      </c>
      <c r="K650" s="25">
        <v>2500</v>
      </c>
      <c r="L650" s="41">
        <f t="shared" si="192"/>
        <v>140000000</v>
      </c>
      <c r="M650" s="39">
        <f t="shared" si="187"/>
        <v>32275</v>
      </c>
      <c r="N650" s="24">
        <f t="shared" si="193"/>
        <v>140000000</v>
      </c>
      <c r="O650" s="41">
        <f t="shared" si="194"/>
        <v>1.7857142857142858E-5</v>
      </c>
      <c r="P650" s="36">
        <v>70333.320000000007</v>
      </c>
      <c r="Q650" s="42">
        <v>0.21640000000000001</v>
      </c>
      <c r="R650" s="41">
        <f t="shared" si="195"/>
        <v>4370860000</v>
      </c>
      <c r="S650" s="26">
        <f t="shared" si="196"/>
        <v>2698270000</v>
      </c>
      <c r="T650" s="26">
        <f t="shared" si="197"/>
        <v>517299999.99999994</v>
      </c>
      <c r="U650" s="26">
        <f t="shared" si="198"/>
        <v>19710000</v>
      </c>
      <c r="V650" s="26">
        <f t="shared" si="199"/>
        <v>1316670000</v>
      </c>
      <c r="W650">
        <f t="shared" si="188"/>
        <v>6.5772899099087311E-7</v>
      </c>
      <c r="X650">
        <f t="shared" si="200"/>
        <v>0.30123820026264853</v>
      </c>
    </row>
    <row r="651" spans="1:24">
      <c r="A651" s="21">
        <v>45398</v>
      </c>
      <c r="B651" s="28">
        <v>13.19</v>
      </c>
      <c r="C651" s="23">
        <f t="shared" si="186"/>
        <v>1.4615384615384577E-2</v>
      </c>
      <c r="D651" s="22">
        <f t="shared" si="189"/>
        <v>2.0231708816028929E-2</v>
      </c>
      <c r="E651" s="28">
        <v>13.24</v>
      </c>
      <c r="F651" s="28">
        <v>13</v>
      </c>
      <c r="G651" s="39">
        <f t="shared" si="190"/>
        <v>1.8292682926829285E-2</v>
      </c>
      <c r="H651" s="28">
        <v>139.80000000000001</v>
      </c>
      <c r="I651" s="28">
        <v>13.24</v>
      </c>
      <c r="J651" s="39">
        <f t="shared" si="191"/>
        <v>1.6539466806063774</v>
      </c>
      <c r="K651" s="25">
        <v>5500</v>
      </c>
      <c r="L651" s="41">
        <f t="shared" si="192"/>
        <v>140000000</v>
      </c>
      <c r="M651" s="39">
        <f t="shared" si="187"/>
        <v>72545</v>
      </c>
      <c r="N651" s="24">
        <f t="shared" si="193"/>
        <v>140000000</v>
      </c>
      <c r="O651" s="41">
        <f t="shared" si="194"/>
        <v>3.9285714285714283E-5</v>
      </c>
      <c r="P651" s="36">
        <v>70483.66</v>
      </c>
      <c r="Q651" s="42">
        <v>0.216</v>
      </c>
      <c r="R651" s="41">
        <f t="shared" si="195"/>
        <v>4370860000</v>
      </c>
      <c r="S651" s="26">
        <f t="shared" si="196"/>
        <v>2698270000</v>
      </c>
      <c r="T651" s="26">
        <f t="shared" si="197"/>
        <v>517299999.99999994</v>
      </c>
      <c r="U651" s="26">
        <f t="shared" si="198"/>
        <v>19710000</v>
      </c>
      <c r="V651" s="26">
        <f t="shared" si="199"/>
        <v>1316670000</v>
      </c>
      <c r="W651">
        <f t="shared" si="188"/>
        <v>2.0146646378640262E-7</v>
      </c>
      <c r="X651">
        <f t="shared" si="200"/>
        <v>0.30123820026264853</v>
      </c>
    </row>
    <row r="652" spans="1:24">
      <c r="A652" s="21">
        <v>45397</v>
      </c>
      <c r="B652" s="28">
        <v>13</v>
      </c>
      <c r="C652" s="23">
        <f t="shared" si="186"/>
        <v>2.2816679779700953E-2</v>
      </c>
      <c r="D652" s="22">
        <f t="shared" si="189"/>
        <v>2.0231708816028929E-2</v>
      </c>
      <c r="E652" s="28">
        <v>13.71</v>
      </c>
      <c r="F652" s="28">
        <v>13</v>
      </c>
      <c r="G652" s="39">
        <f t="shared" si="190"/>
        <v>5.3163609135155436E-2</v>
      </c>
      <c r="H652" s="28">
        <v>139.80000000000001</v>
      </c>
      <c r="I652" s="28">
        <v>13.19</v>
      </c>
      <c r="J652" s="39">
        <f t="shared" si="191"/>
        <v>1.6551408588796654</v>
      </c>
      <c r="K652" s="25">
        <v>1500</v>
      </c>
      <c r="L652" s="41">
        <f t="shared" si="192"/>
        <v>140000000</v>
      </c>
      <c r="M652" s="39">
        <f t="shared" si="187"/>
        <v>19500</v>
      </c>
      <c r="N652" s="24">
        <f t="shared" si="193"/>
        <v>140000000</v>
      </c>
      <c r="O652" s="41">
        <f t="shared" si="194"/>
        <v>1.0714285714285714E-5</v>
      </c>
      <c r="P652" s="36">
        <v>70544.58</v>
      </c>
      <c r="Q652" s="42">
        <v>0.216</v>
      </c>
      <c r="R652" s="41">
        <f t="shared" si="195"/>
        <v>4370860000</v>
      </c>
      <c r="S652" s="26">
        <f t="shared" si="196"/>
        <v>2698270000</v>
      </c>
      <c r="T652" s="26">
        <f t="shared" si="197"/>
        <v>517299999.99999994</v>
      </c>
      <c r="U652" s="26">
        <f t="shared" si="198"/>
        <v>19710000</v>
      </c>
      <c r="V652" s="26">
        <f t="shared" si="199"/>
        <v>1316670000</v>
      </c>
      <c r="W652">
        <f t="shared" si="188"/>
        <v>1.1700861425487668E-6</v>
      </c>
      <c r="X652">
        <f t="shared" si="200"/>
        <v>0.30123820026264853</v>
      </c>
    </row>
    <row r="653" spans="1:24">
      <c r="A653" s="21">
        <v>45391</v>
      </c>
      <c r="B653" s="28">
        <v>12.71</v>
      </c>
      <c r="C653" s="23">
        <f t="shared" si="186"/>
        <v>-2.2307692307692244E-2</v>
      </c>
      <c r="D653" s="22">
        <f t="shared" si="189"/>
        <v>2.0231708816028929E-2</v>
      </c>
      <c r="E653" s="28">
        <v>12.71</v>
      </c>
      <c r="F653" s="28">
        <v>12.71</v>
      </c>
      <c r="G653" s="39">
        <f t="shared" si="190"/>
        <v>0</v>
      </c>
      <c r="H653" s="28">
        <v>139.80000000000001</v>
      </c>
      <c r="I653" s="28">
        <v>13.32</v>
      </c>
      <c r="J653" s="39">
        <f t="shared" si="191"/>
        <v>1.6520376175548592</v>
      </c>
      <c r="K653" s="25">
        <v>500</v>
      </c>
      <c r="L653" s="41">
        <f t="shared" si="192"/>
        <v>140000000</v>
      </c>
      <c r="M653" s="39">
        <f t="shared" si="187"/>
        <v>6355</v>
      </c>
      <c r="N653" s="24">
        <f t="shared" si="193"/>
        <v>140000000</v>
      </c>
      <c r="O653" s="41">
        <f t="shared" si="194"/>
        <v>3.5714285714285714E-6</v>
      </c>
      <c r="P653" s="36">
        <v>70314.720000000001</v>
      </c>
      <c r="Q653" s="42">
        <v>0.216</v>
      </c>
      <c r="R653" s="41">
        <f t="shared" si="195"/>
        <v>4370860000</v>
      </c>
      <c r="S653" s="26">
        <f t="shared" si="196"/>
        <v>2698270000</v>
      </c>
      <c r="T653" s="26">
        <f t="shared" si="197"/>
        <v>517299999.99999994</v>
      </c>
      <c r="U653" s="26">
        <f t="shared" si="198"/>
        <v>19710000</v>
      </c>
      <c r="V653" s="26">
        <f t="shared" si="199"/>
        <v>1316670000</v>
      </c>
      <c r="W653">
        <f t="shared" si="188"/>
        <v>3.5102584276463011E-6</v>
      </c>
      <c r="X653">
        <f t="shared" si="200"/>
        <v>0.30123820026264853</v>
      </c>
    </row>
    <row r="654" spans="1:24">
      <c r="A654" s="21">
        <v>45390</v>
      </c>
      <c r="B654" s="28">
        <v>13</v>
      </c>
      <c r="C654" s="23">
        <f t="shared" si="186"/>
        <v>0</v>
      </c>
      <c r="D654" s="22">
        <f t="shared" si="189"/>
        <v>2.0231708816028929E-2</v>
      </c>
      <c r="E654" s="28">
        <v>13</v>
      </c>
      <c r="F654" s="28">
        <v>13</v>
      </c>
      <c r="G654" s="39">
        <f t="shared" si="190"/>
        <v>0</v>
      </c>
      <c r="H654" s="28">
        <v>139.80000000000001</v>
      </c>
      <c r="I654" s="28">
        <v>13.25</v>
      </c>
      <c r="J654" s="39">
        <f t="shared" si="191"/>
        <v>1.6537079385821627</v>
      </c>
      <c r="K654" s="25">
        <v>7000</v>
      </c>
      <c r="L654" s="41">
        <f t="shared" si="192"/>
        <v>140000000</v>
      </c>
      <c r="M654" s="39">
        <f t="shared" si="187"/>
        <v>91000</v>
      </c>
      <c r="N654" s="24">
        <f t="shared" si="193"/>
        <v>140000000</v>
      </c>
      <c r="O654" s="41">
        <f t="shared" si="194"/>
        <v>5.0000000000000002E-5</v>
      </c>
      <c r="P654" s="36">
        <v>69619.990000000005</v>
      </c>
      <c r="Q654" s="42">
        <v>0.216</v>
      </c>
      <c r="R654" s="41">
        <f t="shared" si="195"/>
        <v>4370860000</v>
      </c>
      <c r="S654" s="26">
        <f t="shared" si="196"/>
        <v>2698270000</v>
      </c>
      <c r="T654" s="26">
        <f t="shared" si="197"/>
        <v>517299999.99999994</v>
      </c>
      <c r="U654" s="26">
        <f t="shared" si="198"/>
        <v>19710000</v>
      </c>
      <c r="V654" s="26">
        <f t="shared" si="199"/>
        <v>1316670000</v>
      </c>
      <c r="W654">
        <f t="shared" si="188"/>
        <v>0</v>
      </c>
      <c r="X654">
        <f t="shared" si="200"/>
        <v>0.30123820026264853</v>
      </c>
    </row>
    <row r="655" spans="1:24">
      <c r="A655" s="21">
        <v>45386</v>
      </c>
      <c r="B655" s="28">
        <v>13</v>
      </c>
      <c r="C655" s="23">
        <f t="shared" si="186"/>
        <v>3.1746031746031772E-2</v>
      </c>
      <c r="D655" s="22">
        <f t="shared" si="189"/>
        <v>2.0231708816028929E-2</v>
      </c>
      <c r="E655" s="28">
        <v>13.45</v>
      </c>
      <c r="F655" s="28">
        <v>12.65</v>
      </c>
      <c r="G655" s="39">
        <f t="shared" si="190"/>
        <v>6.1302681992337078E-2</v>
      </c>
      <c r="H655" s="28">
        <v>139.80000000000001</v>
      </c>
      <c r="I655" s="28">
        <v>13.1</v>
      </c>
      <c r="J655" s="39">
        <f t="shared" si="191"/>
        <v>1.65729234793983</v>
      </c>
      <c r="K655" s="25">
        <v>7000</v>
      </c>
      <c r="L655" s="41">
        <f t="shared" si="192"/>
        <v>140000000</v>
      </c>
      <c r="M655" s="39">
        <f t="shared" si="187"/>
        <v>91000</v>
      </c>
      <c r="N655" s="24">
        <f t="shared" si="193"/>
        <v>140000000</v>
      </c>
      <c r="O655" s="41">
        <f t="shared" si="194"/>
        <v>5.0000000000000002E-5</v>
      </c>
      <c r="P655" s="36">
        <v>68416.78</v>
      </c>
      <c r="Q655" s="42">
        <v>0.216</v>
      </c>
      <c r="R655" s="41">
        <f t="shared" si="195"/>
        <v>4370860000</v>
      </c>
      <c r="S655" s="26">
        <f t="shared" si="196"/>
        <v>2698270000</v>
      </c>
      <c r="T655" s="26">
        <f t="shared" si="197"/>
        <v>517299999.99999994</v>
      </c>
      <c r="U655" s="26">
        <f t="shared" si="198"/>
        <v>19710000</v>
      </c>
      <c r="V655" s="26">
        <f t="shared" si="199"/>
        <v>1316670000</v>
      </c>
      <c r="W655">
        <f t="shared" si="188"/>
        <v>3.4885749171463483E-7</v>
      </c>
      <c r="X655">
        <f t="shared" si="200"/>
        <v>0.30123820026264853</v>
      </c>
    </row>
    <row r="656" spans="1:24">
      <c r="A656" s="21">
        <v>45385</v>
      </c>
      <c r="B656" s="28">
        <v>12.6</v>
      </c>
      <c r="C656" s="23">
        <f t="shared" si="186"/>
        <v>-3.0769230769230795E-2</v>
      </c>
      <c r="D656" s="22">
        <f t="shared" si="189"/>
        <v>2.0231708816028929E-2</v>
      </c>
      <c r="E656" s="28">
        <v>12.8</v>
      </c>
      <c r="F656" s="28">
        <v>12.5</v>
      </c>
      <c r="G656" s="39">
        <f t="shared" si="190"/>
        <v>2.37154150197629E-2</v>
      </c>
      <c r="H656" s="28">
        <v>139.80000000000001</v>
      </c>
      <c r="I656" s="28">
        <v>12.84</v>
      </c>
      <c r="J656" s="39">
        <f t="shared" si="191"/>
        <v>1.6635220125786163</v>
      </c>
      <c r="K656" s="25">
        <v>15500</v>
      </c>
      <c r="L656" s="41">
        <f t="shared" si="192"/>
        <v>140000000</v>
      </c>
      <c r="M656" s="39">
        <f t="shared" si="187"/>
        <v>195300</v>
      </c>
      <c r="N656" s="24">
        <f t="shared" si="193"/>
        <v>140000000</v>
      </c>
      <c r="O656" s="41">
        <f t="shared" si="194"/>
        <v>1.1071428571428571E-4</v>
      </c>
      <c r="P656" s="36">
        <v>67756.039999999994</v>
      </c>
      <c r="Q656" s="42">
        <v>0.216</v>
      </c>
      <c r="R656" s="41">
        <f t="shared" si="195"/>
        <v>4370860000</v>
      </c>
      <c r="S656" s="26">
        <f t="shared" si="196"/>
        <v>2698270000</v>
      </c>
      <c r="T656" s="26">
        <f t="shared" si="197"/>
        <v>517299999.99999994</v>
      </c>
      <c r="U656" s="26">
        <f t="shared" si="198"/>
        <v>19710000</v>
      </c>
      <c r="V656" s="26">
        <f t="shared" si="199"/>
        <v>1316670000</v>
      </c>
      <c r="W656">
        <f t="shared" si="188"/>
        <v>1.5754854464531898E-7</v>
      </c>
      <c r="X656">
        <f t="shared" si="200"/>
        <v>0.30123820026264853</v>
      </c>
    </row>
    <row r="657" spans="1:24">
      <c r="A657" s="21">
        <v>45384</v>
      </c>
      <c r="B657" s="28">
        <v>13</v>
      </c>
      <c r="C657" s="23">
        <f t="shared" si="186"/>
        <v>0</v>
      </c>
      <c r="D657" s="22">
        <f t="shared" si="189"/>
        <v>2.0231708816028929E-2</v>
      </c>
      <c r="E657" s="28">
        <v>14</v>
      </c>
      <c r="F657" s="28">
        <v>13</v>
      </c>
      <c r="G657" s="39">
        <f t="shared" si="190"/>
        <v>7.407407407407407E-2</v>
      </c>
      <c r="H657" s="28">
        <v>139.80000000000001</v>
      </c>
      <c r="I657" s="28">
        <v>13</v>
      </c>
      <c r="J657" s="39">
        <f t="shared" si="191"/>
        <v>1.6596858638743455</v>
      </c>
      <c r="K657" s="25">
        <v>500</v>
      </c>
      <c r="L657" s="41">
        <f t="shared" si="192"/>
        <v>140000000</v>
      </c>
      <c r="M657" s="39">
        <f t="shared" si="187"/>
        <v>6500</v>
      </c>
      <c r="N657" s="24">
        <f t="shared" si="193"/>
        <v>140000000</v>
      </c>
      <c r="O657" s="41">
        <f t="shared" si="194"/>
        <v>3.5714285714285714E-6</v>
      </c>
      <c r="P657" s="36">
        <v>66886.259999999995</v>
      </c>
      <c r="Q657" s="42">
        <v>0.216</v>
      </c>
      <c r="R657" s="41">
        <f t="shared" si="195"/>
        <v>4370860000</v>
      </c>
      <c r="S657" s="26">
        <f t="shared" si="196"/>
        <v>2698270000</v>
      </c>
      <c r="T657" s="26">
        <f t="shared" si="197"/>
        <v>517299999.99999994</v>
      </c>
      <c r="U657" s="26">
        <f t="shared" si="198"/>
        <v>19710000</v>
      </c>
      <c r="V657" s="26">
        <f t="shared" si="199"/>
        <v>1316670000</v>
      </c>
      <c r="W657">
        <f t="shared" si="188"/>
        <v>0</v>
      </c>
      <c r="X657">
        <f t="shared" si="200"/>
        <v>0.30123820026264853</v>
      </c>
    </row>
    <row r="658" spans="1:24">
      <c r="A658" s="21">
        <v>45383</v>
      </c>
      <c r="B658" s="28">
        <v>13</v>
      </c>
      <c r="C658" s="23">
        <f t="shared" si="186"/>
        <v>0</v>
      </c>
      <c r="D658" s="22">
        <f t="shared" si="189"/>
        <v>2.0231708816028929E-2</v>
      </c>
      <c r="E658" s="28">
        <v>14</v>
      </c>
      <c r="F658" s="28">
        <v>13</v>
      </c>
      <c r="G658" s="39">
        <f t="shared" si="190"/>
        <v>7.407407407407407E-2</v>
      </c>
      <c r="H658" s="28">
        <v>139.80000000000001</v>
      </c>
      <c r="I658" s="28">
        <v>13.55</v>
      </c>
      <c r="J658" s="39">
        <f t="shared" si="191"/>
        <v>1.6465601565047276</v>
      </c>
      <c r="K658" s="25">
        <v>8500</v>
      </c>
      <c r="L658" s="41">
        <f t="shared" si="192"/>
        <v>140000000</v>
      </c>
      <c r="M658" s="39">
        <f t="shared" si="187"/>
        <v>110500</v>
      </c>
      <c r="N658" s="24">
        <f t="shared" si="193"/>
        <v>140000000</v>
      </c>
      <c r="O658" s="41">
        <f t="shared" si="194"/>
        <v>6.0714285714285715E-5</v>
      </c>
      <c r="P658" s="36">
        <v>66796.320000000007</v>
      </c>
      <c r="Q658" s="42">
        <v>0.216</v>
      </c>
      <c r="R658" s="41">
        <f t="shared" si="195"/>
        <v>4370860000</v>
      </c>
      <c r="S658" s="26">
        <f t="shared" si="196"/>
        <v>2698270000</v>
      </c>
      <c r="T658" s="26">
        <f t="shared" si="197"/>
        <v>517299999.99999994</v>
      </c>
      <c r="U658" s="26">
        <f t="shared" si="198"/>
        <v>19710000</v>
      </c>
      <c r="V658" s="26">
        <f t="shared" si="199"/>
        <v>1316670000</v>
      </c>
      <c r="W658">
        <f t="shared" si="188"/>
        <v>0</v>
      </c>
      <c r="X658">
        <f t="shared" si="200"/>
        <v>0.30123820026264853</v>
      </c>
    </row>
    <row r="659" spans="1:24">
      <c r="A659" s="21">
        <v>45380</v>
      </c>
      <c r="B659" s="28">
        <v>13</v>
      </c>
      <c r="C659" s="23">
        <f t="shared" si="186"/>
        <v>0</v>
      </c>
      <c r="D659" s="22">
        <f t="shared" si="189"/>
        <v>2.0231708816028929E-2</v>
      </c>
      <c r="E659" s="28">
        <v>13</v>
      </c>
      <c r="F659" s="28">
        <v>13</v>
      </c>
      <c r="G659" s="39">
        <f t="shared" si="190"/>
        <v>0</v>
      </c>
      <c r="H659" s="28">
        <v>139.80000000000001</v>
      </c>
      <c r="I659" s="28">
        <v>13.1</v>
      </c>
      <c r="J659" s="39">
        <f t="shared" si="191"/>
        <v>1.65729234793983</v>
      </c>
      <c r="K659" s="25">
        <v>9000</v>
      </c>
      <c r="L659" s="41">
        <f t="shared" si="192"/>
        <v>140000000</v>
      </c>
      <c r="M659" s="39">
        <f t="shared" si="187"/>
        <v>117000</v>
      </c>
      <c r="N659" s="24">
        <f t="shared" si="193"/>
        <v>140000000</v>
      </c>
      <c r="O659" s="41">
        <f t="shared" si="194"/>
        <v>6.4285714285714288E-5</v>
      </c>
      <c r="P659" s="36">
        <v>67005.11</v>
      </c>
      <c r="Q659" s="42">
        <v>0.216</v>
      </c>
      <c r="R659" s="41">
        <f t="shared" si="195"/>
        <v>4370860000</v>
      </c>
      <c r="S659" s="26">
        <f t="shared" si="196"/>
        <v>2698270000</v>
      </c>
      <c r="T659" s="26">
        <f t="shared" si="197"/>
        <v>517299999.99999994</v>
      </c>
      <c r="U659" s="26">
        <f t="shared" si="198"/>
        <v>19710000</v>
      </c>
      <c r="V659" s="26">
        <f t="shared" si="199"/>
        <v>1316670000</v>
      </c>
      <c r="W659">
        <f t="shared" si="188"/>
        <v>0</v>
      </c>
      <c r="X659">
        <f t="shared" si="200"/>
        <v>0.30123820026264853</v>
      </c>
    </row>
    <row r="660" spans="1:24">
      <c r="A660" s="21">
        <v>45379</v>
      </c>
      <c r="B660" s="28">
        <v>13</v>
      </c>
      <c r="C660" s="23">
        <f t="shared" si="186"/>
        <v>0</v>
      </c>
      <c r="D660" s="22">
        <f t="shared" si="189"/>
        <v>2.0231708816028929E-2</v>
      </c>
      <c r="E660" s="28">
        <v>13</v>
      </c>
      <c r="F660" s="28">
        <v>13</v>
      </c>
      <c r="G660" s="39">
        <f t="shared" si="190"/>
        <v>0</v>
      </c>
      <c r="H660" s="28">
        <v>139.80000000000001</v>
      </c>
      <c r="I660" s="28">
        <v>13.23</v>
      </c>
      <c r="J660" s="39">
        <f t="shared" si="191"/>
        <v>1.654185453832582</v>
      </c>
      <c r="K660" s="25">
        <v>1000</v>
      </c>
      <c r="L660" s="41">
        <f t="shared" si="192"/>
        <v>140000000</v>
      </c>
      <c r="M660" s="39">
        <f t="shared" si="187"/>
        <v>13000</v>
      </c>
      <c r="N660" s="24">
        <f t="shared" si="193"/>
        <v>140000000</v>
      </c>
      <c r="O660" s="41">
        <f t="shared" si="194"/>
        <v>7.1428571428571427E-6</v>
      </c>
      <c r="P660" s="36">
        <v>67142.12</v>
      </c>
      <c r="Q660" s="42">
        <v>0.216</v>
      </c>
      <c r="R660" s="41">
        <f t="shared" si="195"/>
        <v>4370860000</v>
      </c>
      <c r="S660" s="26">
        <f t="shared" si="196"/>
        <v>2698270000</v>
      </c>
      <c r="T660" s="26">
        <f t="shared" si="197"/>
        <v>517299999.99999994</v>
      </c>
      <c r="U660" s="26">
        <f t="shared" si="198"/>
        <v>19710000</v>
      </c>
      <c r="V660" s="26">
        <f t="shared" si="199"/>
        <v>1316670000</v>
      </c>
      <c r="W660">
        <f t="shared" si="188"/>
        <v>0</v>
      </c>
      <c r="X660">
        <f t="shared" si="200"/>
        <v>0.30123820026264853</v>
      </c>
    </row>
    <row r="661" spans="1:24">
      <c r="A661" s="21">
        <v>45378</v>
      </c>
      <c r="B661" s="28">
        <v>13</v>
      </c>
      <c r="C661" s="23">
        <f t="shared" si="186"/>
        <v>1.5624999999999944E-2</v>
      </c>
      <c r="D661" s="22">
        <f t="shared" si="189"/>
        <v>2.0231708816028929E-2</v>
      </c>
      <c r="E661" s="28">
        <v>13</v>
      </c>
      <c r="F661" s="28">
        <v>12.9</v>
      </c>
      <c r="G661" s="39">
        <f t="shared" si="190"/>
        <v>7.7220077220076953E-3</v>
      </c>
      <c r="H661" s="28">
        <v>139.80000000000001</v>
      </c>
      <c r="I661" s="28">
        <v>13</v>
      </c>
      <c r="J661" s="39">
        <f t="shared" si="191"/>
        <v>1.6596858638743455</v>
      </c>
      <c r="K661" s="25">
        <v>1000</v>
      </c>
      <c r="L661" s="41">
        <f t="shared" si="192"/>
        <v>140000000</v>
      </c>
      <c r="M661" s="39">
        <f t="shared" si="187"/>
        <v>13000</v>
      </c>
      <c r="N661" s="24">
        <f t="shared" si="193"/>
        <v>140000000</v>
      </c>
      <c r="O661" s="41">
        <f t="shared" si="194"/>
        <v>7.1428571428571427E-6</v>
      </c>
      <c r="P661" s="36">
        <v>66547.789999999994</v>
      </c>
      <c r="Q661" s="42">
        <v>0.216</v>
      </c>
      <c r="R661" s="41">
        <f t="shared" si="195"/>
        <v>4370860000</v>
      </c>
      <c r="S661" s="26">
        <f t="shared" si="196"/>
        <v>2698270000</v>
      </c>
      <c r="T661" s="26">
        <f t="shared" si="197"/>
        <v>517299999.99999994</v>
      </c>
      <c r="U661" s="26">
        <f t="shared" si="198"/>
        <v>19710000</v>
      </c>
      <c r="V661" s="26">
        <f t="shared" si="199"/>
        <v>1316670000</v>
      </c>
      <c r="W661">
        <f t="shared" si="188"/>
        <v>1.2019230769230727E-6</v>
      </c>
      <c r="X661">
        <f t="shared" si="200"/>
        <v>0.30123820026264853</v>
      </c>
    </row>
    <row r="662" spans="1:24">
      <c r="A662" s="21">
        <v>45377</v>
      </c>
      <c r="B662" s="28">
        <v>12.8</v>
      </c>
      <c r="C662" s="23">
        <f t="shared" si="186"/>
        <v>7.8740157480316087E-3</v>
      </c>
      <c r="D662" s="22">
        <f t="shared" si="189"/>
        <v>2.0231708816028929E-2</v>
      </c>
      <c r="E662" s="28">
        <v>12.8</v>
      </c>
      <c r="F662" s="28">
        <v>12.6</v>
      </c>
      <c r="G662" s="39">
        <f t="shared" si="190"/>
        <v>1.5748031496063079E-2</v>
      </c>
      <c r="H662" s="28">
        <v>139.80000000000001</v>
      </c>
      <c r="I662" s="28">
        <v>12.9</v>
      </c>
      <c r="J662" s="39">
        <f t="shared" si="191"/>
        <v>1.662082514734774</v>
      </c>
      <c r="K662" s="25">
        <v>1500</v>
      </c>
      <c r="L662" s="41">
        <f t="shared" si="192"/>
        <v>140000000</v>
      </c>
      <c r="M662" s="39">
        <f t="shared" si="187"/>
        <v>19200</v>
      </c>
      <c r="N662" s="24">
        <f t="shared" si="193"/>
        <v>140000000</v>
      </c>
      <c r="O662" s="41">
        <f t="shared" si="194"/>
        <v>1.0714285714285714E-5</v>
      </c>
      <c r="P662" s="36">
        <v>65906.28</v>
      </c>
      <c r="Q662" s="42">
        <v>0.216</v>
      </c>
      <c r="R662" s="41">
        <f t="shared" si="195"/>
        <v>4370860000</v>
      </c>
      <c r="S662" s="26">
        <f t="shared" si="196"/>
        <v>2698270000</v>
      </c>
      <c r="T662" s="26">
        <f t="shared" si="197"/>
        <v>517299999.99999994</v>
      </c>
      <c r="U662" s="26">
        <f t="shared" si="198"/>
        <v>19710000</v>
      </c>
      <c r="V662" s="26">
        <f t="shared" si="199"/>
        <v>1316670000</v>
      </c>
      <c r="W662">
        <f t="shared" si="188"/>
        <v>4.1010498687664631E-7</v>
      </c>
      <c r="X662">
        <f t="shared" si="200"/>
        <v>0.30123820026264853</v>
      </c>
    </row>
    <row r="663" spans="1:24">
      <c r="A663" s="21">
        <v>45376</v>
      </c>
      <c r="B663" s="28">
        <v>12.7</v>
      </c>
      <c r="C663" s="23">
        <f t="shared" si="186"/>
        <v>0</v>
      </c>
      <c r="D663" s="22">
        <f t="shared" si="189"/>
        <v>2.0231708816028929E-2</v>
      </c>
      <c r="E663" s="28">
        <v>12.8</v>
      </c>
      <c r="F663" s="28">
        <v>12.7</v>
      </c>
      <c r="G663" s="39">
        <f t="shared" si="190"/>
        <v>7.8431372549020717E-3</v>
      </c>
      <c r="H663" s="28">
        <v>139.80000000000001</v>
      </c>
      <c r="I663" s="28">
        <v>12.78</v>
      </c>
      <c r="J663" s="39">
        <f t="shared" si="191"/>
        <v>1.6649626425481714</v>
      </c>
      <c r="K663" s="25">
        <v>1000</v>
      </c>
      <c r="L663" s="41">
        <f t="shared" si="192"/>
        <v>140000000</v>
      </c>
      <c r="M663" s="39">
        <f t="shared" si="187"/>
        <v>12700</v>
      </c>
      <c r="N663" s="24">
        <f t="shared" si="193"/>
        <v>140000000</v>
      </c>
      <c r="O663" s="41">
        <f t="shared" si="194"/>
        <v>7.1428571428571427E-6</v>
      </c>
      <c r="P663" s="36">
        <v>65525.65</v>
      </c>
      <c r="Q663" s="42">
        <v>0.216</v>
      </c>
      <c r="R663" s="41">
        <f t="shared" si="195"/>
        <v>4370860000</v>
      </c>
      <c r="S663" s="26">
        <f t="shared" si="196"/>
        <v>2698270000</v>
      </c>
      <c r="T663" s="26">
        <f t="shared" si="197"/>
        <v>517299999.99999994</v>
      </c>
      <c r="U663" s="26">
        <f t="shared" si="198"/>
        <v>19710000</v>
      </c>
      <c r="V663" s="26">
        <f t="shared" si="199"/>
        <v>1316670000</v>
      </c>
      <c r="W663">
        <f t="shared" si="188"/>
        <v>0</v>
      </c>
      <c r="X663">
        <f t="shared" si="200"/>
        <v>0.30123820026264853</v>
      </c>
    </row>
  </sheetData>
  <mergeCells count="17">
    <mergeCell ref="A1:X1"/>
    <mergeCell ref="A46:X46"/>
    <mergeCell ref="A91:X91"/>
    <mergeCell ref="A136:X136"/>
    <mergeCell ref="A181:X181"/>
    <mergeCell ref="A534:X534"/>
    <mergeCell ref="AA6:AF6"/>
    <mergeCell ref="AA4:AF4"/>
    <mergeCell ref="A578:X578"/>
    <mergeCell ref="A622:X622"/>
    <mergeCell ref="A226:X226"/>
    <mergeCell ref="A270:X270"/>
    <mergeCell ref="A314:X314"/>
    <mergeCell ref="A358:X358"/>
    <mergeCell ref="A402:X402"/>
    <mergeCell ref="A446:X446"/>
    <mergeCell ref="A490:X490"/>
  </mergeCells>
  <pageMargins left="0.7" right="0.7" top="0.75" bottom="0.75" header="0.3" footer="0.3"/>
  <ignoredErrors>
    <ignoredError sqref="M580 M581:M619 M624 M625:M664"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675"/>
  <sheetViews>
    <sheetView topLeftCell="I1" zoomScale="60" zoomScaleNormal="83" workbookViewId="0">
      <selection activeCell="AC32" sqref="AC32"/>
    </sheetView>
  </sheetViews>
  <sheetFormatPr defaultColWidth="8.81640625" defaultRowHeight="14.5"/>
  <cols>
    <col min="1" max="1" width="14.1796875" bestFit="1" customWidth="1"/>
    <col min="2" max="2" width="13.453125" customWidth="1"/>
    <col min="3" max="10" width="9.1796875" bestFit="1" customWidth="1"/>
    <col min="11" max="11" width="10.1796875" bestFit="1" customWidth="1"/>
    <col min="12" max="12" width="13.453125" bestFit="1" customWidth="1"/>
    <col min="13" max="13" width="11.453125" customWidth="1"/>
    <col min="14" max="14" width="13.453125" bestFit="1" customWidth="1"/>
    <col min="15" max="15" width="9.1796875" bestFit="1" customWidth="1"/>
    <col min="17" max="17" width="9.1796875" bestFit="1" customWidth="1"/>
    <col min="18" max="21" width="14" bestFit="1" customWidth="1"/>
    <col min="22" max="22" width="14.453125" bestFit="1" customWidth="1"/>
    <col min="23" max="23" width="13" customWidth="1"/>
    <col min="28" max="28" width="18.453125" bestFit="1" customWidth="1"/>
    <col min="30" max="30" width="11.1796875" bestFit="1" customWidth="1"/>
  </cols>
  <sheetData>
    <row r="1" spans="1:32" ht="16" thickBot="1">
      <c r="A1" s="184" t="s">
        <v>23</v>
      </c>
      <c r="B1" s="185"/>
      <c r="C1" s="185"/>
      <c r="D1" s="185"/>
      <c r="E1" s="185"/>
      <c r="F1" s="185"/>
      <c r="G1" s="185"/>
      <c r="H1" s="185"/>
      <c r="I1" s="185"/>
      <c r="J1" s="185"/>
      <c r="K1" s="185"/>
      <c r="L1" s="185"/>
      <c r="M1" s="185"/>
      <c r="N1" s="185"/>
      <c r="O1" s="185"/>
      <c r="P1" s="185"/>
      <c r="Q1" s="185"/>
      <c r="R1" s="185"/>
      <c r="S1" s="185"/>
      <c r="T1" s="185"/>
      <c r="U1" s="185"/>
      <c r="V1" s="185"/>
      <c r="W1" s="185"/>
      <c r="X1" s="186"/>
      <c r="Y1" s="143"/>
    </row>
    <row r="2" spans="1:32" ht="46.5">
      <c r="A2" s="1" t="s">
        <v>14</v>
      </c>
      <c r="B2" s="2" t="s">
        <v>15</v>
      </c>
      <c r="C2" s="4" t="s">
        <v>16</v>
      </c>
      <c r="D2" s="4" t="s">
        <v>17</v>
      </c>
      <c r="E2" s="1" t="s">
        <v>0</v>
      </c>
      <c r="F2" s="1" t="s">
        <v>13</v>
      </c>
      <c r="G2" s="7" t="s">
        <v>18</v>
      </c>
      <c r="H2" s="1" t="s">
        <v>12</v>
      </c>
      <c r="I2" s="1" t="s">
        <v>1</v>
      </c>
      <c r="J2" s="7" t="s">
        <v>19</v>
      </c>
      <c r="K2" s="2" t="s">
        <v>2</v>
      </c>
      <c r="L2" s="2" t="s">
        <v>3</v>
      </c>
      <c r="M2" s="7" t="s">
        <v>20</v>
      </c>
      <c r="N2" s="2" t="s">
        <v>4</v>
      </c>
      <c r="O2" s="7" t="s">
        <v>21</v>
      </c>
      <c r="P2" s="2" t="s">
        <v>5</v>
      </c>
      <c r="Q2" s="2" t="s">
        <v>6</v>
      </c>
      <c r="R2" s="2" t="s">
        <v>7</v>
      </c>
      <c r="S2" s="2" t="s">
        <v>58</v>
      </c>
      <c r="T2" s="2" t="s">
        <v>9</v>
      </c>
      <c r="U2" s="2" t="s">
        <v>10</v>
      </c>
      <c r="V2" s="2" t="s">
        <v>11</v>
      </c>
      <c r="W2" s="7" t="s">
        <v>73</v>
      </c>
      <c r="X2" s="7" t="s">
        <v>72</v>
      </c>
      <c r="Y2" s="142"/>
      <c r="Z2" s="131" t="s">
        <v>182</v>
      </c>
    </row>
    <row r="3" spans="1:32">
      <c r="A3" s="21">
        <v>45555</v>
      </c>
      <c r="B3" s="22">
        <v>7.29</v>
      </c>
      <c r="C3" s="23">
        <f t="shared" ref="C3:C44" si="0">IFERROR((B3-B4)/B4,0)</f>
        <v>-7.7215189873417758E-2</v>
      </c>
      <c r="D3" s="24">
        <f t="shared" ref="D3:D45" si="1">_xlfn.STDEV.S($C$3:$C$45)</f>
        <v>7.3849177535207547E-2</v>
      </c>
      <c r="E3" s="22">
        <v>8.0500000000000007</v>
      </c>
      <c r="F3" s="22">
        <v>7.19</v>
      </c>
      <c r="G3" s="22">
        <f>(E3-F3)/AVERAGE(E3:F3)</f>
        <v>0.11286089238845147</v>
      </c>
      <c r="H3" s="22">
        <v>7.49</v>
      </c>
      <c r="I3" s="22">
        <v>7.45</v>
      </c>
      <c r="J3" s="22">
        <f t="shared" ref="J3:J45" si="2">(H3-I3)/AVERAGE(H3:I3)</f>
        <v>5.3547523427041541E-3</v>
      </c>
      <c r="K3" s="25">
        <v>34345</v>
      </c>
      <c r="L3" s="26">
        <v>12600000</v>
      </c>
      <c r="M3" s="24">
        <f t="shared" ref="M3:M45" si="3">B3*K3</f>
        <v>250375.05</v>
      </c>
      <c r="N3" s="24">
        <v>67783446</v>
      </c>
      <c r="O3" s="24">
        <f>K3/N3</f>
        <v>5.0668713420087851E-4</v>
      </c>
      <c r="P3" s="10">
        <v>82074.45</v>
      </c>
      <c r="Q3" s="9">
        <v>0.1741</v>
      </c>
      <c r="R3" s="24">
        <f>114.9*1000000</f>
        <v>114900000</v>
      </c>
      <c r="S3" s="24">
        <f>3.71*100000000</f>
        <v>371000000</v>
      </c>
      <c r="T3" s="24">
        <f>-16.97*1000000</f>
        <v>-16970000</v>
      </c>
      <c r="U3" s="24">
        <f>9.65*1000000</f>
        <v>9650000</v>
      </c>
      <c r="V3" s="24">
        <f>10.01*1000000</f>
        <v>10010000</v>
      </c>
      <c r="W3">
        <f>IFERROR(ABS(C3)/M3,"0")</f>
        <v>3.083981006630563E-7</v>
      </c>
      <c r="X3">
        <f>V3/R3</f>
        <v>8.7119234116623145E-2</v>
      </c>
      <c r="Y3" s="9"/>
      <c r="Z3">
        <f>'KSE 100'!J30</f>
        <v>7.5517476275572745E-3</v>
      </c>
    </row>
    <row r="4" spans="1:32">
      <c r="A4" s="21">
        <v>45554</v>
      </c>
      <c r="B4" s="22">
        <v>7.9</v>
      </c>
      <c r="C4" s="23">
        <f t="shared" si="0"/>
        <v>2.1992238033635179E-2</v>
      </c>
      <c r="D4" s="24">
        <f t="shared" si="1"/>
        <v>7.3849177535207547E-2</v>
      </c>
      <c r="E4" s="22">
        <v>8.4</v>
      </c>
      <c r="F4" s="22">
        <v>7.36</v>
      </c>
      <c r="G4" s="22">
        <f t="shared" ref="G4:G45" si="4">(E4-F4)/AVERAGE(E4:F4)</f>
        <v>0.13197969543147206</v>
      </c>
      <c r="H4" s="22">
        <v>7.99</v>
      </c>
      <c r="I4" s="22">
        <v>7.86</v>
      </c>
      <c r="J4" s="22">
        <f t="shared" si="2"/>
        <v>1.6403785488958975E-2</v>
      </c>
      <c r="K4" s="25">
        <v>1028909</v>
      </c>
      <c r="L4" s="26">
        <v>12600000</v>
      </c>
      <c r="M4" s="24">
        <f t="shared" si="3"/>
        <v>8128381.1000000006</v>
      </c>
      <c r="N4" s="24">
        <v>67783446</v>
      </c>
      <c r="O4" s="24">
        <f t="shared" ref="O4:O45" si="5">K4/N4</f>
        <v>1.5179355148158151E-2</v>
      </c>
      <c r="P4" s="10">
        <v>81459.289999999994</v>
      </c>
      <c r="Q4" s="9">
        <v>0.1741</v>
      </c>
      <c r="R4" s="24">
        <f t="shared" ref="R4:R45" si="6">114.9*1000000</f>
        <v>114900000</v>
      </c>
      <c r="S4" s="24">
        <f t="shared" ref="S4:S45" si="7">3.71*100000000</f>
        <v>371000000</v>
      </c>
      <c r="T4" s="24">
        <f t="shared" ref="T4:T45" si="8">-16.97*1000000</f>
        <v>-16970000</v>
      </c>
      <c r="U4" s="24">
        <f t="shared" ref="U4:U45" si="9">9.65*1000000</f>
        <v>9650000</v>
      </c>
      <c r="V4" s="24">
        <f t="shared" ref="V4:V45" si="10">10.01*1000000</f>
        <v>10010000</v>
      </c>
      <c r="W4">
        <f t="shared" ref="W4:W45" si="11">IFERROR(ABS(C4)/M4,"0")</f>
        <v>2.7056110882442726E-9</v>
      </c>
      <c r="X4">
        <f t="shared" ref="X4:X45" si="12">V4/R4</f>
        <v>8.7119234116623145E-2</v>
      </c>
      <c r="Y4" s="9"/>
      <c r="Z4">
        <f>'KSE 100'!J31</f>
        <v>1.2402850859804224E-2</v>
      </c>
    </row>
    <row r="5" spans="1:32" ht="15" thickBot="1">
      <c r="A5" s="21">
        <v>45553</v>
      </c>
      <c r="B5" s="22">
        <v>7.73</v>
      </c>
      <c r="C5" s="23">
        <f t="shared" si="0"/>
        <v>0.14858841010401189</v>
      </c>
      <c r="D5" s="24">
        <f t="shared" si="1"/>
        <v>7.3849177535207547E-2</v>
      </c>
      <c r="E5" s="22">
        <v>7.73</v>
      </c>
      <c r="F5" s="22">
        <v>6.02</v>
      </c>
      <c r="G5" s="22">
        <f t="shared" si="4"/>
        <v>0.24872727272727285</v>
      </c>
      <c r="H5" s="22"/>
      <c r="I5" s="22">
        <v>7.73</v>
      </c>
      <c r="J5" s="22">
        <f t="shared" si="2"/>
        <v>-1</v>
      </c>
      <c r="K5" s="25">
        <v>767825</v>
      </c>
      <c r="L5" s="26">
        <v>12600000</v>
      </c>
      <c r="M5" s="24">
        <f t="shared" si="3"/>
        <v>5935287.25</v>
      </c>
      <c r="N5" s="24">
        <v>67783446</v>
      </c>
      <c r="O5" s="24">
        <f t="shared" si="5"/>
        <v>1.1327618250627152E-2</v>
      </c>
      <c r="P5" s="10">
        <v>80461.34</v>
      </c>
      <c r="Q5" s="9">
        <v>0.1741</v>
      </c>
      <c r="R5" s="24">
        <f t="shared" si="6"/>
        <v>114900000</v>
      </c>
      <c r="S5" s="24">
        <f t="shared" si="7"/>
        <v>371000000</v>
      </c>
      <c r="T5" s="24">
        <f t="shared" si="8"/>
        <v>-16970000</v>
      </c>
      <c r="U5" s="24">
        <f t="shared" si="9"/>
        <v>9650000</v>
      </c>
      <c r="V5" s="24">
        <f t="shared" si="10"/>
        <v>10010000</v>
      </c>
      <c r="W5">
        <f t="shared" si="11"/>
        <v>2.5034746229681114E-8</v>
      </c>
      <c r="X5">
        <f t="shared" si="12"/>
        <v>8.7119234116623145E-2</v>
      </c>
      <c r="Y5" s="9"/>
      <c r="Z5">
        <f>'KSE 100'!J32</f>
        <v>1.2205133804849196E-2</v>
      </c>
    </row>
    <row r="6" spans="1:32" ht="16" thickBot="1">
      <c r="A6" s="21">
        <v>45551</v>
      </c>
      <c r="B6" s="22">
        <v>6.73</v>
      </c>
      <c r="C6" s="23">
        <f t="shared" si="0"/>
        <v>-4.1310541310541189E-2</v>
      </c>
      <c r="D6" s="24">
        <f t="shared" si="1"/>
        <v>7.3849177535207547E-2</v>
      </c>
      <c r="E6" s="22">
        <v>7</v>
      </c>
      <c r="F6" s="22">
        <v>6.52</v>
      </c>
      <c r="G6" s="22">
        <f t="shared" si="4"/>
        <v>7.1005917159763385E-2</v>
      </c>
      <c r="H6" s="22">
        <v>6.85</v>
      </c>
      <c r="I6" s="22">
        <v>6.73</v>
      </c>
      <c r="J6" s="22">
        <f t="shared" si="2"/>
        <v>1.7673048600883538E-2</v>
      </c>
      <c r="K6" s="25">
        <v>59844</v>
      </c>
      <c r="L6" s="26">
        <v>12600000</v>
      </c>
      <c r="M6" s="24">
        <f t="shared" si="3"/>
        <v>402750.12000000005</v>
      </c>
      <c r="N6" s="24">
        <v>67783446</v>
      </c>
      <c r="O6" s="24">
        <f t="shared" si="5"/>
        <v>8.8287042827536386E-4</v>
      </c>
      <c r="P6" s="10">
        <v>79491.14</v>
      </c>
      <c r="Q6" s="9">
        <v>0.1741</v>
      </c>
      <c r="R6" s="24">
        <f t="shared" si="6"/>
        <v>114900000</v>
      </c>
      <c r="S6" s="24">
        <f t="shared" si="7"/>
        <v>371000000</v>
      </c>
      <c r="T6" s="24">
        <f t="shared" si="8"/>
        <v>-16970000</v>
      </c>
      <c r="U6" s="24">
        <f t="shared" si="9"/>
        <v>9650000</v>
      </c>
      <c r="V6" s="24">
        <f t="shared" si="10"/>
        <v>10010000</v>
      </c>
      <c r="W6">
        <f t="shared" si="11"/>
        <v>1.0257114587710411E-7</v>
      </c>
      <c r="X6">
        <f t="shared" si="12"/>
        <v>8.7119234116623145E-2</v>
      </c>
      <c r="Y6" s="9"/>
      <c r="Z6">
        <f>'KSE 100'!J33</f>
        <v>1.9926119073183364E-3</v>
      </c>
      <c r="AA6" s="187" t="s">
        <v>180</v>
      </c>
      <c r="AB6" s="188"/>
      <c r="AC6" s="188"/>
      <c r="AD6" s="188"/>
      <c r="AE6" s="188"/>
      <c r="AF6" s="189"/>
    </row>
    <row r="7" spans="1:32">
      <c r="A7" s="21">
        <v>45548</v>
      </c>
      <c r="B7" s="22">
        <v>7.02</v>
      </c>
      <c r="C7" s="23">
        <f t="shared" si="0"/>
        <v>-1.6806722689075647E-2</v>
      </c>
      <c r="D7" s="24">
        <f t="shared" si="1"/>
        <v>7.3849177535207547E-2</v>
      </c>
      <c r="E7" s="22">
        <v>7.39</v>
      </c>
      <c r="F7" s="22">
        <v>6.16</v>
      </c>
      <c r="G7" s="22">
        <f t="shared" si="4"/>
        <v>0.18154981549815491</v>
      </c>
      <c r="H7" s="22">
        <v>7.18</v>
      </c>
      <c r="I7" s="22">
        <v>7</v>
      </c>
      <c r="J7" s="22">
        <f t="shared" si="2"/>
        <v>2.5387870239774291E-2</v>
      </c>
      <c r="K7" s="25">
        <v>88671</v>
      </c>
      <c r="L7" s="26">
        <v>12600000</v>
      </c>
      <c r="M7" s="24">
        <f t="shared" si="3"/>
        <v>622470.41999999993</v>
      </c>
      <c r="N7" s="24">
        <v>67783446</v>
      </c>
      <c r="O7" s="24">
        <f t="shared" si="5"/>
        <v>1.3081512556915446E-3</v>
      </c>
      <c r="P7" s="10">
        <v>79333.06</v>
      </c>
      <c r="Q7" s="9">
        <v>0.1741</v>
      </c>
      <c r="R7" s="24">
        <f t="shared" si="6"/>
        <v>114900000</v>
      </c>
      <c r="S7" s="24">
        <f t="shared" si="7"/>
        <v>371000000</v>
      </c>
      <c r="T7" s="24">
        <f t="shared" si="8"/>
        <v>-16970000</v>
      </c>
      <c r="U7" s="24">
        <f t="shared" si="9"/>
        <v>9650000</v>
      </c>
      <c r="V7" s="24">
        <f t="shared" si="10"/>
        <v>10010000</v>
      </c>
      <c r="W7">
        <f t="shared" si="11"/>
        <v>2.7000034297333596E-8</v>
      </c>
      <c r="X7">
        <f t="shared" si="12"/>
        <v>8.7119234116623145E-2</v>
      </c>
      <c r="Y7" s="9"/>
      <c r="Z7">
        <f>'KSE 100'!J34</f>
        <v>3.9920210201218418E-3</v>
      </c>
      <c r="AA7" s="74" t="s">
        <v>132</v>
      </c>
      <c r="AB7" s="75" t="s">
        <v>133</v>
      </c>
      <c r="AC7" s="75" t="s">
        <v>134</v>
      </c>
      <c r="AD7" s="75" t="s">
        <v>135</v>
      </c>
      <c r="AE7" s="76" t="s">
        <v>136</v>
      </c>
      <c r="AF7" s="77" t="s">
        <v>137</v>
      </c>
    </row>
    <row r="8" spans="1:32">
      <c r="A8" s="21">
        <v>45547</v>
      </c>
      <c r="B8" s="22">
        <v>7.14</v>
      </c>
      <c r="C8" s="23">
        <f t="shared" si="0"/>
        <v>1.4025245441794932E-3</v>
      </c>
      <c r="D8" s="24">
        <f t="shared" si="1"/>
        <v>7.3849177535207547E-2</v>
      </c>
      <c r="E8" s="22">
        <v>7.4</v>
      </c>
      <c r="F8" s="22">
        <v>6.87</v>
      </c>
      <c r="G8" s="22">
        <f t="shared" si="4"/>
        <v>7.428170988086899E-2</v>
      </c>
      <c r="H8" s="22">
        <v>7.3</v>
      </c>
      <c r="I8" s="22">
        <v>7.05</v>
      </c>
      <c r="J8" s="22">
        <f t="shared" si="2"/>
        <v>3.484320557491289E-2</v>
      </c>
      <c r="K8" s="25">
        <v>117295</v>
      </c>
      <c r="L8" s="26">
        <v>12600000</v>
      </c>
      <c r="M8" s="24">
        <f t="shared" si="3"/>
        <v>837486.29999999993</v>
      </c>
      <c r="N8" s="24">
        <v>67783446</v>
      </c>
      <c r="O8" s="24">
        <f t="shared" si="5"/>
        <v>1.7304372515967983E-3</v>
      </c>
      <c r="P8" s="10">
        <v>79017.62</v>
      </c>
      <c r="Q8" s="9">
        <v>0.1741</v>
      </c>
      <c r="R8" s="24">
        <f t="shared" si="6"/>
        <v>114900000</v>
      </c>
      <c r="S8" s="24">
        <f t="shared" si="7"/>
        <v>371000000</v>
      </c>
      <c r="T8" s="24">
        <f t="shared" si="8"/>
        <v>-16970000</v>
      </c>
      <c r="U8" s="24">
        <f t="shared" si="9"/>
        <v>9650000</v>
      </c>
      <c r="V8" s="24">
        <f t="shared" si="10"/>
        <v>10010000</v>
      </c>
      <c r="W8">
        <f t="shared" si="11"/>
        <v>1.6746835669783413E-9</v>
      </c>
      <c r="X8">
        <f t="shared" si="12"/>
        <v>8.7119234116623145E-2</v>
      </c>
      <c r="Y8" s="9"/>
      <c r="Z8">
        <f>'KSE 100'!J35</f>
        <v>4.6511332226344465E-3</v>
      </c>
      <c r="AA8" s="78">
        <v>1</v>
      </c>
      <c r="AB8" s="79" t="str">
        <f>A1</f>
        <v>Kohinoor</v>
      </c>
      <c r="AC8" s="79">
        <f>SLOPE($C3:$C45,'KSE 100'!$J$30:$J$72)</f>
        <v>-3.349998459912785</v>
      </c>
      <c r="AD8" s="79">
        <f>INTERCEPT($C3:$C45,'KSE 100'!$J$30:$J$72)</f>
        <v>1.3893164794255876E-2</v>
      </c>
      <c r="AE8">
        <f>'Regressions(RSQ)'!B79</f>
        <v>8.0990387208450254E-2</v>
      </c>
      <c r="AF8" s="80">
        <f>IFERROR(LN((1-AE8)/AE8),0)</f>
        <v>2.4289661111661269</v>
      </c>
    </row>
    <row r="9" spans="1:32">
      <c r="A9" s="21">
        <v>45546</v>
      </c>
      <c r="B9" s="22">
        <v>7.13</v>
      </c>
      <c r="C9" s="23">
        <f t="shared" si="0"/>
        <v>1.1347517730496465E-2</v>
      </c>
      <c r="D9" s="24">
        <f t="shared" si="1"/>
        <v>7.3849177535207547E-2</v>
      </c>
      <c r="E9" s="22">
        <v>7.4</v>
      </c>
      <c r="F9" s="22">
        <v>6.75</v>
      </c>
      <c r="G9" s="22">
        <f t="shared" si="4"/>
        <v>9.1872791519434671E-2</v>
      </c>
      <c r="H9" s="22">
        <v>7.1</v>
      </c>
      <c r="I9" s="22">
        <v>7</v>
      </c>
      <c r="J9" s="22">
        <f t="shared" si="2"/>
        <v>1.4184397163120517E-2</v>
      </c>
      <c r="K9" s="25">
        <v>15087</v>
      </c>
      <c r="L9" s="26">
        <v>12600000</v>
      </c>
      <c r="M9" s="24">
        <f t="shared" si="3"/>
        <v>107570.31</v>
      </c>
      <c r="N9" s="24">
        <v>67783446</v>
      </c>
      <c r="O9" s="24">
        <f t="shared" si="5"/>
        <v>2.2257646800665756E-4</v>
      </c>
      <c r="P9" s="10">
        <v>78651.8</v>
      </c>
      <c r="Q9" s="9">
        <v>0.1741</v>
      </c>
      <c r="R9" s="24">
        <f t="shared" si="6"/>
        <v>114900000</v>
      </c>
      <c r="S9" s="24">
        <f t="shared" si="7"/>
        <v>371000000</v>
      </c>
      <c r="T9" s="24">
        <f t="shared" si="8"/>
        <v>-16970000</v>
      </c>
      <c r="U9" s="24">
        <f t="shared" si="9"/>
        <v>9650000</v>
      </c>
      <c r="V9" s="24">
        <f t="shared" si="10"/>
        <v>10010000</v>
      </c>
      <c r="W9">
        <f t="shared" si="11"/>
        <v>1.054893095548062E-7</v>
      </c>
      <c r="X9">
        <f t="shared" si="12"/>
        <v>8.7119234116623145E-2</v>
      </c>
      <c r="Y9" s="9"/>
      <c r="Z9">
        <f>'KSE 100'!J36</f>
        <v>-8.0081486513381688E-3</v>
      </c>
      <c r="AA9" s="78">
        <v>2</v>
      </c>
      <c r="AB9" s="79" t="str">
        <f>A46</f>
        <v xml:space="preserve">Kot addu </v>
      </c>
      <c r="AC9" s="79">
        <f>SLOPE($C48:$C90,'KSE 100'!$J$30:$J$72)</f>
        <v>0.57319898302688232</v>
      </c>
      <c r="AD9" s="79">
        <f>INTERCEPT($C48:$C90,'KSE 100'!$J$30:$J$72)</f>
        <v>-1.192402799030223E-3</v>
      </c>
      <c r="AE9">
        <f>'Regressions(RSQ)'!L79</f>
        <v>3.7817157537207581E-2</v>
      </c>
      <c r="AF9" s="80">
        <f t="shared" ref="AF9:AF22" si="13">IFERROR(LN((1-AE9)/AE9),0)</f>
        <v>3.2364415947923728</v>
      </c>
    </row>
    <row r="10" spans="1:32">
      <c r="A10" s="21">
        <v>45545</v>
      </c>
      <c r="B10" s="22">
        <v>7.05</v>
      </c>
      <c r="C10" s="23">
        <f t="shared" si="0"/>
        <v>-4.2119565217391373E-2</v>
      </c>
      <c r="D10" s="24">
        <f t="shared" si="1"/>
        <v>7.3849177535207547E-2</v>
      </c>
      <c r="E10" s="22">
        <v>7.7</v>
      </c>
      <c r="F10" s="22">
        <v>6.88</v>
      </c>
      <c r="G10" s="22">
        <f t="shared" si="4"/>
        <v>0.112482853223594</v>
      </c>
      <c r="H10" s="22">
        <v>7.29</v>
      </c>
      <c r="I10" s="22">
        <v>7.04</v>
      </c>
      <c r="J10" s="22">
        <f t="shared" si="2"/>
        <v>3.4891835310537335E-2</v>
      </c>
      <c r="K10" s="25">
        <v>73066</v>
      </c>
      <c r="L10" s="26">
        <v>12600000</v>
      </c>
      <c r="M10" s="24">
        <f t="shared" si="3"/>
        <v>515115.3</v>
      </c>
      <c r="N10" s="24">
        <v>67783446</v>
      </c>
      <c r="O10" s="24">
        <f t="shared" si="5"/>
        <v>1.0779328038294188E-3</v>
      </c>
      <c r="P10" s="10">
        <v>79286.740000000005</v>
      </c>
      <c r="Q10" s="9">
        <v>0.1741</v>
      </c>
      <c r="R10" s="24">
        <f t="shared" si="6"/>
        <v>114900000</v>
      </c>
      <c r="S10" s="24">
        <f t="shared" si="7"/>
        <v>371000000</v>
      </c>
      <c r="T10" s="24">
        <f t="shared" si="8"/>
        <v>-16970000</v>
      </c>
      <c r="U10" s="24">
        <f t="shared" si="9"/>
        <v>9650000</v>
      </c>
      <c r="V10" s="24">
        <f t="shared" si="10"/>
        <v>10010000</v>
      </c>
      <c r="W10">
        <f t="shared" si="11"/>
        <v>8.1767257189587215E-8</v>
      </c>
      <c r="X10">
        <f t="shared" si="12"/>
        <v>8.7119234116623145E-2</v>
      </c>
      <c r="Y10" s="9"/>
      <c r="Z10">
        <f>'KSE 100'!J37</f>
        <v>8.5446797684920178E-3</v>
      </c>
      <c r="AA10" s="78">
        <v>3</v>
      </c>
      <c r="AB10" s="79" t="str">
        <f>A91</f>
        <v xml:space="preserve">Lalpir </v>
      </c>
      <c r="AC10" s="79">
        <f>SLOPE(C93:C135,'KSE 100'!$J$30:$J$72)</f>
        <v>0.79549136223161743</v>
      </c>
      <c r="AD10" s="79">
        <f>INTERCEPT(C93:C135,'KSE 100'!$J$30:$J$72)</f>
        <v>-2.4763003263079879E-3</v>
      </c>
      <c r="AE10">
        <f>'Regressions(RSQ)'!V79</f>
        <v>3.8610328116017993E-2</v>
      </c>
      <c r="AF10" s="80">
        <f t="shared" si="13"/>
        <v>3.2148600041611366</v>
      </c>
    </row>
    <row r="11" spans="1:32">
      <c r="A11" s="21">
        <v>45544</v>
      </c>
      <c r="B11" s="22">
        <v>7.36</v>
      </c>
      <c r="C11" s="23">
        <f t="shared" si="0"/>
        <v>6.8399452804378544E-3</v>
      </c>
      <c r="D11" s="24">
        <f t="shared" si="1"/>
        <v>7.3849177535207547E-2</v>
      </c>
      <c r="E11" s="22">
        <v>7.96</v>
      </c>
      <c r="F11" s="22">
        <v>7.36</v>
      </c>
      <c r="G11" s="22">
        <f t="shared" si="4"/>
        <v>7.8328981723237545E-2</v>
      </c>
      <c r="H11" s="22">
        <v>7.69</v>
      </c>
      <c r="I11" s="22">
        <v>7.36</v>
      </c>
      <c r="J11" s="22">
        <f t="shared" si="2"/>
        <v>4.3853820598006653E-2</v>
      </c>
      <c r="K11" s="25">
        <v>8140</v>
      </c>
      <c r="L11" s="26">
        <v>12600000</v>
      </c>
      <c r="M11" s="24">
        <f t="shared" si="3"/>
        <v>59910.400000000001</v>
      </c>
      <c r="N11" s="24">
        <v>67783446</v>
      </c>
      <c r="O11" s="24">
        <f t="shared" si="5"/>
        <v>1.2008831772878587E-4</v>
      </c>
      <c r="P11" s="10">
        <v>78615</v>
      </c>
      <c r="Q11" s="9">
        <v>0.1741</v>
      </c>
      <c r="R11" s="24">
        <f t="shared" si="6"/>
        <v>114900000</v>
      </c>
      <c r="S11" s="24">
        <f t="shared" si="7"/>
        <v>371000000</v>
      </c>
      <c r="T11" s="24">
        <f t="shared" si="8"/>
        <v>-16970000</v>
      </c>
      <c r="U11" s="24">
        <f t="shared" si="9"/>
        <v>9650000</v>
      </c>
      <c r="V11" s="24">
        <f t="shared" si="10"/>
        <v>10010000</v>
      </c>
      <c r="W11">
        <f t="shared" si="11"/>
        <v>1.1416958124862885E-7</v>
      </c>
      <c r="X11">
        <f t="shared" si="12"/>
        <v>8.7119234116623145E-2</v>
      </c>
      <c r="Y11" s="9"/>
      <c r="Z11">
        <f>'KSE 100'!J38</f>
        <v>-3.5834998041135028E-3</v>
      </c>
      <c r="AA11" s="78">
        <v>4</v>
      </c>
      <c r="AB11" s="79" t="str">
        <f>A136</f>
        <v xml:space="preserve">Nishat chunian </v>
      </c>
      <c r="AC11" s="79">
        <f>SLOPE(C138:C180,'KSE 100'!$J$30:$J$72)</f>
        <v>0.47266643377671169</v>
      </c>
      <c r="AD11" s="79">
        <f>INTERCEPT(C138:C180,'KSE 100'!$J$30:$J$72)</f>
        <v>3.1009212264165396E-3</v>
      </c>
      <c r="AE11">
        <f>'Regressions(RSQ)'!AF79</f>
        <v>2.0556827621108789E-2</v>
      </c>
      <c r="AF11" s="80">
        <f t="shared" si="13"/>
        <v>3.8637910886350628</v>
      </c>
    </row>
    <row r="12" spans="1:32">
      <c r="A12" s="21">
        <v>45541</v>
      </c>
      <c r="B12" s="22">
        <v>7.31</v>
      </c>
      <c r="C12" s="23">
        <f t="shared" si="0"/>
        <v>-4.6936114732724944E-2</v>
      </c>
      <c r="D12" s="24">
        <f t="shared" si="1"/>
        <v>7.3849177535207547E-2</v>
      </c>
      <c r="E12" s="22">
        <v>7.74</v>
      </c>
      <c r="F12" s="22">
        <v>7.3</v>
      </c>
      <c r="G12" s="22">
        <f t="shared" si="4"/>
        <v>5.8510638297872397E-2</v>
      </c>
      <c r="H12" s="22">
        <v>7.58</v>
      </c>
      <c r="I12" s="22">
        <v>7.5</v>
      </c>
      <c r="J12" s="22">
        <f t="shared" si="2"/>
        <v>1.0610079575596827E-2</v>
      </c>
      <c r="K12" s="25">
        <v>46958</v>
      </c>
      <c r="L12" s="26">
        <v>12600000</v>
      </c>
      <c r="M12" s="24">
        <f t="shared" si="3"/>
        <v>343262.98</v>
      </c>
      <c r="N12" s="24">
        <v>67783446</v>
      </c>
      <c r="O12" s="24">
        <f t="shared" si="5"/>
        <v>6.9276501522215321E-4</v>
      </c>
      <c r="P12" s="10">
        <v>78897.73</v>
      </c>
      <c r="Q12" s="9">
        <v>0.1741</v>
      </c>
      <c r="R12" s="24">
        <f t="shared" si="6"/>
        <v>114900000</v>
      </c>
      <c r="S12" s="24">
        <f t="shared" si="7"/>
        <v>371000000</v>
      </c>
      <c r="T12" s="24">
        <f t="shared" si="8"/>
        <v>-16970000</v>
      </c>
      <c r="U12" s="24">
        <f t="shared" si="9"/>
        <v>9650000</v>
      </c>
      <c r="V12" s="24">
        <f t="shared" si="10"/>
        <v>10010000</v>
      </c>
      <c r="W12">
        <f t="shared" si="11"/>
        <v>1.3673514904731335E-7</v>
      </c>
      <c r="X12">
        <f t="shared" si="12"/>
        <v>8.7119234116623145E-2</v>
      </c>
      <c r="Y12" s="9"/>
      <c r="Z12">
        <f>'KSE 100'!J39</f>
        <v>4.3607080298653343E-4</v>
      </c>
      <c r="AA12" s="78">
        <v>5</v>
      </c>
      <c r="AB12" s="79" t="str">
        <f>A181</f>
        <v>Nishat Power ltd</v>
      </c>
      <c r="AC12" s="79">
        <f>SLOPE(C183:C225,'KSE 100'!$J$30:$J$72)</f>
        <v>1.1795803450831115</v>
      </c>
      <c r="AD12" s="79">
        <f>INTERCEPT(C183:C225,'KSE 100'!$J$30:$J$72)</f>
        <v>2.0174694321311937E-3</v>
      </c>
      <c r="AE12">
        <f>'Regressions(RSQ)'!AP79</f>
        <v>0.11373685560199787</v>
      </c>
      <c r="AF12" s="80">
        <f t="shared" si="13"/>
        <v>2.0531264132082789</v>
      </c>
    </row>
    <row r="13" spans="1:32">
      <c r="A13" s="21">
        <v>45540</v>
      </c>
      <c r="B13" s="22">
        <v>7.67</v>
      </c>
      <c r="C13" s="23">
        <f t="shared" si="0"/>
        <v>-5.074257425742576E-2</v>
      </c>
      <c r="D13" s="24">
        <f t="shared" si="1"/>
        <v>7.3849177535207547E-2</v>
      </c>
      <c r="E13" s="22">
        <v>8.2799999999999994</v>
      </c>
      <c r="F13" s="22">
        <v>7.6</v>
      </c>
      <c r="G13" s="22">
        <f t="shared" si="4"/>
        <v>8.564231738035262E-2</v>
      </c>
      <c r="H13" s="22">
        <v>7.75</v>
      </c>
      <c r="I13" s="22">
        <v>7.62</v>
      </c>
      <c r="J13" s="22">
        <f t="shared" si="2"/>
        <v>1.6916070266753402E-2</v>
      </c>
      <c r="K13" s="25">
        <v>480319</v>
      </c>
      <c r="L13" s="26">
        <v>12600000</v>
      </c>
      <c r="M13" s="24">
        <f t="shared" si="3"/>
        <v>3684046.73</v>
      </c>
      <c r="N13" s="24">
        <v>67783446</v>
      </c>
      <c r="O13" s="24">
        <f t="shared" si="5"/>
        <v>7.0860811650089311E-3</v>
      </c>
      <c r="P13" s="10">
        <v>78863.34</v>
      </c>
      <c r="Q13" s="9">
        <v>0.1741</v>
      </c>
      <c r="R13" s="24">
        <f t="shared" si="6"/>
        <v>114900000</v>
      </c>
      <c r="S13" s="24">
        <f t="shared" si="7"/>
        <v>371000000</v>
      </c>
      <c r="T13" s="24">
        <f t="shared" si="8"/>
        <v>-16970000</v>
      </c>
      <c r="U13" s="24">
        <f t="shared" si="9"/>
        <v>9650000</v>
      </c>
      <c r="V13" s="24">
        <f t="shared" si="10"/>
        <v>10010000</v>
      </c>
      <c r="W13">
        <f t="shared" si="11"/>
        <v>1.3773596801641482E-8</v>
      </c>
      <c r="X13">
        <f t="shared" si="12"/>
        <v>8.7119234116623145E-2</v>
      </c>
      <c r="Y13" s="9"/>
      <c r="Z13">
        <f>'KSE 100'!J40</f>
        <v>1.9442469125092695E-4</v>
      </c>
      <c r="AA13" s="78">
        <v>6</v>
      </c>
      <c r="AB13" s="79" t="str">
        <f>A226</f>
        <v>Pakgen</v>
      </c>
      <c r="AC13" s="79">
        <f>SLOPE(C228:C270,'KSE 100'!$J$30:$J$72)</f>
        <v>-0.58085368384691305</v>
      </c>
      <c r="AD13" s="79">
        <f>INTERCEPT(C228:C270,'KSE 100'!$J$30:$J$72)</f>
        <v>2.7876793810749489E-3</v>
      </c>
      <c r="AE13" s="79">
        <f>'Regressions(RSQ)'!B99</f>
        <v>3.4425672176552603E-2</v>
      </c>
      <c r="AF13" s="80">
        <f t="shared" si="13"/>
        <v>3.3339205124188762</v>
      </c>
    </row>
    <row r="14" spans="1:32">
      <c r="A14" s="21">
        <v>45539</v>
      </c>
      <c r="B14" s="22">
        <v>8.08</v>
      </c>
      <c r="C14" s="23">
        <f t="shared" si="0"/>
        <v>4.2580645161290329E-2</v>
      </c>
      <c r="D14" s="24">
        <f t="shared" si="1"/>
        <v>7.3849177535207547E-2</v>
      </c>
      <c r="E14" s="22">
        <v>8.35</v>
      </c>
      <c r="F14" s="22">
        <v>7.7</v>
      </c>
      <c r="G14" s="22">
        <f t="shared" si="4"/>
        <v>8.0996884735202418E-2</v>
      </c>
      <c r="H14" s="22">
        <v>8.19</v>
      </c>
      <c r="I14" s="22">
        <v>8.01</v>
      </c>
      <c r="J14" s="22">
        <f t="shared" si="2"/>
        <v>2.2222222222222188E-2</v>
      </c>
      <c r="K14" s="25">
        <v>449952</v>
      </c>
      <c r="L14" s="26">
        <v>12600000</v>
      </c>
      <c r="M14" s="24">
        <f t="shared" si="3"/>
        <v>3635612.16</v>
      </c>
      <c r="N14" s="24">
        <v>67783446</v>
      </c>
      <c r="O14" s="24">
        <f t="shared" si="5"/>
        <v>6.6380809261305483E-3</v>
      </c>
      <c r="P14" s="10">
        <v>78848.009999999995</v>
      </c>
      <c r="Q14" s="9">
        <v>0.1741</v>
      </c>
      <c r="R14" s="24">
        <f t="shared" si="6"/>
        <v>114900000</v>
      </c>
      <c r="S14" s="24">
        <f t="shared" si="7"/>
        <v>371000000</v>
      </c>
      <c r="T14" s="24">
        <f t="shared" si="8"/>
        <v>-16970000</v>
      </c>
      <c r="U14" s="24">
        <f t="shared" si="9"/>
        <v>9650000</v>
      </c>
      <c r="V14" s="24">
        <f t="shared" si="10"/>
        <v>10010000</v>
      </c>
      <c r="W14">
        <f t="shared" si="11"/>
        <v>1.1712097794636689E-8</v>
      </c>
      <c r="X14">
        <f t="shared" si="12"/>
        <v>8.7119234116623145E-2</v>
      </c>
      <c r="Y14" s="9"/>
      <c r="Z14">
        <f>'KSE 100'!J41</f>
        <v>6.2750522229732073E-3</v>
      </c>
      <c r="AA14" s="78">
        <v>7</v>
      </c>
      <c r="AB14" s="79" t="str">
        <f>A271</f>
        <v xml:space="preserve">Faysal bank </v>
      </c>
      <c r="AC14" s="79">
        <f>SLOPE(C273:C315,'KSE 100'!$J$30:$J$72)</f>
        <v>0.20647932275286596</v>
      </c>
      <c r="AD14" s="79">
        <f>INTERCEPT(C273:C315,'KSE 100'!$J$30:$J$72)</f>
        <v>-7.139691250183319E-4</v>
      </c>
      <c r="AE14">
        <f>'Regressions(RSQ)'!L99</f>
        <v>3.4025117422084219E-3</v>
      </c>
      <c r="AF14" s="80">
        <f t="shared" si="13"/>
        <v>5.6798330589421591</v>
      </c>
    </row>
    <row r="15" spans="1:32">
      <c r="A15" s="21">
        <v>45538</v>
      </c>
      <c r="B15" s="22">
        <v>7.75</v>
      </c>
      <c r="C15" s="23">
        <f t="shared" si="0"/>
        <v>3.3333333333333333E-2</v>
      </c>
      <c r="D15" s="24">
        <f t="shared" si="1"/>
        <v>7.3849177535207547E-2</v>
      </c>
      <c r="E15" s="22">
        <v>8</v>
      </c>
      <c r="F15" s="22">
        <v>7.4</v>
      </c>
      <c r="G15" s="22">
        <f t="shared" si="4"/>
        <v>7.7922077922077879E-2</v>
      </c>
      <c r="H15" s="22">
        <v>7.9</v>
      </c>
      <c r="I15" s="22">
        <v>7.75</v>
      </c>
      <c r="J15" s="22">
        <f t="shared" si="2"/>
        <v>1.9169329073482472E-2</v>
      </c>
      <c r="K15" s="25">
        <v>112754</v>
      </c>
      <c r="L15" s="26">
        <v>12600000</v>
      </c>
      <c r="M15" s="24">
        <f t="shared" si="3"/>
        <v>873843.5</v>
      </c>
      <c r="N15" s="24">
        <v>67783446</v>
      </c>
      <c r="O15" s="24">
        <f t="shared" si="5"/>
        <v>1.663444493512472E-3</v>
      </c>
      <c r="P15" s="10">
        <v>78356.320000000007</v>
      </c>
      <c r="Q15" s="9">
        <v>0.17469999999999999</v>
      </c>
      <c r="R15" s="24">
        <f t="shared" si="6"/>
        <v>114900000</v>
      </c>
      <c r="S15" s="24">
        <f t="shared" si="7"/>
        <v>371000000</v>
      </c>
      <c r="T15" s="24">
        <f t="shared" si="8"/>
        <v>-16970000</v>
      </c>
      <c r="U15" s="24">
        <f t="shared" si="9"/>
        <v>9650000</v>
      </c>
      <c r="V15" s="24">
        <f t="shared" si="10"/>
        <v>10010000</v>
      </c>
      <c r="W15">
        <f t="shared" si="11"/>
        <v>3.8145655753385284E-8</v>
      </c>
      <c r="X15">
        <f t="shared" si="12"/>
        <v>8.7119234116623145E-2</v>
      </c>
      <c r="Y15" s="9"/>
      <c r="Z15">
        <f>'KSE 100'!J42</f>
        <v>9.3276599223589187E-4</v>
      </c>
      <c r="AA15" s="78">
        <v>8</v>
      </c>
      <c r="AB15" s="79" t="str">
        <f>A316</f>
        <v>Saif power</v>
      </c>
      <c r="AC15" s="79">
        <f>SLOPE(C318:C360,'KSE 100'!$J$30:$J$72)</f>
        <v>-2.2344794962320454E-2</v>
      </c>
      <c r="AD15" s="79">
        <f>INTERCEPT(C318:C360,'KSE 100'!$J$30:$J$72)</f>
        <v>-5.731938207919438E-4</v>
      </c>
      <c r="AE15">
        <f>'Regressions(RSQ)'!V99</f>
        <v>1.1532487130850818E-4</v>
      </c>
      <c r="AF15" s="80">
        <f t="shared" si="13"/>
        <v>9.0676421129020923</v>
      </c>
    </row>
    <row r="16" spans="1:32">
      <c r="A16" s="21">
        <v>45537</v>
      </c>
      <c r="B16" s="22">
        <v>7.5</v>
      </c>
      <c r="C16" s="23">
        <f t="shared" si="0"/>
        <v>-2.0887728459530044E-2</v>
      </c>
      <c r="D16" s="24">
        <f t="shared" si="1"/>
        <v>7.3849177535207547E-2</v>
      </c>
      <c r="E16" s="22">
        <v>7.99</v>
      </c>
      <c r="F16" s="22">
        <v>7.2</v>
      </c>
      <c r="G16" s="22">
        <f t="shared" si="4"/>
        <v>0.10401579986833442</v>
      </c>
      <c r="H16" s="22">
        <v>7.5</v>
      </c>
      <c r="I16" s="22">
        <v>7.3</v>
      </c>
      <c r="J16" s="22">
        <f t="shared" si="2"/>
        <v>2.7027027027027049E-2</v>
      </c>
      <c r="K16" s="25">
        <v>191112</v>
      </c>
      <c r="L16" s="26">
        <v>12600000</v>
      </c>
      <c r="M16" s="24">
        <f t="shared" si="3"/>
        <v>1433340</v>
      </c>
      <c r="N16" s="24">
        <v>67783446</v>
      </c>
      <c r="O16" s="24">
        <f t="shared" si="5"/>
        <v>2.8194494567301874E-3</v>
      </c>
      <c r="P16" s="10">
        <v>78283.3</v>
      </c>
      <c r="Q16" s="9">
        <v>0.17469999999999999</v>
      </c>
      <c r="R16" s="24">
        <f t="shared" si="6"/>
        <v>114900000</v>
      </c>
      <c r="S16" s="24">
        <f t="shared" si="7"/>
        <v>371000000</v>
      </c>
      <c r="T16" s="24">
        <f t="shared" si="8"/>
        <v>-16970000</v>
      </c>
      <c r="U16" s="24">
        <f t="shared" si="9"/>
        <v>9650000</v>
      </c>
      <c r="V16" s="24">
        <f t="shared" si="10"/>
        <v>10010000</v>
      </c>
      <c r="W16">
        <f t="shared" si="11"/>
        <v>1.4572766028667339E-8</v>
      </c>
      <c r="X16">
        <f t="shared" si="12"/>
        <v>8.7119234116623145E-2</v>
      </c>
      <c r="Y16" s="9"/>
      <c r="Z16">
        <f>'KSE 100'!J43</f>
        <v>-2.6108376518157754E-3</v>
      </c>
      <c r="AA16" s="78">
        <v>9</v>
      </c>
      <c r="AB16" s="79" t="str">
        <f>A361</f>
        <v xml:space="preserve">Mughal iron and steel </v>
      </c>
      <c r="AC16" s="79">
        <f>SLOPE(C363:C405,'KSE 100'!$J$30:$J$72)</f>
        <v>1.5071799033009745</v>
      </c>
      <c r="AD16" s="79">
        <f>INTERCEPT(C363:C405,'KSE 100'!$J$30:$J$72)</f>
        <v>-1.6041090566336321E-3</v>
      </c>
      <c r="AE16">
        <f>'Regressions(RSQ)'!AF99</f>
        <v>0.13176433246859182</v>
      </c>
      <c r="AF16" s="80">
        <f t="shared" si="13"/>
        <v>1.8854482173366243</v>
      </c>
    </row>
    <row r="17" spans="1:32">
      <c r="A17" s="21">
        <v>45534</v>
      </c>
      <c r="B17" s="22">
        <v>7.66</v>
      </c>
      <c r="C17" s="23">
        <f t="shared" si="0"/>
        <v>-4.7263681592039683E-2</v>
      </c>
      <c r="D17" s="24">
        <f t="shared" si="1"/>
        <v>7.3849177535207547E-2</v>
      </c>
      <c r="E17" s="22">
        <v>8.2899999999999991</v>
      </c>
      <c r="F17" s="22">
        <v>7.5</v>
      </c>
      <c r="G17" s="22">
        <f t="shared" si="4"/>
        <v>0.10006333122229248</v>
      </c>
      <c r="H17" s="22">
        <v>7.7</v>
      </c>
      <c r="I17" s="22">
        <v>7.56</v>
      </c>
      <c r="J17" s="22">
        <f t="shared" si="2"/>
        <v>1.8348623853211083E-2</v>
      </c>
      <c r="K17" s="25">
        <v>192293</v>
      </c>
      <c r="L17" s="26">
        <v>12600000</v>
      </c>
      <c r="M17" s="24">
        <f t="shared" si="3"/>
        <v>1472964.3800000001</v>
      </c>
      <c r="N17" s="24">
        <v>67783446</v>
      </c>
      <c r="O17" s="24">
        <f t="shared" si="5"/>
        <v>2.8368725898060714E-3</v>
      </c>
      <c r="P17" s="10">
        <v>78488.22</v>
      </c>
      <c r="Q17" s="9">
        <v>0.17469999999999999</v>
      </c>
      <c r="R17" s="24">
        <f t="shared" si="6"/>
        <v>114900000</v>
      </c>
      <c r="S17" s="24">
        <f t="shared" si="7"/>
        <v>371000000</v>
      </c>
      <c r="T17" s="24">
        <f t="shared" si="8"/>
        <v>-16970000</v>
      </c>
      <c r="U17" s="24">
        <f t="shared" si="9"/>
        <v>9650000</v>
      </c>
      <c r="V17" s="24">
        <f t="shared" si="10"/>
        <v>10010000</v>
      </c>
      <c r="W17">
        <f t="shared" si="11"/>
        <v>3.2087457262231744E-8</v>
      </c>
      <c r="X17">
        <f t="shared" si="12"/>
        <v>8.7119234116623145E-2</v>
      </c>
      <c r="Y17" s="9"/>
      <c r="Z17">
        <f>'KSE 100'!J44</f>
        <v>1.7684824669309349E-3</v>
      </c>
      <c r="AA17" s="78">
        <v>10</v>
      </c>
      <c r="AB17" s="79" t="str">
        <f>A406</f>
        <v>Tri star</v>
      </c>
      <c r="AC17" s="79">
        <f>SLOPE(C408:C450,'KSE 100'!$J$30:$J$72)</f>
        <v>0.3454526629362118</v>
      </c>
      <c r="AD17" s="79">
        <f>INTERCEPT(C408:C450,'KSE 100'!$J$30:$J$72)</f>
        <v>-2.5288430800600586E-3</v>
      </c>
      <c r="AE17">
        <f>'Regressions(RSQ)'!AP99</f>
        <v>8.2829671341098452E-3</v>
      </c>
      <c r="AF17" s="80">
        <f t="shared" si="13"/>
        <v>4.7852365637309902</v>
      </c>
    </row>
    <row r="18" spans="1:32">
      <c r="A18" s="21">
        <v>45533</v>
      </c>
      <c r="B18" s="22">
        <v>8.0399999999999991</v>
      </c>
      <c r="C18" s="23">
        <f t="shared" si="0"/>
        <v>2.4937655860348597E-3</v>
      </c>
      <c r="D18" s="24">
        <f t="shared" si="1"/>
        <v>7.3849177535207547E-2</v>
      </c>
      <c r="E18" s="22">
        <v>8.5</v>
      </c>
      <c r="F18" s="22">
        <v>8</v>
      </c>
      <c r="G18" s="22">
        <f t="shared" si="4"/>
        <v>6.0606060606060608E-2</v>
      </c>
      <c r="H18" s="22">
        <v>8.24</v>
      </c>
      <c r="I18" s="22">
        <v>8.01</v>
      </c>
      <c r="J18" s="22">
        <f t="shared" si="2"/>
        <v>2.830769230769236E-2</v>
      </c>
      <c r="K18" s="25">
        <v>283377</v>
      </c>
      <c r="L18" s="26">
        <v>12600000</v>
      </c>
      <c r="M18" s="24">
        <f t="shared" si="3"/>
        <v>2278351.0799999996</v>
      </c>
      <c r="N18" s="24">
        <v>67783446</v>
      </c>
      <c r="O18" s="24">
        <f t="shared" si="5"/>
        <v>4.1806225077432625E-3</v>
      </c>
      <c r="P18" s="10">
        <v>78349.66</v>
      </c>
      <c r="Q18" s="9">
        <v>0.17469999999999999</v>
      </c>
      <c r="R18" s="24">
        <f t="shared" si="6"/>
        <v>114900000</v>
      </c>
      <c r="S18" s="24">
        <f t="shared" si="7"/>
        <v>371000000</v>
      </c>
      <c r="T18" s="24">
        <f t="shared" si="8"/>
        <v>-16970000</v>
      </c>
      <c r="U18" s="24">
        <f t="shared" si="9"/>
        <v>9650000</v>
      </c>
      <c r="V18" s="24">
        <f t="shared" si="10"/>
        <v>10010000</v>
      </c>
      <c r="W18">
        <f t="shared" si="11"/>
        <v>1.0945484249226684E-9</v>
      </c>
      <c r="X18">
        <f t="shared" si="12"/>
        <v>8.7119234116623145E-2</v>
      </c>
      <c r="Y18" s="9"/>
      <c r="Z18">
        <f>'KSE 100'!J45</f>
        <v>4.5756793672851043E-3</v>
      </c>
      <c r="AA18" s="78">
        <v>11</v>
      </c>
      <c r="AB18" s="79" t="str">
        <f>A451</f>
        <v>Javedan</v>
      </c>
      <c r="AC18" s="79">
        <f>SLOPE(C453:C495,'KSE 100'!$J$30:$J$72)</f>
        <v>-0.4293651444179985</v>
      </c>
      <c r="AD18" s="79">
        <f>INTERCEPT(C453:C495,'KSE 100'!$J$30:$J$72)</f>
        <v>3.2527851782508861E-3</v>
      </c>
      <c r="AE18">
        <f>'Regressions(RSQ)'!B119</f>
        <v>7.389964451407216E-3</v>
      </c>
      <c r="AF18" s="80">
        <f t="shared" si="13"/>
        <v>4.9002149488833684</v>
      </c>
    </row>
    <row r="19" spans="1:32">
      <c r="A19" s="21">
        <v>45532</v>
      </c>
      <c r="B19" s="22">
        <v>8.02</v>
      </c>
      <c r="C19" s="23">
        <f t="shared" si="0"/>
        <v>-8.6526576019777864E-3</v>
      </c>
      <c r="D19" s="24">
        <f t="shared" si="1"/>
        <v>7.3849177535207547E-2</v>
      </c>
      <c r="E19" s="22">
        <v>8.4700000000000006</v>
      </c>
      <c r="F19" s="22">
        <v>7.76</v>
      </c>
      <c r="G19" s="22">
        <f t="shared" si="4"/>
        <v>8.7492298213185563E-2</v>
      </c>
      <c r="H19" s="22">
        <v>8.07</v>
      </c>
      <c r="I19" s="22">
        <v>8.02</v>
      </c>
      <c r="J19" s="22">
        <f t="shared" si="2"/>
        <v>6.2150403977626742E-3</v>
      </c>
      <c r="K19" s="25">
        <v>327736</v>
      </c>
      <c r="L19" s="26">
        <v>12600000</v>
      </c>
      <c r="M19" s="24">
        <f t="shared" si="3"/>
        <v>2628442.7199999997</v>
      </c>
      <c r="N19" s="24">
        <v>67783446</v>
      </c>
      <c r="O19" s="24">
        <f t="shared" si="5"/>
        <v>4.8350448279068023E-3</v>
      </c>
      <c r="P19" s="10">
        <v>77992.789999999994</v>
      </c>
      <c r="Q19" s="9">
        <v>0.17469999999999999</v>
      </c>
      <c r="R19" s="24">
        <f t="shared" si="6"/>
        <v>114900000</v>
      </c>
      <c r="S19" s="24">
        <f t="shared" si="7"/>
        <v>371000000</v>
      </c>
      <c r="T19" s="24">
        <f t="shared" si="8"/>
        <v>-16970000</v>
      </c>
      <c r="U19" s="24">
        <f t="shared" si="9"/>
        <v>9650000</v>
      </c>
      <c r="V19" s="24">
        <f t="shared" si="10"/>
        <v>10010000</v>
      </c>
      <c r="W19">
        <f t="shared" si="11"/>
        <v>3.291933104015973E-9</v>
      </c>
      <c r="X19">
        <f t="shared" si="12"/>
        <v>8.7119234116623145E-2</v>
      </c>
      <c r="Y19" s="9"/>
      <c r="Z19">
        <f>'KSE 100'!J46</f>
        <v>-1.1711710327205593E-3</v>
      </c>
      <c r="AA19" s="78">
        <v>12</v>
      </c>
      <c r="AB19" s="79" t="str">
        <f>A496</f>
        <v>Pace pak</v>
      </c>
      <c r="AC19" s="79">
        <f>SLOPE(C498:C540,'KSE 100'!$J$30:$J$72)</f>
        <v>-0.97179271131542266</v>
      </c>
      <c r="AD19" s="79">
        <f>INTERCEPT(C498:C540,'KSE 100'!$J$30:$J$72)</f>
        <v>2.0971395938586428E-2</v>
      </c>
      <c r="AE19">
        <f>'Regressions(RSQ)'!L119</f>
        <v>6.330326864479552E-3</v>
      </c>
      <c r="AF19" s="80">
        <f t="shared" si="13"/>
        <v>5.0560529584551075</v>
      </c>
    </row>
    <row r="20" spans="1:32">
      <c r="A20" s="21">
        <v>45531</v>
      </c>
      <c r="B20" s="22">
        <v>8.09</v>
      </c>
      <c r="C20" s="23">
        <f t="shared" si="0"/>
        <v>8.2998661311914343E-2</v>
      </c>
      <c r="D20" s="24">
        <f t="shared" si="1"/>
        <v>7.3849177535207547E-2</v>
      </c>
      <c r="E20" s="22">
        <v>8.24</v>
      </c>
      <c r="F20" s="22">
        <v>7.3</v>
      </c>
      <c r="G20" s="22">
        <f t="shared" si="4"/>
        <v>0.12097812097812104</v>
      </c>
      <c r="H20" s="22">
        <v>8.18</v>
      </c>
      <c r="I20" s="22">
        <v>8.06</v>
      </c>
      <c r="J20" s="22">
        <f t="shared" si="2"/>
        <v>1.4778325123152612E-2</v>
      </c>
      <c r="K20" s="25">
        <v>445825</v>
      </c>
      <c r="L20" s="26">
        <v>12600000</v>
      </c>
      <c r="M20" s="24">
        <f t="shared" si="3"/>
        <v>3606724.25</v>
      </c>
      <c r="N20" s="24">
        <v>67783446</v>
      </c>
      <c r="O20" s="24">
        <f t="shared" si="5"/>
        <v>6.5771958539847623E-3</v>
      </c>
      <c r="P20" s="10">
        <v>78084.240000000005</v>
      </c>
      <c r="Q20" s="9">
        <v>0.17469999999999999</v>
      </c>
      <c r="R20" s="24">
        <f t="shared" si="6"/>
        <v>114900000</v>
      </c>
      <c r="S20" s="24">
        <f t="shared" si="7"/>
        <v>371000000</v>
      </c>
      <c r="T20" s="24">
        <f t="shared" si="8"/>
        <v>-16970000</v>
      </c>
      <c r="U20" s="24">
        <f t="shared" si="9"/>
        <v>9650000</v>
      </c>
      <c r="V20" s="24">
        <f t="shared" si="10"/>
        <v>10010000</v>
      </c>
      <c r="W20">
        <f t="shared" si="11"/>
        <v>2.3012200423116445E-8</v>
      </c>
      <c r="X20">
        <f t="shared" si="12"/>
        <v>8.7119234116623145E-2</v>
      </c>
      <c r="Y20" s="9"/>
      <c r="Z20">
        <f>'KSE 100'!J47</f>
        <v>-6.1959199735882398E-3</v>
      </c>
      <c r="AA20" s="78">
        <v>13</v>
      </c>
      <c r="AB20" s="79" t="str">
        <f>A541</f>
        <v xml:space="preserve">TPL prop </v>
      </c>
      <c r="AC20" s="79">
        <f>SLOPE(C543:C585,'KSE 100'!$J$30:$J$72)</f>
        <v>0.41638999927931958</v>
      </c>
      <c r="AD20" s="79">
        <f>INTERCEPT(C543:C585,'KSE 100'!$J$30:$J$72)</f>
        <v>2.1916819763268067E-4</v>
      </c>
      <c r="AE20">
        <f>'Regressions(RSQ)'!V119</f>
        <v>5.6885001667764928E-3</v>
      </c>
      <c r="AF20" s="80">
        <f t="shared" si="13"/>
        <v>5.1636039153613709</v>
      </c>
    </row>
    <row r="21" spans="1:32">
      <c r="A21" s="21">
        <v>45530</v>
      </c>
      <c r="B21" s="22">
        <v>7.47</v>
      </c>
      <c r="C21" s="23">
        <f t="shared" si="0"/>
        <v>-8.1180811808118203E-2</v>
      </c>
      <c r="D21" s="24">
        <f t="shared" si="1"/>
        <v>7.3849177535207547E-2</v>
      </c>
      <c r="E21" s="22">
        <v>8.3000000000000007</v>
      </c>
      <c r="F21" s="22">
        <v>7.31</v>
      </c>
      <c r="G21" s="22">
        <f t="shared" si="4"/>
        <v>0.12684176809737363</v>
      </c>
      <c r="H21" s="22">
        <v>7.58</v>
      </c>
      <c r="I21" s="22">
        <v>7.56</v>
      </c>
      <c r="J21" s="22">
        <f t="shared" si="2"/>
        <v>2.6420079260238388E-3</v>
      </c>
      <c r="K21" s="25">
        <v>119911</v>
      </c>
      <c r="L21" s="26">
        <v>12600000</v>
      </c>
      <c r="M21" s="24">
        <f t="shared" si="3"/>
        <v>895735.16999999993</v>
      </c>
      <c r="N21" s="24">
        <v>67783446</v>
      </c>
      <c r="O21" s="24">
        <f t="shared" si="5"/>
        <v>1.7690307453533715E-3</v>
      </c>
      <c r="P21" s="10">
        <v>78571.06</v>
      </c>
      <c r="Q21" s="9">
        <v>0.17469999999999999</v>
      </c>
      <c r="R21" s="24">
        <f t="shared" si="6"/>
        <v>114900000</v>
      </c>
      <c r="S21" s="24">
        <f t="shared" si="7"/>
        <v>371000000</v>
      </c>
      <c r="T21" s="24">
        <f t="shared" si="8"/>
        <v>-16970000</v>
      </c>
      <c r="U21" s="24">
        <f t="shared" si="9"/>
        <v>9650000</v>
      </c>
      <c r="V21" s="24">
        <f t="shared" si="10"/>
        <v>10010000</v>
      </c>
      <c r="W21">
        <f t="shared" si="11"/>
        <v>9.0630372153544228E-8</v>
      </c>
      <c r="X21">
        <f t="shared" si="12"/>
        <v>8.7119234116623145E-2</v>
      </c>
      <c r="Y21" s="9"/>
      <c r="Z21">
        <f>'KSE 100'!J48</f>
        <v>-2.923424105374738E-3</v>
      </c>
      <c r="AA21" s="78">
        <v>14</v>
      </c>
      <c r="AB21" s="79" t="str">
        <f>A586</f>
        <v>Dolmen</v>
      </c>
      <c r="AC21" s="79">
        <f>SLOPE(C588:C630,'KSE 100'!$J$30:$J$72)</f>
        <v>0.39821594426792234</v>
      </c>
      <c r="AD21" s="79">
        <f>INTERCEPT(C588:C630,'KSE 100'!$J$30:$J$72)</f>
        <v>1.1679417673385111E-3</v>
      </c>
      <c r="AE21">
        <f>'Regressions(RSQ)'!AF119</f>
        <v>7.658702373886131E-2</v>
      </c>
      <c r="AF21" s="80">
        <f t="shared" si="13"/>
        <v>2.4896489031626121</v>
      </c>
    </row>
    <row r="22" spans="1:32" ht="15" thickBot="1">
      <c r="A22" s="21">
        <v>45527</v>
      </c>
      <c r="B22" s="22">
        <v>8.1300000000000008</v>
      </c>
      <c r="C22" s="23">
        <f t="shared" si="0"/>
        <v>-6.5517241379310184E-2</v>
      </c>
      <c r="D22" s="24">
        <f t="shared" si="1"/>
        <v>7.3849177535207547E-2</v>
      </c>
      <c r="E22" s="22">
        <v>9.25</v>
      </c>
      <c r="F22" s="22">
        <v>7.72</v>
      </c>
      <c r="G22" s="22">
        <f t="shared" si="4"/>
        <v>0.18031820860341785</v>
      </c>
      <c r="H22" s="22">
        <v>8.49</v>
      </c>
      <c r="I22" s="22">
        <v>8.25</v>
      </c>
      <c r="J22" s="22">
        <f t="shared" si="2"/>
        <v>2.8673835125448049E-2</v>
      </c>
      <c r="K22" s="25">
        <v>491921</v>
      </c>
      <c r="L22" s="26">
        <v>12600000</v>
      </c>
      <c r="M22" s="24">
        <f t="shared" si="3"/>
        <v>3999317.7300000004</v>
      </c>
      <c r="N22" s="24">
        <v>67783446</v>
      </c>
      <c r="O22" s="24">
        <f t="shared" si="5"/>
        <v>7.2572438999339156E-3</v>
      </c>
      <c r="P22" s="10">
        <v>78801.429999999993</v>
      </c>
      <c r="Q22" s="9">
        <v>0.17469999999999999</v>
      </c>
      <c r="R22" s="24">
        <f t="shared" si="6"/>
        <v>114900000</v>
      </c>
      <c r="S22" s="24">
        <f t="shared" si="7"/>
        <v>371000000</v>
      </c>
      <c r="T22" s="24">
        <f t="shared" si="8"/>
        <v>-16970000</v>
      </c>
      <c r="U22" s="24">
        <f t="shared" si="9"/>
        <v>9650000</v>
      </c>
      <c r="V22" s="24">
        <f t="shared" si="10"/>
        <v>10010000</v>
      </c>
      <c r="W22">
        <f t="shared" si="11"/>
        <v>1.638210459945381E-8</v>
      </c>
      <c r="X22">
        <f t="shared" si="12"/>
        <v>8.7119234116623145E-2</v>
      </c>
      <c r="Y22" s="9"/>
      <c r="Z22">
        <f>'KSE 100'!J49</f>
        <v>1.0178516198245512E-4</v>
      </c>
      <c r="AA22" s="81">
        <v>15</v>
      </c>
      <c r="AB22" s="165" t="str">
        <f>A631</f>
        <v>Globe</v>
      </c>
      <c r="AC22" s="79">
        <f>SLOPE(C633:C675,'KSE 100'!$J$30:$J$72)</f>
        <v>-1.0483618130024923</v>
      </c>
      <c r="AD22" s="79">
        <f>INTERCEPT(C633:C675,'KSE 100'!$J$30:$J$72)</f>
        <v>2.9981817568211803E-5</v>
      </c>
      <c r="AE22">
        <f>'Regressions(RSQ)'!AP119</f>
        <v>7.8561450279854034E-2</v>
      </c>
      <c r="AF22" s="80">
        <f t="shared" si="13"/>
        <v>2.4620549651612653</v>
      </c>
    </row>
    <row r="23" spans="1:32">
      <c r="A23" s="21">
        <v>45526</v>
      </c>
      <c r="B23" s="22">
        <v>8.6999999999999993</v>
      </c>
      <c r="C23" s="23">
        <f t="shared" si="0"/>
        <v>-7.8389830508474603E-2</v>
      </c>
      <c r="D23" s="24">
        <f t="shared" si="1"/>
        <v>7.3849177535207547E-2</v>
      </c>
      <c r="E23" s="22">
        <v>9.82</v>
      </c>
      <c r="F23" s="22">
        <v>8.44</v>
      </c>
      <c r="G23" s="22">
        <f t="shared" si="4"/>
        <v>0.15115005476451271</v>
      </c>
      <c r="H23" s="22">
        <v>8.74</v>
      </c>
      <c r="I23" s="22">
        <v>8.6</v>
      </c>
      <c r="J23" s="22">
        <f t="shared" si="2"/>
        <v>1.6147635524798219E-2</v>
      </c>
      <c r="K23" s="25">
        <v>1418141</v>
      </c>
      <c r="L23" s="26">
        <v>12600000</v>
      </c>
      <c r="M23" s="24">
        <f t="shared" si="3"/>
        <v>12337826.699999999</v>
      </c>
      <c r="N23" s="24">
        <v>67783446</v>
      </c>
      <c r="O23" s="24">
        <f t="shared" si="5"/>
        <v>2.0921642136636134E-2</v>
      </c>
      <c r="P23" s="10">
        <v>78793.41</v>
      </c>
      <c r="Q23" s="9">
        <v>0.17469999999999999</v>
      </c>
      <c r="R23" s="24">
        <f t="shared" si="6"/>
        <v>114900000</v>
      </c>
      <c r="S23" s="24">
        <f t="shared" si="7"/>
        <v>371000000</v>
      </c>
      <c r="T23" s="24">
        <f t="shared" si="8"/>
        <v>-16970000</v>
      </c>
      <c r="U23" s="24">
        <f t="shared" si="9"/>
        <v>9650000</v>
      </c>
      <c r="V23" s="24">
        <f t="shared" si="10"/>
        <v>10010000</v>
      </c>
      <c r="W23">
        <f t="shared" si="11"/>
        <v>6.3536174088484005E-9</v>
      </c>
      <c r="X23">
        <f t="shared" si="12"/>
        <v>8.7119234116623145E-2</v>
      </c>
      <c r="Y23" s="9"/>
      <c r="Z23">
        <f>'KSE 100'!J50</f>
        <v>6.8048063872541134E-3</v>
      </c>
    </row>
    <row r="24" spans="1:32">
      <c r="A24" s="21">
        <v>45525</v>
      </c>
      <c r="B24" s="22">
        <v>9.44</v>
      </c>
      <c r="C24" s="23">
        <f t="shared" si="0"/>
        <v>-9.6650717703349265E-2</v>
      </c>
      <c r="D24" s="24">
        <f t="shared" si="1"/>
        <v>7.3849177535207547E-2</v>
      </c>
      <c r="E24" s="22">
        <v>10.55</v>
      </c>
      <c r="F24" s="22">
        <v>9.41</v>
      </c>
      <c r="G24" s="22">
        <f t="shared" si="4"/>
        <v>0.11422845691382771</v>
      </c>
      <c r="H24" s="22">
        <v>9.41</v>
      </c>
      <c r="I24" s="22"/>
      <c r="J24" s="22">
        <f t="shared" si="2"/>
        <v>1</v>
      </c>
      <c r="K24" s="25">
        <v>694027</v>
      </c>
      <c r="L24" s="26">
        <v>12600000</v>
      </c>
      <c r="M24" s="24">
        <f t="shared" si="3"/>
        <v>6551614.8799999999</v>
      </c>
      <c r="N24" s="24">
        <v>67783446</v>
      </c>
      <c r="O24" s="24">
        <f t="shared" si="5"/>
        <v>1.0238886349920893E-2</v>
      </c>
      <c r="P24" s="10">
        <v>78260.86</v>
      </c>
      <c r="Q24" s="9">
        <v>0.17469999999999999</v>
      </c>
      <c r="R24" s="24">
        <f t="shared" si="6"/>
        <v>114900000</v>
      </c>
      <c r="S24" s="24">
        <f t="shared" si="7"/>
        <v>371000000</v>
      </c>
      <c r="T24" s="24">
        <f t="shared" si="8"/>
        <v>-16970000</v>
      </c>
      <c r="U24" s="24">
        <f t="shared" si="9"/>
        <v>9650000</v>
      </c>
      <c r="V24" s="24">
        <f t="shared" si="10"/>
        <v>10010000</v>
      </c>
      <c r="W24">
        <f t="shared" si="11"/>
        <v>1.4752197660212479E-8</v>
      </c>
      <c r="X24">
        <f t="shared" si="12"/>
        <v>8.7119234116623145E-2</v>
      </c>
      <c r="Y24" s="9"/>
      <c r="Z24">
        <f>'KSE 100'!J51</f>
        <v>6.6285491434104503E-3</v>
      </c>
    </row>
    <row r="25" spans="1:32">
      <c r="A25" s="21">
        <v>45524</v>
      </c>
      <c r="B25" s="22">
        <v>10.45</v>
      </c>
      <c r="C25" s="23">
        <f t="shared" si="0"/>
        <v>5.0251256281407038E-2</v>
      </c>
      <c r="D25" s="24">
        <f t="shared" si="1"/>
        <v>7.3849177535207547E-2</v>
      </c>
      <c r="E25" s="22">
        <v>10.79</v>
      </c>
      <c r="F25" s="22">
        <v>9.9499999999999993</v>
      </c>
      <c r="G25" s="22">
        <f t="shared" si="4"/>
        <v>8.1002892960462869E-2</v>
      </c>
      <c r="H25" s="22">
        <v>10.29</v>
      </c>
      <c r="I25" s="22">
        <v>10.1</v>
      </c>
      <c r="J25" s="22">
        <f t="shared" si="2"/>
        <v>1.8636586562040168E-2</v>
      </c>
      <c r="K25" s="25">
        <v>1867760</v>
      </c>
      <c r="L25" s="26">
        <v>12600000</v>
      </c>
      <c r="M25" s="24">
        <f t="shared" si="3"/>
        <v>19518092</v>
      </c>
      <c r="N25" s="24">
        <v>67783446</v>
      </c>
      <c r="O25" s="24">
        <f t="shared" si="5"/>
        <v>2.7554810358859594E-2</v>
      </c>
      <c r="P25" s="10">
        <v>77745.52</v>
      </c>
      <c r="Q25" s="9">
        <v>0.189</v>
      </c>
      <c r="R25" s="24">
        <f t="shared" si="6"/>
        <v>114900000</v>
      </c>
      <c r="S25" s="24">
        <f t="shared" si="7"/>
        <v>371000000</v>
      </c>
      <c r="T25" s="24">
        <f t="shared" si="8"/>
        <v>-16970000</v>
      </c>
      <c r="U25" s="24">
        <f t="shared" si="9"/>
        <v>9650000</v>
      </c>
      <c r="V25" s="24">
        <f t="shared" si="10"/>
        <v>10010000</v>
      </c>
      <c r="W25">
        <f t="shared" si="11"/>
        <v>2.5745988020451505E-9</v>
      </c>
      <c r="X25">
        <f t="shared" si="12"/>
        <v>8.7119234116623145E-2</v>
      </c>
      <c r="Y25" s="9"/>
      <c r="Z25">
        <f>'KSE 100'!J52</f>
        <v>-1.0898063660007139E-3</v>
      </c>
    </row>
    <row r="26" spans="1:32">
      <c r="A26" s="21">
        <v>45523</v>
      </c>
      <c r="B26" s="22">
        <v>9.9499999999999993</v>
      </c>
      <c r="C26" s="23">
        <f t="shared" si="0"/>
        <v>0.111731843575419</v>
      </c>
      <c r="D26" s="24">
        <f t="shared" si="1"/>
        <v>7.3849177535207547E-2</v>
      </c>
      <c r="E26" s="22">
        <v>9.9499999999999993</v>
      </c>
      <c r="F26" s="22">
        <v>8.36</v>
      </c>
      <c r="G26" s="22">
        <f t="shared" si="4"/>
        <v>0.17367558711086836</v>
      </c>
      <c r="H26" s="22"/>
      <c r="I26" s="22">
        <v>9.9499999999999993</v>
      </c>
      <c r="J26" s="22">
        <f t="shared" si="2"/>
        <v>-1</v>
      </c>
      <c r="K26" s="25">
        <v>1674428</v>
      </c>
      <c r="L26" s="26">
        <v>12600000</v>
      </c>
      <c r="M26" s="24">
        <f t="shared" si="3"/>
        <v>16660558.6</v>
      </c>
      <c r="N26" s="24">
        <v>67783446</v>
      </c>
      <c r="O26" s="24">
        <f t="shared" si="5"/>
        <v>2.4702609542748829E-2</v>
      </c>
      <c r="P26" s="10">
        <v>77830.34</v>
      </c>
      <c r="Q26" s="9">
        <v>0.189</v>
      </c>
      <c r="R26" s="24">
        <f t="shared" si="6"/>
        <v>114900000</v>
      </c>
      <c r="S26" s="24">
        <f t="shared" si="7"/>
        <v>371000000</v>
      </c>
      <c r="T26" s="24">
        <f t="shared" si="8"/>
        <v>-16970000</v>
      </c>
      <c r="U26" s="24">
        <f t="shared" si="9"/>
        <v>9650000</v>
      </c>
      <c r="V26" s="24">
        <f t="shared" si="10"/>
        <v>10010000</v>
      </c>
      <c r="W26">
        <f t="shared" si="11"/>
        <v>6.7063683912386351E-9</v>
      </c>
      <c r="X26">
        <f t="shared" si="12"/>
        <v>8.7119234116623145E-2</v>
      </c>
      <c r="Y26" s="9"/>
      <c r="Z26">
        <f>'KSE 100'!J53</f>
        <v>-2.7544256022559205E-3</v>
      </c>
    </row>
    <row r="27" spans="1:32">
      <c r="A27" s="21">
        <v>45520</v>
      </c>
      <c r="B27" s="22">
        <v>8.9499999999999993</v>
      </c>
      <c r="C27" s="23">
        <f t="shared" si="0"/>
        <v>0.12578616352201247</v>
      </c>
      <c r="D27" s="24">
        <f t="shared" si="1"/>
        <v>7.3849177535207547E-2</v>
      </c>
      <c r="E27" s="22">
        <v>8.9499999999999993</v>
      </c>
      <c r="F27" s="22">
        <v>8.39</v>
      </c>
      <c r="G27" s="22">
        <f t="shared" si="4"/>
        <v>6.4590542099192474E-2</v>
      </c>
      <c r="H27" s="22"/>
      <c r="I27" s="22">
        <v>8.9499999999999993</v>
      </c>
      <c r="J27" s="22">
        <f t="shared" si="2"/>
        <v>-1</v>
      </c>
      <c r="K27" s="25">
        <v>1238018</v>
      </c>
      <c r="L27" s="26">
        <v>12600000</v>
      </c>
      <c r="M27" s="24">
        <f t="shared" si="3"/>
        <v>11080261.1</v>
      </c>
      <c r="N27" s="24">
        <v>67783446</v>
      </c>
      <c r="O27" s="24">
        <f t="shared" si="5"/>
        <v>1.8264311908839807E-2</v>
      </c>
      <c r="P27" s="10">
        <v>78045.31</v>
      </c>
      <c r="Q27" s="9">
        <v>0.189</v>
      </c>
      <c r="R27" s="24">
        <f t="shared" si="6"/>
        <v>114900000</v>
      </c>
      <c r="S27" s="24">
        <f t="shared" si="7"/>
        <v>371000000</v>
      </c>
      <c r="T27" s="24">
        <f t="shared" si="8"/>
        <v>-16970000</v>
      </c>
      <c r="U27" s="24">
        <f t="shared" si="9"/>
        <v>9650000</v>
      </c>
      <c r="V27" s="24">
        <f t="shared" si="10"/>
        <v>10010000</v>
      </c>
      <c r="W27">
        <f t="shared" si="11"/>
        <v>1.1352274317977261E-8</v>
      </c>
      <c r="X27">
        <f t="shared" si="12"/>
        <v>8.7119234116623145E-2</v>
      </c>
      <c r="Y27" s="9"/>
      <c r="Z27">
        <f>'KSE 100'!J54</f>
        <v>-7.7676510812616406E-4</v>
      </c>
    </row>
    <row r="28" spans="1:32">
      <c r="A28" s="21">
        <v>45519</v>
      </c>
      <c r="B28" s="22">
        <v>7.95</v>
      </c>
      <c r="C28" s="23">
        <f t="shared" si="0"/>
        <v>0.11814345991561179</v>
      </c>
      <c r="D28" s="24">
        <f t="shared" si="1"/>
        <v>7.3849177535207547E-2</v>
      </c>
      <c r="E28" s="22">
        <v>8.11</v>
      </c>
      <c r="F28" s="22">
        <v>6.65</v>
      </c>
      <c r="G28" s="22">
        <f t="shared" si="4"/>
        <v>0.19783197831978308</v>
      </c>
      <c r="H28" s="22"/>
      <c r="I28" s="22">
        <v>8.11</v>
      </c>
      <c r="J28" s="22">
        <f t="shared" si="2"/>
        <v>-1</v>
      </c>
      <c r="K28" s="25">
        <v>2119541</v>
      </c>
      <c r="L28" s="26">
        <v>12600000</v>
      </c>
      <c r="M28" s="24">
        <f t="shared" si="3"/>
        <v>16850350.949999999</v>
      </c>
      <c r="N28" s="24">
        <v>67783446</v>
      </c>
      <c r="O28" s="24">
        <f t="shared" si="5"/>
        <v>3.126930135714847E-2</v>
      </c>
      <c r="P28" s="10">
        <v>78105.98</v>
      </c>
      <c r="Q28" s="9">
        <v>0.189</v>
      </c>
      <c r="R28" s="24">
        <f t="shared" si="6"/>
        <v>114900000</v>
      </c>
      <c r="S28" s="24">
        <f t="shared" si="7"/>
        <v>371000000</v>
      </c>
      <c r="T28" s="24">
        <f t="shared" si="8"/>
        <v>-16970000</v>
      </c>
      <c r="U28" s="24">
        <f t="shared" si="9"/>
        <v>9650000</v>
      </c>
      <c r="V28" s="24">
        <f t="shared" si="10"/>
        <v>10010000</v>
      </c>
      <c r="W28">
        <f t="shared" si="11"/>
        <v>7.0113352692877765E-9</v>
      </c>
      <c r="X28">
        <f t="shared" si="12"/>
        <v>8.7119234116623145E-2</v>
      </c>
      <c r="Y28" s="9"/>
      <c r="Z28">
        <f>'KSE 100'!J55</f>
        <v>2.9348686692497006E-3</v>
      </c>
    </row>
    <row r="29" spans="1:32">
      <c r="A29" s="21">
        <v>45517</v>
      </c>
      <c r="B29" s="22">
        <v>7.11</v>
      </c>
      <c r="C29" s="23">
        <f t="shared" si="0"/>
        <v>8.2191780821917804E-2</v>
      </c>
      <c r="D29" s="24">
        <f t="shared" si="1"/>
        <v>7.3849177535207547E-2</v>
      </c>
      <c r="E29" s="22">
        <v>7.25</v>
      </c>
      <c r="F29" s="22">
        <v>6.49</v>
      </c>
      <c r="G29" s="22">
        <f t="shared" si="4"/>
        <v>0.11062590975254727</v>
      </c>
      <c r="H29" s="22">
        <v>7.11</v>
      </c>
      <c r="I29" s="22">
        <v>7.1</v>
      </c>
      <c r="J29" s="22">
        <f t="shared" si="2"/>
        <v>1.4074595355384482E-3</v>
      </c>
      <c r="K29" s="25">
        <v>2305349</v>
      </c>
      <c r="L29" s="26">
        <v>12600000</v>
      </c>
      <c r="M29" s="24">
        <f t="shared" si="3"/>
        <v>16391031.390000001</v>
      </c>
      <c r="N29" s="24">
        <v>67783446</v>
      </c>
      <c r="O29" s="24">
        <f t="shared" si="5"/>
        <v>3.4010501620115333E-2</v>
      </c>
      <c r="P29" s="10">
        <v>77877.42</v>
      </c>
      <c r="Q29" s="9">
        <v>0.189</v>
      </c>
      <c r="R29" s="24">
        <f t="shared" si="6"/>
        <v>114900000</v>
      </c>
      <c r="S29" s="24">
        <f t="shared" si="7"/>
        <v>371000000</v>
      </c>
      <c r="T29" s="24">
        <f t="shared" si="8"/>
        <v>-16970000</v>
      </c>
      <c r="U29" s="24">
        <f t="shared" si="9"/>
        <v>9650000</v>
      </c>
      <c r="V29" s="24">
        <f t="shared" si="10"/>
        <v>10010000</v>
      </c>
      <c r="W29">
        <f t="shared" si="11"/>
        <v>5.0144361795354842E-9</v>
      </c>
      <c r="X29">
        <f t="shared" si="12"/>
        <v>8.7119234116623145E-2</v>
      </c>
      <c r="Y29" s="9"/>
      <c r="Z29">
        <f>'KSE 100'!J56</f>
        <v>-1.31917950035836E-3</v>
      </c>
    </row>
    <row r="30" spans="1:32">
      <c r="A30" s="21">
        <v>45516</v>
      </c>
      <c r="B30" s="22">
        <v>6.57</v>
      </c>
      <c r="C30" s="23">
        <f t="shared" si="0"/>
        <v>0.17953321364452424</v>
      </c>
      <c r="D30" s="24">
        <f t="shared" si="1"/>
        <v>7.3849177535207547E-2</v>
      </c>
      <c r="E30" s="22">
        <v>6.57</v>
      </c>
      <c r="F30" s="22">
        <v>5.62</v>
      </c>
      <c r="G30" s="22">
        <f t="shared" si="4"/>
        <v>0.15586546349466776</v>
      </c>
      <c r="H30" s="22"/>
      <c r="I30" s="22">
        <v>6.57</v>
      </c>
      <c r="J30" s="22">
        <f t="shared" si="2"/>
        <v>-1</v>
      </c>
      <c r="K30" s="25">
        <v>1526772</v>
      </c>
      <c r="L30" s="26">
        <v>12600000</v>
      </c>
      <c r="M30" s="24">
        <f t="shared" si="3"/>
        <v>10030892.040000001</v>
      </c>
      <c r="N30" s="24">
        <v>67783446</v>
      </c>
      <c r="O30" s="24">
        <f t="shared" si="5"/>
        <v>2.2524260569461163E-2</v>
      </c>
      <c r="P30" s="10">
        <v>77980.289999999994</v>
      </c>
      <c r="Q30" s="9">
        <v>0.189</v>
      </c>
      <c r="R30" s="24">
        <f t="shared" si="6"/>
        <v>114900000</v>
      </c>
      <c r="S30" s="24">
        <f t="shared" si="7"/>
        <v>371000000</v>
      </c>
      <c r="T30" s="24">
        <f t="shared" si="8"/>
        <v>-16970000</v>
      </c>
      <c r="U30" s="24">
        <f t="shared" si="9"/>
        <v>9650000</v>
      </c>
      <c r="V30" s="24">
        <f t="shared" si="10"/>
        <v>10010000</v>
      </c>
      <c r="W30">
        <f t="shared" si="11"/>
        <v>1.789803069643288E-8</v>
      </c>
      <c r="X30">
        <f t="shared" si="12"/>
        <v>8.7119234116623145E-2</v>
      </c>
      <c r="Y30" s="9"/>
      <c r="Z30">
        <f>'KSE 100'!J57</f>
        <v>-7.5003573265432595E-3</v>
      </c>
    </row>
    <row r="31" spans="1:32">
      <c r="A31" s="21">
        <v>45513</v>
      </c>
      <c r="B31" s="22">
        <v>5.57</v>
      </c>
      <c r="C31" s="23">
        <f t="shared" si="0"/>
        <v>-3.130434782608691E-2</v>
      </c>
      <c r="D31" s="24">
        <f t="shared" si="1"/>
        <v>7.3849177535207547E-2</v>
      </c>
      <c r="E31" s="22">
        <v>5.8</v>
      </c>
      <c r="F31" s="22">
        <v>5.35</v>
      </c>
      <c r="G31" s="22">
        <f t="shared" si="4"/>
        <v>8.0717488789237707E-2</v>
      </c>
      <c r="H31" s="22">
        <v>5.6</v>
      </c>
      <c r="I31" s="22">
        <v>5.58</v>
      </c>
      <c r="J31" s="22">
        <f t="shared" si="2"/>
        <v>3.5778175313058271E-3</v>
      </c>
      <c r="K31" s="25">
        <v>156411</v>
      </c>
      <c r="L31" s="26">
        <v>12600000</v>
      </c>
      <c r="M31" s="24">
        <f t="shared" si="3"/>
        <v>871209.27</v>
      </c>
      <c r="N31" s="24">
        <v>67783446</v>
      </c>
      <c r="O31" s="24">
        <f t="shared" si="5"/>
        <v>2.307510302736748E-3</v>
      </c>
      <c r="P31" s="10">
        <v>78569.59</v>
      </c>
      <c r="Q31" s="9">
        <v>0.189</v>
      </c>
      <c r="R31" s="24">
        <f t="shared" si="6"/>
        <v>114900000</v>
      </c>
      <c r="S31" s="24">
        <f t="shared" si="7"/>
        <v>371000000</v>
      </c>
      <c r="T31" s="24">
        <f t="shared" si="8"/>
        <v>-16970000</v>
      </c>
      <c r="U31" s="24">
        <f t="shared" si="9"/>
        <v>9650000</v>
      </c>
      <c r="V31" s="24">
        <f t="shared" si="10"/>
        <v>10010000</v>
      </c>
      <c r="W31">
        <f t="shared" si="11"/>
        <v>3.5932064664655035E-8</v>
      </c>
      <c r="X31">
        <f t="shared" si="12"/>
        <v>8.7119234116623145E-2</v>
      </c>
      <c r="Y31" s="9"/>
      <c r="Z31">
        <f>'KSE 100'!J58</f>
        <v>8.9293992286535902E-3</v>
      </c>
    </row>
    <row r="32" spans="1:32">
      <c r="A32" s="21">
        <v>45512</v>
      </c>
      <c r="B32" s="22">
        <v>5.75</v>
      </c>
      <c r="C32" s="23">
        <f t="shared" si="0"/>
        <v>-2.3769100169779234E-2</v>
      </c>
      <c r="D32" s="24">
        <f t="shared" si="1"/>
        <v>7.3849177535207547E-2</v>
      </c>
      <c r="E32" s="22">
        <v>6.02</v>
      </c>
      <c r="F32" s="22">
        <v>5.55</v>
      </c>
      <c r="G32" s="22">
        <f t="shared" si="4"/>
        <v>8.1244598098530643E-2</v>
      </c>
      <c r="H32" s="22">
        <v>5.7</v>
      </c>
      <c r="I32" s="22">
        <v>5.63</v>
      </c>
      <c r="J32" s="22">
        <f t="shared" si="2"/>
        <v>1.2356575463371629E-2</v>
      </c>
      <c r="K32" s="25">
        <v>115426</v>
      </c>
      <c r="L32" s="26">
        <v>12600000</v>
      </c>
      <c r="M32" s="24">
        <f t="shared" si="3"/>
        <v>663699.5</v>
      </c>
      <c r="N32" s="24">
        <v>67783446</v>
      </c>
      <c r="O32" s="24">
        <f t="shared" si="5"/>
        <v>1.7028641476858524E-3</v>
      </c>
      <c r="P32" s="10">
        <v>77874.22</v>
      </c>
      <c r="Q32" s="9">
        <v>0.189</v>
      </c>
      <c r="R32" s="24">
        <f t="shared" si="6"/>
        <v>114900000</v>
      </c>
      <c r="S32" s="24">
        <f t="shared" si="7"/>
        <v>371000000</v>
      </c>
      <c r="T32" s="24">
        <f t="shared" si="8"/>
        <v>-16970000</v>
      </c>
      <c r="U32" s="24">
        <f t="shared" si="9"/>
        <v>9650000</v>
      </c>
      <c r="V32" s="24">
        <f t="shared" si="10"/>
        <v>10010000</v>
      </c>
      <c r="W32">
        <f t="shared" si="11"/>
        <v>3.5813045165438931E-8</v>
      </c>
      <c r="X32">
        <f t="shared" si="12"/>
        <v>8.7119234116623145E-2</v>
      </c>
      <c r="Y32" s="9"/>
      <c r="Z32">
        <f>'KSE 100'!J59</f>
        <v>9.851974641860434E-3</v>
      </c>
    </row>
    <row r="33" spans="1:26">
      <c r="A33" s="21">
        <v>45511</v>
      </c>
      <c r="B33" s="22">
        <v>5.89</v>
      </c>
      <c r="C33" s="23">
        <f t="shared" si="0"/>
        <v>0</v>
      </c>
      <c r="D33" s="24">
        <f t="shared" si="1"/>
        <v>7.3849177535207547E-2</v>
      </c>
      <c r="E33" s="22">
        <v>6.3</v>
      </c>
      <c r="F33" s="22">
        <v>5.7</v>
      </c>
      <c r="G33" s="22">
        <f t="shared" si="4"/>
        <v>9.9999999999999936E-2</v>
      </c>
      <c r="H33" s="22">
        <v>5.9</v>
      </c>
      <c r="I33" s="22">
        <v>5.85</v>
      </c>
      <c r="J33" s="22">
        <f t="shared" si="2"/>
        <v>8.510638297872462E-3</v>
      </c>
      <c r="K33" s="25">
        <v>674351</v>
      </c>
      <c r="L33" s="26">
        <v>12600000</v>
      </c>
      <c r="M33" s="24">
        <f t="shared" si="3"/>
        <v>3971927.3899999997</v>
      </c>
      <c r="N33" s="24">
        <v>67783446</v>
      </c>
      <c r="O33" s="24">
        <f t="shared" si="5"/>
        <v>9.9486089863297898E-3</v>
      </c>
      <c r="P33" s="10">
        <v>77114.490000000005</v>
      </c>
      <c r="Q33" s="9">
        <v>0.189</v>
      </c>
      <c r="R33" s="24">
        <f t="shared" si="6"/>
        <v>114900000</v>
      </c>
      <c r="S33" s="24">
        <f t="shared" si="7"/>
        <v>371000000</v>
      </c>
      <c r="T33" s="24">
        <f t="shared" si="8"/>
        <v>-16970000</v>
      </c>
      <c r="U33" s="24">
        <f t="shared" si="9"/>
        <v>9650000</v>
      </c>
      <c r="V33" s="24">
        <f t="shared" si="10"/>
        <v>10010000</v>
      </c>
      <c r="W33">
        <f t="shared" si="11"/>
        <v>0</v>
      </c>
      <c r="X33">
        <f t="shared" si="12"/>
        <v>8.7119234116623145E-2</v>
      </c>
      <c r="Y33" s="9"/>
      <c r="Z33">
        <f>'KSE 100'!J60</f>
        <v>-9.9557800136647443E-4</v>
      </c>
    </row>
    <row r="34" spans="1:26">
      <c r="A34" s="21">
        <v>45510</v>
      </c>
      <c r="B34" s="22">
        <v>5.89</v>
      </c>
      <c r="C34" s="23">
        <f t="shared" si="0"/>
        <v>0.19715447154471541</v>
      </c>
      <c r="D34" s="24">
        <f t="shared" si="1"/>
        <v>7.3849177535207547E-2</v>
      </c>
      <c r="E34" s="22">
        <v>5.92</v>
      </c>
      <c r="F34" s="22">
        <v>4.76</v>
      </c>
      <c r="G34" s="22">
        <f t="shared" si="4"/>
        <v>0.21722846441947569</v>
      </c>
      <c r="H34" s="22"/>
      <c r="I34" s="22">
        <v>5.92</v>
      </c>
      <c r="J34" s="22">
        <f t="shared" si="2"/>
        <v>-1</v>
      </c>
      <c r="K34" s="25">
        <v>932958</v>
      </c>
      <c r="L34" s="26">
        <v>12600000</v>
      </c>
      <c r="M34" s="24">
        <f t="shared" si="3"/>
        <v>5495122.6200000001</v>
      </c>
      <c r="N34" s="24">
        <v>67783446</v>
      </c>
      <c r="O34" s="24">
        <f t="shared" si="5"/>
        <v>1.3763803038281648E-2</v>
      </c>
      <c r="P34" s="10">
        <v>77191.34</v>
      </c>
      <c r="Q34" s="9">
        <v>0.19489999999999999</v>
      </c>
      <c r="R34" s="24">
        <f t="shared" si="6"/>
        <v>114900000</v>
      </c>
      <c r="S34" s="24">
        <f t="shared" si="7"/>
        <v>371000000</v>
      </c>
      <c r="T34" s="24">
        <f t="shared" si="8"/>
        <v>-16970000</v>
      </c>
      <c r="U34" s="24">
        <f t="shared" si="9"/>
        <v>9650000</v>
      </c>
      <c r="V34" s="24">
        <f t="shared" si="10"/>
        <v>10010000</v>
      </c>
      <c r="W34">
        <f t="shared" si="11"/>
        <v>3.5878084108105927E-8</v>
      </c>
      <c r="X34">
        <f t="shared" si="12"/>
        <v>8.7119234116623145E-2</v>
      </c>
      <c r="Y34" s="9"/>
      <c r="Z34">
        <f>'KSE 100'!J61</f>
        <v>1.3861413625490678E-3</v>
      </c>
    </row>
    <row r="35" spans="1:26">
      <c r="A35" s="21">
        <v>45509</v>
      </c>
      <c r="B35" s="22">
        <v>4.92</v>
      </c>
      <c r="C35" s="23">
        <f t="shared" si="0"/>
        <v>0.12072892938496589</v>
      </c>
      <c r="D35" s="24">
        <f t="shared" si="1"/>
        <v>7.3849177535207547E-2</v>
      </c>
      <c r="E35" s="22">
        <v>5.29</v>
      </c>
      <c r="F35" s="22">
        <v>4.6100000000000003</v>
      </c>
      <c r="G35" s="22">
        <f t="shared" si="4"/>
        <v>0.13737373737373731</v>
      </c>
      <c r="H35" s="22">
        <v>5</v>
      </c>
      <c r="I35" s="22">
        <v>4.83</v>
      </c>
      <c r="J35" s="22">
        <f t="shared" si="2"/>
        <v>3.4587995930823991E-2</v>
      </c>
      <c r="K35" s="25">
        <v>215785</v>
      </c>
      <c r="L35" s="26">
        <v>12600000</v>
      </c>
      <c r="M35" s="24">
        <f t="shared" si="3"/>
        <v>1061662.2</v>
      </c>
      <c r="N35" s="24">
        <v>67783446</v>
      </c>
      <c r="O35" s="24">
        <f t="shared" si="5"/>
        <v>3.183446884656764E-3</v>
      </c>
      <c r="P35" s="10">
        <v>77084.490000000005</v>
      </c>
      <c r="Q35" s="9">
        <v>0.19489999999999999</v>
      </c>
      <c r="R35" s="24">
        <f t="shared" si="6"/>
        <v>114900000</v>
      </c>
      <c r="S35" s="24">
        <f t="shared" si="7"/>
        <v>371000000</v>
      </c>
      <c r="T35" s="24">
        <f t="shared" si="8"/>
        <v>-16970000</v>
      </c>
      <c r="U35" s="24">
        <f t="shared" si="9"/>
        <v>9650000</v>
      </c>
      <c r="V35" s="24">
        <f t="shared" si="10"/>
        <v>10010000</v>
      </c>
      <c r="W35">
        <f t="shared" si="11"/>
        <v>1.1371689543525794E-7</v>
      </c>
      <c r="X35">
        <f t="shared" si="12"/>
        <v>8.7119234116623145E-2</v>
      </c>
      <c r="Y35" s="9"/>
      <c r="Z35">
        <f>'KSE 100'!J62</f>
        <v>-1.4592210925321742E-2</v>
      </c>
    </row>
    <row r="36" spans="1:26">
      <c r="A36" s="21">
        <v>45506</v>
      </c>
      <c r="B36" s="22">
        <v>4.3899999999999997</v>
      </c>
      <c r="C36" s="23">
        <f t="shared" si="0"/>
        <v>-0.10408163265306135</v>
      </c>
      <c r="D36" s="24">
        <f t="shared" si="1"/>
        <v>7.3849177535207547E-2</v>
      </c>
      <c r="E36" s="22">
        <v>5.03</v>
      </c>
      <c r="F36" s="22">
        <v>4.1100000000000003</v>
      </c>
      <c r="G36" s="22">
        <f t="shared" si="4"/>
        <v>0.20131291028446388</v>
      </c>
      <c r="H36" s="22">
        <v>4.82</v>
      </c>
      <c r="I36" s="22">
        <v>4.71</v>
      </c>
      <c r="J36" s="22">
        <f t="shared" si="2"/>
        <v>2.3084994753410349E-2</v>
      </c>
      <c r="K36" s="25">
        <v>148500</v>
      </c>
      <c r="L36" s="26">
        <v>12600000</v>
      </c>
      <c r="M36" s="24">
        <f t="shared" si="3"/>
        <v>651915</v>
      </c>
      <c r="N36" s="24">
        <v>67783446</v>
      </c>
      <c r="O36" s="24">
        <f t="shared" si="5"/>
        <v>2.1908003909981207E-3</v>
      </c>
      <c r="P36" s="10">
        <v>78225.98</v>
      </c>
      <c r="Q36" s="9">
        <v>0.19489999999999999</v>
      </c>
      <c r="R36" s="24">
        <f t="shared" si="6"/>
        <v>114900000</v>
      </c>
      <c r="S36" s="24">
        <f t="shared" si="7"/>
        <v>371000000</v>
      </c>
      <c r="T36" s="24">
        <f t="shared" si="8"/>
        <v>-16970000</v>
      </c>
      <c r="U36" s="24">
        <f t="shared" si="9"/>
        <v>9650000</v>
      </c>
      <c r="V36" s="24">
        <f t="shared" si="10"/>
        <v>10010000</v>
      </c>
      <c r="W36">
        <f t="shared" si="11"/>
        <v>1.5965521985697728E-7</v>
      </c>
      <c r="X36">
        <f t="shared" si="12"/>
        <v>8.7119234116623145E-2</v>
      </c>
      <c r="Y36" s="9"/>
      <c r="Z36">
        <f>'KSE 100'!J63</f>
        <v>6.2473380926831917E-3</v>
      </c>
    </row>
    <row r="37" spans="1:26">
      <c r="A37" s="21">
        <v>45505</v>
      </c>
      <c r="B37" s="22">
        <v>4.9000000000000004</v>
      </c>
      <c r="C37" s="23">
        <f t="shared" si="0"/>
        <v>-8.097165991902841E-3</v>
      </c>
      <c r="D37" s="24">
        <f t="shared" si="1"/>
        <v>7.3849177535207547E-2</v>
      </c>
      <c r="E37" s="22">
        <v>5.07</v>
      </c>
      <c r="F37" s="22">
        <v>4.8499999999999996</v>
      </c>
      <c r="G37" s="22">
        <f t="shared" si="4"/>
        <v>4.4354838709677546E-2</v>
      </c>
      <c r="H37" s="22">
        <v>4.99</v>
      </c>
      <c r="I37" s="22">
        <v>4.8499999999999996</v>
      </c>
      <c r="J37" s="22">
        <f t="shared" si="2"/>
        <v>2.8455284552845645E-2</v>
      </c>
      <c r="K37" s="25">
        <v>25499</v>
      </c>
      <c r="L37" s="26">
        <v>12600000</v>
      </c>
      <c r="M37" s="24">
        <f t="shared" si="3"/>
        <v>124945.1</v>
      </c>
      <c r="N37" s="24">
        <v>67783446</v>
      </c>
      <c r="O37" s="24">
        <f t="shared" si="5"/>
        <v>3.761832940744854E-4</v>
      </c>
      <c r="P37" s="10">
        <v>77740.31</v>
      </c>
      <c r="Q37" s="9">
        <v>0.19489999999999999</v>
      </c>
      <c r="R37" s="24">
        <f t="shared" si="6"/>
        <v>114900000</v>
      </c>
      <c r="S37" s="24">
        <f t="shared" si="7"/>
        <v>371000000</v>
      </c>
      <c r="T37" s="24">
        <f t="shared" si="8"/>
        <v>-16970000</v>
      </c>
      <c r="U37" s="24">
        <f t="shared" si="9"/>
        <v>9650000</v>
      </c>
      <c r="V37" s="24">
        <f t="shared" si="10"/>
        <v>10010000</v>
      </c>
      <c r="W37">
        <f t="shared" si="11"/>
        <v>6.4805790638471145E-8</v>
      </c>
      <c r="X37">
        <f t="shared" si="12"/>
        <v>8.7119234116623145E-2</v>
      </c>
      <c r="Y37" s="9"/>
      <c r="Z37">
        <f>'KSE 100'!J64</f>
        <v>-1.8832413474959039E-3</v>
      </c>
    </row>
    <row r="38" spans="1:26">
      <c r="A38" s="21">
        <v>45504</v>
      </c>
      <c r="B38" s="22">
        <v>4.9400000000000004</v>
      </c>
      <c r="C38" s="23">
        <f t="shared" si="0"/>
        <v>1.2295081967213217E-2</v>
      </c>
      <c r="D38" s="24">
        <f t="shared" si="1"/>
        <v>7.3849177535207547E-2</v>
      </c>
      <c r="E38" s="22">
        <v>5.12</v>
      </c>
      <c r="F38" s="22">
        <v>4.9000000000000004</v>
      </c>
      <c r="G38" s="22">
        <f t="shared" si="4"/>
        <v>4.3912175648702548E-2</v>
      </c>
      <c r="H38" s="22">
        <v>4.99</v>
      </c>
      <c r="I38" s="22">
        <v>4.93</v>
      </c>
      <c r="J38" s="22">
        <f t="shared" si="2"/>
        <v>1.2096774193548487E-2</v>
      </c>
      <c r="K38" s="25">
        <v>17389</v>
      </c>
      <c r="L38" s="26">
        <v>12600000</v>
      </c>
      <c r="M38" s="24">
        <f t="shared" si="3"/>
        <v>85901.66</v>
      </c>
      <c r="N38" s="24">
        <v>67783446</v>
      </c>
      <c r="O38" s="24">
        <f t="shared" si="5"/>
        <v>2.5653756228327489E-4</v>
      </c>
      <c r="P38" s="10">
        <v>77886.990000000005</v>
      </c>
      <c r="Q38" s="9">
        <v>0.19489999999999999</v>
      </c>
      <c r="R38" s="24">
        <f t="shared" si="6"/>
        <v>114900000</v>
      </c>
      <c r="S38" s="24">
        <f t="shared" si="7"/>
        <v>371000000</v>
      </c>
      <c r="T38" s="24">
        <f t="shared" si="8"/>
        <v>-16970000</v>
      </c>
      <c r="U38" s="24">
        <f t="shared" si="9"/>
        <v>9650000</v>
      </c>
      <c r="V38" s="24">
        <f t="shared" si="10"/>
        <v>10010000</v>
      </c>
      <c r="W38">
        <f t="shared" si="11"/>
        <v>1.431297365756752E-7</v>
      </c>
      <c r="X38">
        <f t="shared" si="12"/>
        <v>8.7119234116623145E-2</v>
      </c>
      <c r="Y38" s="9"/>
      <c r="Z38">
        <f>'KSE 100'!J65</f>
        <v>-9.4344553860092762E-3</v>
      </c>
    </row>
    <row r="39" spans="1:26">
      <c r="A39" s="21">
        <v>45503</v>
      </c>
      <c r="B39" s="22">
        <v>4.88</v>
      </c>
      <c r="C39" s="23">
        <f t="shared" si="0"/>
        <v>4.1152263374484715E-3</v>
      </c>
      <c r="D39" s="24">
        <f t="shared" si="1"/>
        <v>7.3849177535207547E-2</v>
      </c>
      <c r="E39" s="22">
        <v>5.14</v>
      </c>
      <c r="F39" s="22">
        <v>4.8499999999999996</v>
      </c>
      <c r="G39" s="22">
        <f t="shared" si="4"/>
        <v>5.8058058058058075E-2</v>
      </c>
      <c r="H39" s="22">
        <v>4.9400000000000004</v>
      </c>
      <c r="I39" s="22">
        <v>4.82</v>
      </c>
      <c r="J39" s="22">
        <f t="shared" si="2"/>
        <v>2.4590163934426246E-2</v>
      </c>
      <c r="K39" s="25">
        <v>20716</v>
      </c>
      <c r="L39" s="26">
        <v>12600000</v>
      </c>
      <c r="M39" s="24">
        <f t="shared" si="3"/>
        <v>101094.08</v>
      </c>
      <c r="N39" s="24">
        <v>67783446</v>
      </c>
      <c r="O39" s="24">
        <f t="shared" si="5"/>
        <v>3.056203427603843E-4</v>
      </c>
      <c r="P39" s="10">
        <v>78628.81</v>
      </c>
      <c r="Q39" s="9">
        <v>0.19489999999999999</v>
      </c>
      <c r="R39" s="24">
        <f t="shared" si="6"/>
        <v>114900000</v>
      </c>
      <c r="S39" s="24">
        <f t="shared" si="7"/>
        <v>371000000</v>
      </c>
      <c r="T39" s="24">
        <f t="shared" si="8"/>
        <v>-16970000</v>
      </c>
      <c r="U39" s="24">
        <f t="shared" si="9"/>
        <v>9650000</v>
      </c>
      <c r="V39" s="24">
        <f t="shared" si="10"/>
        <v>10010000</v>
      </c>
      <c r="W39">
        <f t="shared" si="11"/>
        <v>4.070689735193665E-8</v>
      </c>
      <c r="X39">
        <f t="shared" si="12"/>
        <v>8.7119234116623145E-2</v>
      </c>
      <c r="Y39" s="9"/>
      <c r="Z39">
        <f>'KSE 100'!J66</f>
        <v>-2.5236040003176548E-3</v>
      </c>
    </row>
    <row r="40" spans="1:26">
      <c r="A40" s="21">
        <v>45502</v>
      </c>
      <c r="B40" s="22">
        <v>4.8600000000000003</v>
      </c>
      <c r="C40" s="23">
        <f t="shared" si="0"/>
        <v>6.2111801242236541E-3</v>
      </c>
      <c r="D40" s="24">
        <f t="shared" si="1"/>
        <v>7.3849177535207547E-2</v>
      </c>
      <c r="E40" s="22">
        <v>5.18</v>
      </c>
      <c r="F40" s="22">
        <v>4.75</v>
      </c>
      <c r="G40" s="22">
        <f t="shared" si="4"/>
        <v>8.6606243705941541E-2</v>
      </c>
      <c r="H40" s="22">
        <v>4.9000000000000004</v>
      </c>
      <c r="I40" s="22">
        <v>4.8099999999999996</v>
      </c>
      <c r="J40" s="22">
        <f t="shared" si="2"/>
        <v>1.8537590113285426E-2</v>
      </c>
      <c r="K40" s="25">
        <v>126086</v>
      </c>
      <c r="L40" s="26">
        <v>12600000</v>
      </c>
      <c r="M40" s="24">
        <f t="shared" si="3"/>
        <v>612777.96000000008</v>
      </c>
      <c r="N40" s="24">
        <v>67783446</v>
      </c>
      <c r="O40" s="24">
        <f t="shared" si="5"/>
        <v>1.86012968417097E-3</v>
      </c>
      <c r="P40" s="10">
        <v>78827.740000000005</v>
      </c>
      <c r="Q40" s="9">
        <v>0.19489999999999999</v>
      </c>
      <c r="R40" s="24">
        <f t="shared" si="6"/>
        <v>114900000</v>
      </c>
      <c r="S40" s="24">
        <f t="shared" si="7"/>
        <v>371000000</v>
      </c>
      <c r="T40" s="24">
        <f t="shared" si="8"/>
        <v>-16970000</v>
      </c>
      <c r="U40" s="24">
        <f t="shared" si="9"/>
        <v>9650000</v>
      </c>
      <c r="V40" s="24">
        <f t="shared" si="10"/>
        <v>10010000</v>
      </c>
      <c r="W40">
        <f t="shared" si="11"/>
        <v>1.0136102356265643E-8</v>
      </c>
      <c r="X40">
        <f t="shared" si="12"/>
        <v>8.7119234116623145E-2</v>
      </c>
      <c r="Y40" s="9"/>
      <c r="Z40">
        <f>'KSE 100'!J67</f>
        <v>1.0229847656354629E-2</v>
      </c>
    </row>
    <row r="41" spans="1:26">
      <c r="A41" s="21">
        <v>45499</v>
      </c>
      <c r="B41" s="22">
        <v>4.83</v>
      </c>
      <c r="C41" s="23">
        <f t="shared" si="0"/>
        <v>-2.816901408450698E-2</v>
      </c>
      <c r="D41" s="24">
        <f t="shared" si="1"/>
        <v>7.3849177535207547E-2</v>
      </c>
      <c r="E41" s="22">
        <v>5.47</v>
      </c>
      <c r="F41" s="22">
        <v>4.76</v>
      </c>
      <c r="G41" s="22">
        <f t="shared" si="4"/>
        <v>0.13880742913000976</v>
      </c>
      <c r="H41" s="22">
        <v>4.95</v>
      </c>
      <c r="I41" s="22">
        <v>4.8</v>
      </c>
      <c r="J41" s="22">
        <f t="shared" si="2"/>
        <v>3.0769230769230844E-2</v>
      </c>
      <c r="K41" s="25">
        <v>172854</v>
      </c>
      <c r="L41" s="26">
        <v>12600000</v>
      </c>
      <c r="M41" s="24">
        <f t="shared" si="3"/>
        <v>834884.82000000007</v>
      </c>
      <c r="N41" s="24">
        <v>67783446</v>
      </c>
      <c r="O41" s="24">
        <f t="shared" si="5"/>
        <v>2.5500916551218127E-3</v>
      </c>
      <c r="P41" s="10">
        <v>78029.509999999995</v>
      </c>
      <c r="Q41" s="9">
        <v>0.19489999999999999</v>
      </c>
      <c r="R41" s="24">
        <f t="shared" si="6"/>
        <v>114900000</v>
      </c>
      <c r="S41" s="24">
        <f t="shared" si="7"/>
        <v>371000000</v>
      </c>
      <c r="T41" s="24">
        <f t="shared" si="8"/>
        <v>-16970000</v>
      </c>
      <c r="U41" s="24">
        <f t="shared" si="9"/>
        <v>9650000</v>
      </c>
      <c r="V41" s="24">
        <f t="shared" si="10"/>
        <v>10010000</v>
      </c>
      <c r="W41">
        <f t="shared" si="11"/>
        <v>3.3740000308673692E-8</v>
      </c>
      <c r="X41">
        <f t="shared" si="12"/>
        <v>8.7119234116623145E-2</v>
      </c>
      <c r="Y41" s="9"/>
      <c r="Z41">
        <f>'KSE 100'!J68</f>
        <v>-5.604992421879988E-3</v>
      </c>
    </row>
    <row r="42" spans="1:26">
      <c r="A42" s="21">
        <v>45498</v>
      </c>
      <c r="B42" s="22">
        <v>4.97</v>
      </c>
      <c r="C42" s="23">
        <f t="shared" si="0"/>
        <v>2.2633744855966961E-2</v>
      </c>
      <c r="D42" s="24">
        <f t="shared" si="1"/>
        <v>7.3849177535207547E-2</v>
      </c>
      <c r="E42" s="22">
        <v>5.0999999999999996</v>
      </c>
      <c r="F42" s="22">
        <v>4.8099999999999996</v>
      </c>
      <c r="G42" s="22">
        <f t="shared" si="4"/>
        <v>5.8526740665993955E-2</v>
      </c>
      <c r="H42" s="22">
        <v>5</v>
      </c>
      <c r="I42" s="22">
        <v>4.95</v>
      </c>
      <c r="J42" s="22">
        <f t="shared" si="2"/>
        <v>1.0050251256281372E-2</v>
      </c>
      <c r="K42" s="25">
        <v>105118</v>
      </c>
      <c r="L42" s="26">
        <v>12600000</v>
      </c>
      <c r="M42" s="24">
        <f t="shared" si="3"/>
        <v>522436.45999999996</v>
      </c>
      <c r="N42" s="24">
        <v>67783446</v>
      </c>
      <c r="O42" s="24">
        <f t="shared" si="5"/>
        <v>1.5507916195349526E-3</v>
      </c>
      <c r="P42" s="10">
        <v>78469.33</v>
      </c>
      <c r="Q42" s="9">
        <v>0.19489999999999999</v>
      </c>
      <c r="R42" s="24">
        <f t="shared" si="6"/>
        <v>114900000</v>
      </c>
      <c r="S42" s="24">
        <f t="shared" si="7"/>
        <v>371000000</v>
      </c>
      <c r="T42" s="24">
        <f t="shared" si="8"/>
        <v>-16970000</v>
      </c>
      <c r="U42" s="24">
        <f t="shared" si="9"/>
        <v>9650000</v>
      </c>
      <c r="V42" s="24">
        <f t="shared" si="10"/>
        <v>10010000</v>
      </c>
      <c r="W42">
        <f t="shared" si="11"/>
        <v>4.3323440435162129E-8</v>
      </c>
      <c r="X42">
        <f t="shared" si="12"/>
        <v>8.7119234116623145E-2</v>
      </c>
      <c r="Y42" s="9"/>
      <c r="Z42">
        <f>'KSE 100'!J69</f>
        <v>-1.168406719598131E-2</v>
      </c>
    </row>
    <row r="43" spans="1:26">
      <c r="A43" s="21">
        <v>45497</v>
      </c>
      <c r="B43" s="22">
        <v>4.8600000000000003</v>
      </c>
      <c r="C43" s="23">
        <f t="shared" si="0"/>
        <v>1.2500000000000105E-2</v>
      </c>
      <c r="D43" s="24">
        <f t="shared" si="1"/>
        <v>7.3849177535207547E-2</v>
      </c>
      <c r="E43" s="22">
        <v>4.99</v>
      </c>
      <c r="F43" s="22">
        <v>4.8499999999999996</v>
      </c>
      <c r="G43" s="22">
        <f t="shared" si="4"/>
        <v>2.8455284552845645E-2</v>
      </c>
      <c r="H43" s="22">
        <v>4.8499999999999996</v>
      </c>
      <c r="I43" s="22">
        <v>4.8099999999999996</v>
      </c>
      <c r="J43" s="22">
        <f t="shared" si="2"/>
        <v>8.2815734989648108E-3</v>
      </c>
      <c r="K43" s="25">
        <v>62965</v>
      </c>
      <c r="L43" s="26">
        <v>12600000</v>
      </c>
      <c r="M43" s="24">
        <f t="shared" si="3"/>
        <v>306009.90000000002</v>
      </c>
      <c r="N43" s="24">
        <v>67783446</v>
      </c>
      <c r="O43" s="24">
        <f t="shared" si="5"/>
        <v>9.2891411864778905E-4</v>
      </c>
      <c r="P43" s="10">
        <v>79397.009999999995</v>
      </c>
      <c r="Q43" s="9">
        <v>0.19489999999999999</v>
      </c>
      <c r="R43" s="24">
        <f t="shared" si="6"/>
        <v>114900000</v>
      </c>
      <c r="S43" s="24">
        <f t="shared" si="7"/>
        <v>371000000</v>
      </c>
      <c r="T43" s="24">
        <f t="shared" si="8"/>
        <v>-16970000</v>
      </c>
      <c r="U43" s="24">
        <f t="shared" si="9"/>
        <v>9650000</v>
      </c>
      <c r="V43" s="24">
        <f t="shared" si="10"/>
        <v>10010000</v>
      </c>
      <c r="W43">
        <f t="shared" si="11"/>
        <v>4.0848351638297009E-8</v>
      </c>
      <c r="X43">
        <f t="shared" si="12"/>
        <v>8.7119234116623145E-2</v>
      </c>
      <c r="Y43" s="9"/>
      <c r="Z43">
        <f>'KSE 100'!J70</f>
        <v>5.1897088498892669E-3</v>
      </c>
    </row>
    <row r="44" spans="1:26">
      <c r="A44" s="21">
        <v>45496</v>
      </c>
      <c r="B44" s="22">
        <v>4.8</v>
      </c>
      <c r="C44" s="23">
        <f t="shared" si="0"/>
        <v>-7.8694817658349361E-2</v>
      </c>
      <c r="D44" s="24">
        <f t="shared" si="1"/>
        <v>7.3849177535207547E-2</v>
      </c>
      <c r="E44" s="22">
        <v>5.35</v>
      </c>
      <c r="F44" s="22">
        <v>4.71</v>
      </c>
      <c r="G44" s="22">
        <f t="shared" si="4"/>
        <v>0.12723658051689857</v>
      </c>
      <c r="H44" s="22">
        <v>4.8499999999999996</v>
      </c>
      <c r="I44" s="22">
        <v>4.75</v>
      </c>
      <c r="J44" s="22">
        <f t="shared" si="2"/>
        <v>2.0833333333333259E-2</v>
      </c>
      <c r="K44" s="25">
        <v>294648</v>
      </c>
      <c r="L44" s="26">
        <v>12600000</v>
      </c>
      <c r="M44" s="24">
        <f t="shared" si="3"/>
        <v>1414310.4</v>
      </c>
      <c r="N44" s="24">
        <v>67783446</v>
      </c>
      <c r="O44" s="24">
        <f t="shared" si="5"/>
        <v>4.3469020444903321E-3</v>
      </c>
      <c r="P44" s="10">
        <v>78987.09</v>
      </c>
      <c r="Q44" s="9">
        <v>0.19489999999999999</v>
      </c>
      <c r="R44" s="24">
        <f t="shared" si="6"/>
        <v>114900000</v>
      </c>
      <c r="S44" s="24">
        <f t="shared" si="7"/>
        <v>371000000</v>
      </c>
      <c r="T44" s="24">
        <f t="shared" si="8"/>
        <v>-16970000</v>
      </c>
      <c r="U44" s="24">
        <f t="shared" si="9"/>
        <v>9650000</v>
      </c>
      <c r="V44" s="24">
        <f t="shared" si="10"/>
        <v>10010000</v>
      </c>
      <c r="W44">
        <f t="shared" si="11"/>
        <v>5.5641829161653172E-8</v>
      </c>
      <c r="X44">
        <f t="shared" si="12"/>
        <v>8.7119234116623145E-2</v>
      </c>
      <c r="Y44" s="9"/>
      <c r="Z44">
        <f>'KSE 100'!J71</f>
        <v>5.7028854002695974E-3</v>
      </c>
    </row>
    <row r="45" spans="1:26" ht="15" thickBot="1">
      <c r="A45" s="21">
        <v>45495</v>
      </c>
      <c r="B45" s="22">
        <v>5.21</v>
      </c>
      <c r="C45" s="23">
        <f>IFERROR((B45-#REF!)/#REF!,0)</f>
        <v>0</v>
      </c>
      <c r="D45" s="24">
        <f t="shared" si="1"/>
        <v>7.3849177535207547E-2</v>
      </c>
      <c r="E45" s="22">
        <v>5.41</v>
      </c>
      <c r="F45" s="22">
        <v>5.19</v>
      </c>
      <c r="G45" s="22">
        <f t="shared" si="4"/>
        <v>4.15094339622641E-2</v>
      </c>
      <c r="H45" s="22">
        <v>5.21</v>
      </c>
      <c r="I45" s="22">
        <v>5.19</v>
      </c>
      <c r="J45" s="22">
        <f t="shared" si="2"/>
        <v>3.846153846153764E-3</v>
      </c>
      <c r="K45" s="25">
        <v>62755</v>
      </c>
      <c r="L45" s="26">
        <v>12600000</v>
      </c>
      <c r="M45" s="24">
        <f t="shared" si="3"/>
        <v>326953.55</v>
      </c>
      <c r="N45" s="24">
        <v>67783446</v>
      </c>
      <c r="O45" s="24">
        <f t="shared" si="5"/>
        <v>9.2581601708476133E-4</v>
      </c>
      <c r="P45" s="10">
        <v>78539.19</v>
      </c>
      <c r="Q45" s="9">
        <v>0.19489999999999999</v>
      </c>
      <c r="R45" s="24">
        <f t="shared" si="6"/>
        <v>114900000</v>
      </c>
      <c r="S45" s="24">
        <f t="shared" si="7"/>
        <v>371000000</v>
      </c>
      <c r="T45" s="24">
        <f t="shared" si="8"/>
        <v>-16970000</v>
      </c>
      <c r="U45" s="24">
        <f t="shared" si="9"/>
        <v>9650000</v>
      </c>
      <c r="V45" s="24">
        <f t="shared" si="10"/>
        <v>10010000</v>
      </c>
      <c r="W45">
        <f t="shared" si="11"/>
        <v>0</v>
      </c>
      <c r="X45">
        <f t="shared" si="12"/>
        <v>8.7119234116623145E-2</v>
      </c>
      <c r="Y45" s="9"/>
      <c r="Z45">
        <f>'KSE 100'!J72</f>
        <v>0</v>
      </c>
    </row>
    <row r="46" spans="1:26" ht="16" thickBot="1">
      <c r="A46" s="184" t="s">
        <v>24</v>
      </c>
      <c r="B46" s="185"/>
      <c r="C46" s="185"/>
      <c r="D46" s="185"/>
      <c r="E46" s="185"/>
      <c r="F46" s="185"/>
      <c r="G46" s="185"/>
      <c r="H46" s="185"/>
      <c r="I46" s="185"/>
      <c r="J46" s="185"/>
      <c r="K46" s="185"/>
      <c r="L46" s="185"/>
      <c r="M46" s="185"/>
      <c r="N46" s="185"/>
      <c r="O46" s="185"/>
      <c r="P46" s="185"/>
      <c r="Q46" s="185"/>
      <c r="R46" s="185"/>
      <c r="S46" s="185"/>
      <c r="T46" s="185"/>
      <c r="U46" s="185"/>
      <c r="V46" s="185"/>
      <c r="W46" s="185"/>
      <c r="X46" s="186"/>
      <c r="Y46" s="9"/>
    </row>
    <row r="47" spans="1:26" ht="43.5">
      <c r="A47" s="1" t="s">
        <v>14</v>
      </c>
      <c r="B47" s="2" t="s">
        <v>15</v>
      </c>
      <c r="C47" s="4" t="s">
        <v>16</v>
      </c>
      <c r="D47" s="4" t="s">
        <v>17</v>
      </c>
      <c r="E47" s="1" t="s">
        <v>0</v>
      </c>
      <c r="F47" s="1" t="s">
        <v>13</v>
      </c>
      <c r="G47" s="7" t="s">
        <v>18</v>
      </c>
      <c r="H47" s="1" t="s">
        <v>12</v>
      </c>
      <c r="I47" s="1" t="s">
        <v>1</v>
      </c>
      <c r="J47" s="7" t="s">
        <v>19</v>
      </c>
      <c r="K47" s="2" t="s">
        <v>2</v>
      </c>
      <c r="L47" s="2" t="s">
        <v>3</v>
      </c>
      <c r="M47" s="7" t="s">
        <v>20</v>
      </c>
      <c r="N47" s="2" t="s">
        <v>4</v>
      </c>
      <c r="O47" s="7" t="s">
        <v>21</v>
      </c>
      <c r="P47" s="2" t="s">
        <v>5</v>
      </c>
      <c r="Q47" s="2" t="s">
        <v>6</v>
      </c>
      <c r="R47" s="2" t="s">
        <v>7</v>
      </c>
      <c r="S47" s="2" t="s">
        <v>8</v>
      </c>
      <c r="T47" s="2" t="s">
        <v>9</v>
      </c>
      <c r="U47" s="2" t="s">
        <v>10</v>
      </c>
      <c r="V47" s="2" t="s">
        <v>11</v>
      </c>
      <c r="W47" s="7" t="s">
        <v>73</v>
      </c>
      <c r="X47" s="7" t="s">
        <v>72</v>
      </c>
      <c r="Y47" s="9"/>
    </row>
    <row r="48" spans="1:26">
      <c r="A48" s="21">
        <v>45555</v>
      </c>
      <c r="B48" s="28">
        <v>31.86</v>
      </c>
      <c r="C48" s="29">
        <f>IFERROR((B48-B49)/B49,0)</f>
        <v>-6.2735257214553241E-4</v>
      </c>
      <c r="D48" s="24">
        <f>_xlfn.STDEV.S($C$48:$C$90)</f>
        <v>1.8491781919715032E-2</v>
      </c>
      <c r="E48" s="28">
        <v>31.98</v>
      </c>
      <c r="F48" s="28">
        <v>31.55</v>
      </c>
      <c r="G48" s="22">
        <f t="shared" ref="G48:G90" si="14">(E48-F48)/AVERAGE(E48:F48)</f>
        <v>1.3536911695262072E-2</v>
      </c>
      <c r="H48" s="28">
        <v>31.84</v>
      </c>
      <c r="I48" s="28">
        <v>31.81</v>
      </c>
      <c r="J48" s="24">
        <f t="shared" ref="J48:J90" si="15">(H48-I48)/((H48+I48)/2)</f>
        <v>9.4265514532603726E-4</v>
      </c>
      <c r="K48" s="25">
        <v>365492</v>
      </c>
      <c r="L48" s="24">
        <f>880.3*1000000</f>
        <v>880300000</v>
      </c>
      <c r="M48" s="24">
        <f t="shared" ref="M48" si="16">K48*B48</f>
        <v>11644575.119999999</v>
      </c>
      <c r="N48" s="24">
        <f>456.36*1000000</f>
        <v>456360000</v>
      </c>
      <c r="O48" s="24">
        <f t="shared" ref="O48" si="17">K48/N48</f>
        <v>8.0088526601805588E-4</v>
      </c>
      <c r="P48" s="10">
        <v>82074.45</v>
      </c>
      <c r="Q48" s="9">
        <v>0.1741</v>
      </c>
      <c r="R48" s="24">
        <f>81551*1000000</f>
        <v>81551000000</v>
      </c>
      <c r="S48" s="24">
        <f>19590*1000000</f>
        <v>19590000000</v>
      </c>
      <c r="T48" s="24">
        <f>-1361.5*1000000</f>
        <v>-1361500000</v>
      </c>
      <c r="U48" s="24">
        <f>2784.3*1000000</f>
        <v>2784300000</v>
      </c>
      <c r="V48" s="31">
        <f>9944.19*1000000</f>
        <v>9944190000</v>
      </c>
      <c r="W48">
        <f>IFERROR(ABS(C48)/M48,"0")</f>
        <v>5.3875093395896477E-11</v>
      </c>
      <c r="X48">
        <f>V48/R48</f>
        <v>0.12193829628085492</v>
      </c>
      <c r="Y48" s="9"/>
    </row>
    <row r="49" spans="1:25">
      <c r="A49" s="21">
        <v>45554</v>
      </c>
      <c r="B49" s="28">
        <v>31.88</v>
      </c>
      <c r="C49" s="29">
        <f t="shared" ref="C49:C89" si="18">IFERROR((B49-B50)/B50,0)</f>
        <v>4.4108380592312721E-3</v>
      </c>
      <c r="D49" s="24">
        <f t="shared" ref="D49:D90" si="19">_xlfn.STDEV.S($C$48:$C$90)</f>
        <v>1.8491781919715032E-2</v>
      </c>
      <c r="E49" s="28">
        <v>33.24</v>
      </c>
      <c r="F49" s="28">
        <v>31.58</v>
      </c>
      <c r="G49" s="22">
        <f t="shared" si="14"/>
        <v>5.1218759642085894E-2</v>
      </c>
      <c r="H49" s="28">
        <v>31.86</v>
      </c>
      <c r="I49" s="28">
        <v>31.85</v>
      </c>
      <c r="J49" s="24">
        <f t="shared" si="15"/>
        <v>3.1392246115203296E-4</v>
      </c>
      <c r="K49" s="25">
        <v>1003105</v>
      </c>
      <c r="L49" s="24">
        <f t="shared" ref="L49:L90" si="20">880.3*1000000</f>
        <v>880300000</v>
      </c>
      <c r="M49" s="24">
        <f t="shared" ref="M49:M90" si="21">K49*B49</f>
        <v>31978987.399999999</v>
      </c>
      <c r="N49" s="24">
        <f t="shared" ref="N49:N90" si="22">456.36*1000000</f>
        <v>456360000</v>
      </c>
      <c r="O49" s="24">
        <f t="shared" ref="O49:O90" si="23">K49/N49</f>
        <v>2.198056359014813E-3</v>
      </c>
      <c r="P49" s="10">
        <v>81459.289999999994</v>
      </c>
      <c r="Q49" s="9">
        <v>0.1741</v>
      </c>
      <c r="R49" s="24">
        <f t="shared" ref="R49:R90" si="24">81551*1000000</f>
        <v>81551000000</v>
      </c>
      <c r="S49" s="24">
        <f t="shared" ref="S49:S90" si="25">19590*1000000</f>
        <v>19590000000</v>
      </c>
      <c r="T49" s="24">
        <f t="shared" ref="T49:T90" si="26">-1361.5*1000000</f>
        <v>-1361500000</v>
      </c>
      <c r="U49" s="24">
        <f t="shared" ref="U49:U90" si="27">2784.3*1000000</f>
        <v>2784300000</v>
      </c>
      <c r="V49" s="31">
        <f t="shared" ref="V49:V90" si="28">9944.19*1000000</f>
        <v>9944190000</v>
      </c>
      <c r="W49">
        <f t="shared" ref="W49:W90" si="29">IFERROR(ABS(C49)/M49,"0")</f>
        <v>1.379292597373259E-10</v>
      </c>
      <c r="X49">
        <f t="shared" ref="X49:X90" si="30">V49/R49</f>
        <v>0.12193829628085492</v>
      </c>
      <c r="Y49" s="9"/>
    </row>
    <row r="50" spans="1:25">
      <c r="A50" s="21">
        <v>45553</v>
      </c>
      <c r="B50" s="28">
        <v>31.74</v>
      </c>
      <c r="C50" s="29">
        <f t="shared" si="18"/>
        <v>-2.5141420490258281E-3</v>
      </c>
      <c r="D50" s="24">
        <f t="shared" si="19"/>
        <v>1.8491781919715032E-2</v>
      </c>
      <c r="E50" s="28">
        <v>31.9</v>
      </c>
      <c r="F50" s="28">
        <v>31.5</v>
      </c>
      <c r="G50" s="22">
        <f t="shared" si="14"/>
        <v>1.2618296529968411E-2</v>
      </c>
      <c r="H50" s="28">
        <v>31.74</v>
      </c>
      <c r="I50" s="28">
        <v>31.7</v>
      </c>
      <c r="J50" s="24">
        <f t="shared" si="15"/>
        <v>1.2610340479192669E-3</v>
      </c>
      <c r="K50" s="25">
        <v>617450</v>
      </c>
      <c r="L50" s="24">
        <f t="shared" si="20"/>
        <v>880300000</v>
      </c>
      <c r="M50" s="24">
        <f t="shared" si="21"/>
        <v>19597863</v>
      </c>
      <c r="N50" s="24">
        <f t="shared" si="22"/>
        <v>456360000</v>
      </c>
      <c r="O50" s="24">
        <f t="shared" si="23"/>
        <v>1.3529888684371987E-3</v>
      </c>
      <c r="P50" s="10">
        <v>80461.34</v>
      </c>
      <c r="Q50" s="9">
        <v>0.1741</v>
      </c>
      <c r="R50" s="24">
        <f t="shared" si="24"/>
        <v>81551000000</v>
      </c>
      <c r="S50" s="24">
        <f t="shared" si="25"/>
        <v>19590000000</v>
      </c>
      <c r="T50" s="24">
        <f t="shared" si="26"/>
        <v>-1361500000</v>
      </c>
      <c r="U50" s="24">
        <f t="shared" si="27"/>
        <v>2784300000</v>
      </c>
      <c r="V50" s="31">
        <f t="shared" si="28"/>
        <v>9944190000</v>
      </c>
      <c r="W50">
        <f t="shared" si="29"/>
        <v>1.2828654068179925E-10</v>
      </c>
      <c r="X50">
        <f t="shared" si="30"/>
        <v>0.12193829628085492</v>
      </c>
      <c r="Y50" s="9"/>
    </row>
    <row r="51" spans="1:25">
      <c r="A51" s="21">
        <v>45551</v>
      </c>
      <c r="B51" s="28">
        <v>31.82</v>
      </c>
      <c r="C51" s="29">
        <f t="shared" si="18"/>
        <v>3.1525851197982797E-3</v>
      </c>
      <c r="D51" s="24">
        <f t="shared" si="19"/>
        <v>1.8491781919715032E-2</v>
      </c>
      <c r="E51" s="28">
        <v>31.93</v>
      </c>
      <c r="F51" s="28">
        <v>31.52</v>
      </c>
      <c r="G51" s="22">
        <f t="shared" si="14"/>
        <v>1.2923561859732076E-2</v>
      </c>
      <c r="H51" s="28">
        <v>31.83</v>
      </c>
      <c r="I51" s="28">
        <v>31.8</v>
      </c>
      <c r="J51" s="24">
        <f t="shared" si="15"/>
        <v>9.4295143800086705E-4</v>
      </c>
      <c r="K51" s="25">
        <v>525179</v>
      </c>
      <c r="L51" s="24">
        <f t="shared" si="20"/>
        <v>880300000</v>
      </c>
      <c r="M51" s="24">
        <f t="shared" si="21"/>
        <v>16711195.779999999</v>
      </c>
      <c r="N51" s="24">
        <f t="shared" si="22"/>
        <v>456360000</v>
      </c>
      <c r="O51" s="24">
        <f t="shared" si="23"/>
        <v>1.1507998071697782E-3</v>
      </c>
      <c r="P51" s="10">
        <v>79491.14</v>
      </c>
      <c r="Q51" s="9">
        <v>0.1741</v>
      </c>
      <c r="R51" s="24">
        <f t="shared" si="24"/>
        <v>81551000000</v>
      </c>
      <c r="S51" s="24">
        <f t="shared" si="25"/>
        <v>19590000000</v>
      </c>
      <c r="T51" s="24">
        <f t="shared" si="26"/>
        <v>-1361500000</v>
      </c>
      <c r="U51" s="24">
        <f t="shared" si="27"/>
        <v>2784300000</v>
      </c>
      <c r="V51" s="31">
        <f t="shared" si="28"/>
        <v>9944190000</v>
      </c>
      <c r="W51">
        <f t="shared" si="29"/>
        <v>1.8865107927053919E-10</v>
      </c>
      <c r="X51">
        <f t="shared" si="30"/>
        <v>0.12193829628085492</v>
      </c>
      <c r="Y51" s="9"/>
    </row>
    <row r="52" spans="1:25">
      <c r="A52" s="21">
        <v>45548</v>
      </c>
      <c r="B52" s="28">
        <v>31.72</v>
      </c>
      <c r="C52" s="29">
        <f t="shared" si="18"/>
        <v>3.1535793125190821E-4</v>
      </c>
      <c r="D52" s="24">
        <f t="shared" si="19"/>
        <v>1.8491781919715032E-2</v>
      </c>
      <c r="E52" s="28">
        <v>32</v>
      </c>
      <c r="F52" s="28">
        <v>31.5</v>
      </c>
      <c r="G52" s="22">
        <f t="shared" si="14"/>
        <v>1.5748031496062992E-2</v>
      </c>
      <c r="H52" s="28">
        <v>31.78</v>
      </c>
      <c r="I52" s="28">
        <v>31.75</v>
      </c>
      <c r="J52" s="24">
        <f t="shared" si="15"/>
        <v>9.4443569966948325E-4</v>
      </c>
      <c r="K52" s="25">
        <v>529073</v>
      </c>
      <c r="L52" s="24">
        <f t="shared" si="20"/>
        <v>880300000</v>
      </c>
      <c r="M52" s="24">
        <f t="shared" si="21"/>
        <v>16782195.559999999</v>
      </c>
      <c r="N52" s="24">
        <f t="shared" si="22"/>
        <v>456360000</v>
      </c>
      <c r="O52" s="24">
        <f t="shared" si="23"/>
        <v>1.1593325444824261E-3</v>
      </c>
      <c r="P52" s="10">
        <v>79333.06</v>
      </c>
      <c r="Q52" s="9">
        <v>0.1741</v>
      </c>
      <c r="R52" s="24">
        <f t="shared" si="24"/>
        <v>81551000000</v>
      </c>
      <c r="S52" s="24">
        <f t="shared" si="25"/>
        <v>19590000000</v>
      </c>
      <c r="T52" s="24">
        <f t="shared" si="26"/>
        <v>-1361500000</v>
      </c>
      <c r="U52" s="24">
        <f t="shared" si="27"/>
        <v>2784300000</v>
      </c>
      <c r="V52" s="31">
        <f t="shared" si="28"/>
        <v>9944190000</v>
      </c>
      <c r="W52">
        <f t="shared" si="29"/>
        <v>1.8791220143063821E-11</v>
      </c>
      <c r="X52">
        <f t="shared" si="30"/>
        <v>0.12193829628085492</v>
      </c>
      <c r="Y52" s="9"/>
    </row>
    <row r="53" spans="1:25">
      <c r="A53" s="21">
        <v>45547</v>
      </c>
      <c r="B53" s="28">
        <v>31.71</v>
      </c>
      <c r="C53" s="29">
        <f t="shared" si="18"/>
        <v>6.0279187817259289E-3</v>
      </c>
      <c r="D53" s="24">
        <f t="shared" si="19"/>
        <v>1.8491781919715032E-2</v>
      </c>
      <c r="E53" s="28">
        <v>31.75</v>
      </c>
      <c r="F53" s="28">
        <v>31.41</v>
      </c>
      <c r="G53" s="22">
        <f t="shared" si="14"/>
        <v>1.0766307789740338E-2</v>
      </c>
      <c r="H53" s="28">
        <v>31.74</v>
      </c>
      <c r="I53" s="28">
        <v>31.71</v>
      </c>
      <c r="J53" s="24">
        <f t="shared" si="15"/>
        <v>9.45626477541295E-4</v>
      </c>
      <c r="K53" s="25">
        <v>515200</v>
      </c>
      <c r="L53" s="24">
        <f t="shared" si="20"/>
        <v>880300000</v>
      </c>
      <c r="M53" s="24">
        <f t="shared" si="21"/>
        <v>16336992</v>
      </c>
      <c r="N53" s="24">
        <f t="shared" si="22"/>
        <v>456360000</v>
      </c>
      <c r="O53" s="24">
        <f t="shared" si="23"/>
        <v>1.1289332982732929E-3</v>
      </c>
      <c r="P53" s="10">
        <v>79017.62</v>
      </c>
      <c r="Q53" s="9">
        <v>0.1741</v>
      </c>
      <c r="R53" s="24">
        <f t="shared" si="24"/>
        <v>81551000000</v>
      </c>
      <c r="S53" s="24">
        <f t="shared" si="25"/>
        <v>19590000000</v>
      </c>
      <c r="T53" s="24">
        <f t="shared" si="26"/>
        <v>-1361500000</v>
      </c>
      <c r="U53" s="24">
        <f t="shared" si="27"/>
        <v>2784300000</v>
      </c>
      <c r="V53" s="31">
        <f t="shared" si="28"/>
        <v>9944190000</v>
      </c>
      <c r="W53">
        <f t="shared" si="29"/>
        <v>3.6897360185558814E-10</v>
      </c>
      <c r="X53">
        <f t="shared" si="30"/>
        <v>0.12193829628085492</v>
      </c>
      <c r="Y53" s="9"/>
    </row>
    <row r="54" spans="1:25">
      <c r="A54" s="21">
        <v>45546</v>
      </c>
      <c r="B54" s="28">
        <v>31.52</v>
      </c>
      <c r="C54" s="29">
        <f t="shared" si="18"/>
        <v>-9.1166299905689769E-3</v>
      </c>
      <c r="D54" s="24">
        <f t="shared" si="19"/>
        <v>1.8491781919715032E-2</v>
      </c>
      <c r="E54" s="28">
        <v>31.9</v>
      </c>
      <c r="F54" s="28">
        <v>31.46</v>
      </c>
      <c r="G54" s="22">
        <f t="shared" si="14"/>
        <v>1.3888888888888817E-2</v>
      </c>
      <c r="H54" s="28">
        <v>31.59</v>
      </c>
      <c r="I54" s="28">
        <v>31.51</v>
      </c>
      <c r="J54" s="24">
        <f t="shared" si="15"/>
        <v>2.5356576862123072E-3</v>
      </c>
      <c r="K54" s="25">
        <v>513597</v>
      </c>
      <c r="L54" s="24">
        <f t="shared" si="20"/>
        <v>880300000</v>
      </c>
      <c r="M54" s="24">
        <f t="shared" si="21"/>
        <v>16188577.439999999</v>
      </c>
      <c r="N54" s="24">
        <f t="shared" si="22"/>
        <v>456360000</v>
      </c>
      <c r="O54" s="24">
        <f t="shared" si="23"/>
        <v>1.1254207204838287E-3</v>
      </c>
      <c r="P54" s="10">
        <v>78651.8</v>
      </c>
      <c r="Q54" s="9">
        <v>0.1741</v>
      </c>
      <c r="R54" s="24">
        <f t="shared" si="24"/>
        <v>81551000000</v>
      </c>
      <c r="S54" s="24">
        <f t="shared" si="25"/>
        <v>19590000000</v>
      </c>
      <c r="T54" s="24">
        <f t="shared" si="26"/>
        <v>-1361500000</v>
      </c>
      <c r="U54" s="24">
        <f t="shared" si="27"/>
        <v>2784300000</v>
      </c>
      <c r="V54" s="31">
        <f t="shared" si="28"/>
        <v>9944190000</v>
      </c>
      <c r="W54">
        <f t="shared" si="29"/>
        <v>5.6315201408882886E-10</v>
      </c>
      <c r="X54">
        <f t="shared" si="30"/>
        <v>0.12193829628085492</v>
      </c>
      <c r="Y54" s="9"/>
    </row>
    <row r="55" spans="1:25">
      <c r="A55" s="21">
        <v>45545</v>
      </c>
      <c r="B55" s="28">
        <v>31.81</v>
      </c>
      <c r="C55" s="29">
        <f t="shared" si="18"/>
        <v>8.2408874801901105E-3</v>
      </c>
      <c r="D55" s="24">
        <f t="shared" si="19"/>
        <v>1.8491781919715032E-2</v>
      </c>
      <c r="E55" s="28">
        <v>31.9</v>
      </c>
      <c r="F55" s="28">
        <v>31.4</v>
      </c>
      <c r="G55" s="22">
        <f t="shared" si="14"/>
        <v>1.5797788309636653E-2</v>
      </c>
      <c r="H55" s="28">
        <v>31.85</v>
      </c>
      <c r="I55" s="28">
        <v>31.8</v>
      </c>
      <c r="J55" s="24">
        <f t="shared" si="15"/>
        <v>1.5710919088766915E-3</v>
      </c>
      <c r="K55" s="25">
        <v>764208</v>
      </c>
      <c r="L55" s="24">
        <f t="shared" si="20"/>
        <v>880300000</v>
      </c>
      <c r="M55" s="24">
        <f t="shared" si="21"/>
        <v>24309456.48</v>
      </c>
      <c r="N55" s="24">
        <f t="shared" si="22"/>
        <v>456360000</v>
      </c>
      <c r="O55" s="24">
        <f t="shared" si="23"/>
        <v>1.6745727057586115E-3</v>
      </c>
      <c r="P55" s="10">
        <v>79286.740000000005</v>
      </c>
      <c r="Q55" s="9">
        <v>0.1741</v>
      </c>
      <c r="R55" s="24">
        <f t="shared" si="24"/>
        <v>81551000000</v>
      </c>
      <c r="S55" s="24">
        <f t="shared" si="25"/>
        <v>19590000000</v>
      </c>
      <c r="T55" s="24">
        <f t="shared" si="26"/>
        <v>-1361500000</v>
      </c>
      <c r="U55" s="24">
        <f t="shared" si="27"/>
        <v>2784300000</v>
      </c>
      <c r="V55" s="31">
        <f t="shared" si="28"/>
        <v>9944190000</v>
      </c>
      <c r="W55">
        <f t="shared" si="29"/>
        <v>3.3899924858336902E-10</v>
      </c>
      <c r="X55">
        <f t="shared" si="30"/>
        <v>0.12193829628085492</v>
      </c>
      <c r="Y55" s="9"/>
    </row>
    <row r="56" spans="1:25">
      <c r="A56" s="21">
        <v>45544</v>
      </c>
      <c r="B56" s="28">
        <v>31.55</v>
      </c>
      <c r="C56" s="29">
        <f t="shared" si="18"/>
        <v>-2.2137887413029816E-3</v>
      </c>
      <c r="D56" s="24">
        <f t="shared" si="19"/>
        <v>1.8491781919715032E-2</v>
      </c>
      <c r="E56" s="28">
        <v>31.75</v>
      </c>
      <c r="F56" s="28">
        <v>31.4</v>
      </c>
      <c r="G56" s="22">
        <f t="shared" si="14"/>
        <v>1.1084718923198778E-2</v>
      </c>
      <c r="H56" s="28">
        <v>31.63</v>
      </c>
      <c r="I56" s="28">
        <v>31.53</v>
      </c>
      <c r="J56" s="24">
        <f t="shared" si="15"/>
        <v>3.1665611146294449E-3</v>
      </c>
      <c r="K56" s="25">
        <v>414497</v>
      </c>
      <c r="L56" s="24">
        <f t="shared" si="20"/>
        <v>880300000</v>
      </c>
      <c r="M56" s="24">
        <f t="shared" si="21"/>
        <v>13077380.35</v>
      </c>
      <c r="N56" s="24">
        <f t="shared" si="22"/>
        <v>456360000</v>
      </c>
      <c r="O56" s="24">
        <f t="shared" si="23"/>
        <v>9.0826759575773517E-4</v>
      </c>
      <c r="P56" s="10">
        <v>78615</v>
      </c>
      <c r="Q56" s="9">
        <v>0.1741</v>
      </c>
      <c r="R56" s="24">
        <f t="shared" si="24"/>
        <v>81551000000</v>
      </c>
      <c r="S56" s="24">
        <f t="shared" si="25"/>
        <v>19590000000</v>
      </c>
      <c r="T56" s="24">
        <f t="shared" si="26"/>
        <v>-1361500000</v>
      </c>
      <c r="U56" s="24">
        <f t="shared" si="27"/>
        <v>2784300000</v>
      </c>
      <c r="V56" s="31">
        <f t="shared" si="28"/>
        <v>9944190000</v>
      </c>
      <c r="W56">
        <f t="shared" si="29"/>
        <v>1.6928380776987813E-10</v>
      </c>
      <c r="X56">
        <f t="shared" si="30"/>
        <v>0.12193829628085492</v>
      </c>
      <c r="Y56" s="9"/>
    </row>
    <row r="57" spans="1:25">
      <c r="A57" s="21">
        <v>45541</v>
      </c>
      <c r="B57" s="28">
        <v>31.62</v>
      </c>
      <c r="C57" s="29">
        <f t="shared" si="18"/>
        <v>-1.5787811809283457E-3</v>
      </c>
      <c r="D57" s="24">
        <f t="shared" si="19"/>
        <v>1.8491781919715032E-2</v>
      </c>
      <c r="E57" s="28">
        <v>31.8</v>
      </c>
      <c r="F57" s="28">
        <v>31.5</v>
      </c>
      <c r="G57" s="22">
        <f t="shared" si="14"/>
        <v>9.4786729857820138E-3</v>
      </c>
      <c r="H57" s="28">
        <v>31.7</v>
      </c>
      <c r="I57" s="28">
        <v>31.66</v>
      </c>
      <c r="J57" s="24">
        <f t="shared" si="15"/>
        <v>1.2626262626262356E-3</v>
      </c>
      <c r="K57" s="25">
        <v>588049</v>
      </c>
      <c r="L57" s="24">
        <f t="shared" si="20"/>
        <v>880300000</v>
      </c>
      <c r="M57" s="24">
        <f t="shared" si="21"/>
        <v>18594109.379999999</v>
      </c>
      <c r="N57" s="24">
        <f t="shared" si="22"/>
        <v>456360000</v>
      </c>
      <c r="O57" s="24">
        <f t="shared" si="23"/>
        <v>1.288563853098431E-3</v>
      </c>
      <c r="P57" s="10">
        <v>78897.73</v>
      </c>
      <c r="Q57" s="9">
        <v>0.1741</v>
      </c>
      <c r="R57" s="24">
        <f t="shared" si="24"/>
        <v>81551000000</v>
      </c>
      <c r="S57" s="24">
        <f t="shared" si="25"/>
        <v>19590000000</v>
      </c>
      <c r="T57" s="24">
        <f t="shared" si="26"/>
        <v>-1361500000</v>
      </c>
      <c r="U57" s="24">
        <f t="shared" si="27"/>
        <v>2784300000</v>
      </c>
      <c r="V57" s="31">
        <f t="shared" si="28"/>
        <v>9944190000</v>
      </c>
      <c r="W57">
        <f t="shared" si="29"/>
        <v>8.4907598888629628E-11</v>
      </c>
      <c r="X57">
        <f t="shared" si="30"/>
        <v>0.12193829628085492</v>
      </c>
      <c r="Y57" s="9"/>
    </row>
    <row r="58" spans="1:25">
      <c r="A58" s="21">
        <v>45540</v>
      </c>
      <c r="B58" s="28">
        <v>31.67</v>
      </c>
      <c r="C58" s="29">
        <f t="shared" si="18"/>
        <v>4.1217501585289334E-3</v>
      </c>
      <c r="D58" s="24">
        <f t="shared" si="19"/>
        <v>1.8491781919715032E-2</v>
      </c>
      <c r="E58" s="28">
        <v>31.95</v>
      </c>
      <c r="F58" s="28">
        <v>31.27</v>
      </c>
      <c r="G58" s="22">
        <f t="shared" si="14"/>
        <v>2.151217968997152E-2</v>
      </c>
      <c r="H58" s="28">
        <v>31.7</v>
      </c>
      <c r="I58" s="28">
        <v>31.62</v>
      </c>
      <c r="J58" s="24">
        <f t="shared" si="15"/>
        <v>2.5268477574225613E-3</v>
      </c>
      <c r="K58" s="25">
        <v>553105</v>
      </c>
      <c r="L58" s="24">
        <f t="shared" si="20"/>
        <v>880300000</v>
      </c>
      <c r="M58" s="24">
        <f t="shared" si="21"/>
        <v>17516835.350000001</v>
      </c>
      <c r="N58" s="24">
        <f t="shared" si="22"/>
        <v>456360000</v>
      </c>
      <c r="O58" s="24">
        <f t="shared" si="23"/>
        <v>1.2119927250416338E-3</v>
      </c>
      <c r="P58" s="10">
        <v>78863.34</v>
      </c>
      <c r="Q58" s="9">
        <v>0.1741</v>
      </c>
      <c r="R58" s="24">
        <f t="shared" si="24"/>
        <v>81551000000</v>
      </c>
      <c r="S58" s="24">
        <f t="shared" si="25"/>
        <v>19590000000</v>
      </c>
      <c r="T58" s="24">
        <f t="shared" si="26"/>
        <v>-1361500000</v>
      </c>
      <c r="U58" s="24">
        <f t="shared" si="27"/>
        <v>2784300000</v>
      </c>
      <c r="V58" s="31">
        <f t="shared" si="28"/>
        <v>9944190000</v>
      </c>
      <c r="W58">
        <f t="shared" si="29"/>
        <v>2.3530221505044478E-10</v>
      </c>
      <c r="X58">
        <f t="shared" si="30"/>
        <v>0.12193829628085492</v>
      </c>
      <c r="Y58" s="9"/>
    </row>
    <row r="59" spans="1:25">
      <c r="A59" s="21">
        <v>45539</v>
      </c>
      <c r="B59" s="28">
        <v>31.54</v>
      </c>
      <c r="C59" s="29">
        <f t="shared" si="18"/>
        <v>-1.5298157976896721E-2</v>
      </c>
      <c r="D59" s="24">
        <f t="shared" si="19"/>
        <v>1.8491781919715032E-2</v>
      </c>
      <c r="E59" s="28">
        <v>32</v>
      </c>
      <c r="F59" s="28">
        <v>31.47</v>
      </c>
      <c r="G59" s="22">
        <f t="shared" si="14"/>
        <v>1.6700803529226441E-2</v>
      </c>
      <c r="H59" s="28">
        <v>31.6</v>
      </c>
      <c r="I59" s="28">
        <v>31.59</v>
      </c>
      <c r="J59" s="24">
        <f t="shared" si="15"/>
        <v>3.1650577623046567E-4</v>
      </c>
      <c r="K59" s="25">
        <v>1508532</v>
      </c>
      <c r="L59" s="24">
        <f t="shared" si="20"/>
        <v>880300000</v>
      </c>
      <c r="M59" s="24">
        <f t="shared" si="21"/>
        <v>47579099.280000001</v>
      </c>
      <c r="N59" s="24">
        <f t="shared" si="22"/>
        <v>456360000</v>
      </c>
      <c r="O59" s="24">
        <f t="shared" si="23"/>
        <v>3.3055745464107282E-3</v>
      </c>
      <c r="P59" s="10">
        <v>78848.009999999995</v>
      </c>
      <c r="Q59" s="9">
        <v>0.1741</v>
      </c>
      <c r="R59" s="24">
        <f t="shared" si="24"/>
        <v>81551000000</v>
      </c>
      <c r="S59" s="24">
        <f t="shared" si="25"/>
        <v>19590000000</v>
      </c>
      <c r="T59" s="24">
        <f t="shared" si="26"/>
        <v>-1361500000</v>
      </c>
      <c r="U59" s="24">
        <f t="shared" si="27"/>
        <v>2784300000</v>
      </c>
      <c r="V59" s="31">
        <f t="shared" si="28"/>
        <v>9944190000</v>
      </c>
      <c r="W59">
        <f t="shared" si="29"/>
        <v>3.2153105477823414E-10</v>
      </c>
      <c r="X59">
        <f t="shared" si="30"/>
        <v>0.12193829628085492</v>
      </c>
      <c r="Y59" s="9"/>
    </row>
    <row r="60" spans="1:25">
      <c r="A60" s="21">
        <v>45538</v>
      </c>
      <c r="B60" s="28">
        <v>32.03</v>
      </c>
      <c r="C60" s="29">
        <f t="shared" si="18"/>
        <v>-8.972772277227696E-3</v>
      </c>
      <c r="D60" s="24">
        <f t="shared" si="19"/>
        <v>1.8491781919715032E-2</v>
      </c>
      <c r="E60" s="28">
        <v>34.03</v>
      </c>
      <c r="F60" s="28">
        <v>31.25</v>
      </c>
      <c r="G60" s="22">
        <f t="shared" si="14"/>
        <v>8.5171568627451011E-2</v>
      </c>
      <c r="H60" s="28">
        <v>32.08</v>
      </c>
      <c r="I60" s="28">
        <v>32</v>
      </c>
      <c r="J60" s="24">
        <f t="shared" si="15"/>
        <v>2.4968789013732301E-3</v>
      </c>
      <c r="K60" s="25">
        <v>5861333</v>
      </c>
      <c r="L60" s="24">
        <f t="shared" si="20"/>
        <v>880300000</v>
      </c>
      <c r="M60" s="24">
        <f t="shared" si="21"/>
        <v>187738495.99000001</v>
      </c>
      <c r="N60" s="24">
        <f t="shared" si="22"/>
        <v>456360000</v>
      </c>
      <c r="O60" s="24">
        <f t="shared" si="23"/>
        <v>1.2843660706459812E-2</v>
      </c>
      <c r="P60" s="10">
        <v>78356.320000000007</v>
      </c>
      <c r="Q60" s="9">
        <v>0.17469999999999999</v>
      </c>
      <c r="R60" s="24">
        <f t="shared" si="24"/>
        <v>81551000000</v>
      </c>
      <c r="S60" s="24">
        <f t="shared" si="25"/>
        <v>19590000000</v>
      </c>
      <c r="T60" s="24">
        <f t="shared" si="26"/>
        <v>-1361500000</v>
      </c>
      <c r="U60" s="24">
        <f t="shared" si="27"/>
        <v>2784300000</v>
      </c>
      <c r="V60" s="31">
        <f t="shared" si="28"/>
        <v>9944190000</v>
      </c>
      <c r="W60">
        <f t="shared" si="29"/>
        <v>4.7793992542188232E-11</v>
      </c>
      <c r="X60">
        <f t="shared" si="30"/>
        <v>0.12193829628085492</v>
      </c>
      <c r="Y60" s="9"/>
    </row>
    <row r="61" spans="1:25">
      <c r="A61" s="21">
        <v>45537</v>
      </c>
      <c r="B61" s="28">
        <v>32.32</v>
      </c>
      <c r="C61" s="29">
        <f t="shared" si="18"/>
        <v>1.9236833806370212E-2</v>
      </c>
      <c r="D61" s="24">
        <f t="shared" si="19"/>
        <v>1.8491781919715032E-2</v>
      </c>
      <c r="E61" s="28">
        <v>32.590000000000003</v>
      </c>
      <c r="F61" s="28">
        <v>31.8</v>
      </c>
      <c r="G61" s="22">
        <f t="shared" si="14"/>
        <v>2.4537971734741502E-2</v>
      </c>
      <c r="H61" s="28">
        <v>32.4</v>
      </c>
      <c r="I61" s="28">
        <v>32.380000000000003</v>
      </c>
      <c r="J61" s="24">
        <f t="shared" si="15"/>
        <v>6.1747452917554867E-4</v>
      </c>
      <c r="K61" s="25">
        <v>3145416</v>
      </c>
      <c r="L61" s="24">
        <f t="shared" si="20"/>
        <v>880300000</v>
      </c>
      <c r="M61" s="24">
        <f t="shared" si="21"/>
        <v>101659845.12</v>
      </c>
      <c r="N61" s="24">
        <f t="shared" si="22"/>
        <v>456360000</v>
      </c>
      <c r="O61" s="24">
        <f t="shared" si="23"/>
        <v>6.8924007362608465E-3</v>
      </c>
      <c r="P61" s="10">
        <v>78283.3</v>
      </c>
      <c r="Q61" s="9">
        <v>0.17469999999999999</v>
      </c>
      <c r="R61" s="24">
        <f t="shared" si="24"/>
        <v>81551000000</v>
      </c>
      <c r="S61" s="24">
        <f t="shared" si="25"/>
        <v>19590000000</v>
      </c>
      <c r="T61" s="24">
        <f t="shared" si="26"/>
        <v>-1361500000</v>
      </c>
      <c r="U61" s="24">
        <f t="shared" si="27"/>
        <v>2784300000</v>
      </c>
      <c r="V61" s="31">
        <f t="shared" si="28"/>
        <v>9944190000</v>
      </c>
      <c r="W61">
        <f t="shared" si="29"/>
        <v>1.8922745537987901E-10</v>
      </c>
      <c r="X61">
        <f t="shared" si="30"/>
        <v>0.12193829628085492</v>
      </c>
      <c r="Y61" s="9"/>
    </row>
    <row r="62" spans="1:25">
      <c r="A62" s="21">
        <v>45534</v>
      </c>
      <c r="B62" s="28">
        <v>31.71</v>
      </c>
      <c r="C62" s="29">
        <f t="shared" si="18"/>
        <v>1.1805998723675845E-2</v>
      </c>
      <c r="D62" s="24">
        <f t="shared" si="19"/>
        <v>1.8491781919715032E-2</v>
      </c>
      <c r="E62" s="28">
        <v>32.200000000000003</v>
      </c>
      <c r="F62" s="28">
        <v>31.13</v>
      </c>
      <c r="G62" s="22">
        <f t="shared" si="14"/>
        <v>3.3791252171167026E-2</v>
      </c>
      <c r="H62" s="28">
        <v>31.89</v>
      </c>
      <c r="I62" s="28">
        <v>31.7</v>
      </c>
      <c r="J62" s="24">
        <f t="shared" si="15"/>
        <v>5.9757823557163477E-3</v>
      </c>
      <c r="K62" s="25">
        <v>693674</v>
      </c>
      <c r="L62" s="24">
        <f t="shared" si="20"/>
        <v>880300000</v>
      </c>
      <c r="M62" s="24">
        <f t="shared" si="21"/>
        <v>21996402.539999999</v>
      </c>
      <c r="N62" s="24">
        <f t="shared" si="22"/>
        <v>456360000</v>
      </c>
      <c r="O62" s="24">
        <f t="shared" si="23"/>
        <v>1.5200149005171356E-3</v>
      </c>
      <c r="P62" s="10">
        <v>78488.22</v>
      </c>
      <c r="Q62" s="9">
        <v>0.17469999999999999</v>
      </c>
      <c r="R62" s="24">
        <f t="shared" si="24"/>
        <v>81551000000</v>
      </c>
      <c r="S62" s="24">
        <f t="shared" si="25"/>
        <v>19590000000</v>
      </c>
      <c r="T62" s="24">
        <f t="shared" si="26"/>
        <v>-1361500000</v>
      </c>
      <c r="U62" s="24">
        <f t="shared" si="27"/>
        <v>2784300000</v>
      </c>
      <c r="V62" s="31">
        <f t="shared" si="28"/>
        <v>9944190000</v>
      </c>
      <c r="W62">
        <f t="shared" si="29"/>
        <v>5.3672407122968775E-10</v>
      </c>
      <c r="X62">
        <f t="shared" si="30"/>
        <v>0.12193829628085492</v>
      </c>
      <c r="Y62" s="9"/>
    </row>
    <row r="63" spans="1:25">
      <c r="A63" s="21">
        <v>45533</v>
      </c>
      <c r="B63" s="28">
        <v>31.34</v>
      </c>
      <c r="C63" s="29">
        <f t="shared" si="18"/>
        <v>5.7766367137355489E-3</v>
      </c>
      <c r="D63" s="24">
        <f t="shared" si="19"/>
        <v>1.8491781919715032E-2</v>
      </c>
      <c r="E63" s="28">
        <v>31.48</v>
      </c>
      <c r="F63" s="28">
        <v>31.2</v>
      </c>
      <c r="G63" s="22">
        <f t="shared" si="14"/>
        <v>8.9342693044033548E-3</v>
      </c>
      <c r="H63" s="28">
        <v>31.43</v>
      </c>
      <c r="I63" s="28">
        <v>31.42</v>
      </c>
      <c r="J63" s="24">
        <f t="shared" si="15"/>
        <v>3.1821797931576805E-4</v>
      </c>
      <c r="K63" s="25">
        <v>256228</v>
      </c>
      <c r="L63" s="24">
        <f t="shared" si="20"/>
        <v>880300000</v>
      </c>
      <c r="M63" s="24">
        <f t="shared" si="21"/>
        <v>8030185.5199999996</v>
      </c>
      <c r="N63" s="24">
        <f t="shared" si="22"/>
        <v>456360000</v>
      </c>
      <c r="O63" s="24">
        <f t="shared" si="23"/>
        <v>5.6146025067928826E-4</v>
      </c>
      <c r="P63" s="10">
        <v>78349.66</v>
      </c>
      <c r="Q63" s="9">
        <v>0.17469999999999999</v>
      </c>
      <c r="R63" s="24">
        <f t="shared" si="24"/>
        <v>81551000000</v>
      </c>
      <c r="S63" s="24">
        <f t="shared" si="25"/>
        <v>19590000000</v>
      </c>
      <c r="T63" s="24">
        <f t="shared" si="26"/>
        <v>-1361500000</v>
      </c>
      <c r="U63" s="24">
        <f t="shared" si="27"/>
        <v>2784300000</v>
      </c>
      <c r="V63" s="31">
        <f t="shared" si="28"/>
        <v>9944190000</v>
      </c>
      <c r="W63">
        <f t="shared" si="29"/>
        <v>7.1936528730852404E-10</v>
      </c>
      <c r="X63">
        <f t="shared" si="30"/>
        <v>0.12193829628085492</v>
      </c>
      <c r="Y63" s="9"/>
    </row>
    <row r="64" spans="1:25">
      <c r="A64" s="21">
        <v>45532</v>
      </c>
      <c r="B64" s="28">
        <v>31.16</v>
      </c>
      <c r="C64" s="29">
        <f t="shared" si="18"/>
        <v>-1.1107584893684588E-2</v>
      </c>
      <c r="D64" s="24">
        <f t="shared" si="19"/>
        <v>1.8491781919715032E-2</v>
      </c>
      <c r="E64" s="28">
        <v>31.8</v>
      </c>
      <c r="F64" s="28">
        <v>31</v>
      </c>
      <c r="G64" s="22">
        <f t="shared" si="14"/>
        <v>2.5477707006369449E-2</v>
      </c>
      <c r="H64" s="28">
        <v>31.24</v>
      </c>
      <c r="I64" s="28">
        <v>31.18</v>
      </c>
      <c r="J64" s="24">
        <f t="shared" si="15"/>
        <v>1.9224607497596515E-3</v>
      </c>
      <c r="K64" s="25">
        <v>431102</v>
      </c>
      <c r="L64" s="24">
        <f t="shared" si="20"/>
        <v>880300000</v>
      </c>
      <c r="M64" s="24">
        <f t="shared" si="21"/>
        <v>13433138.32</v>
      </c>
      <c r="N64" s="24">
        <f t="shared" si="22"/>
        <v>456360000</v>
      </c>
      <c r="O64" s="24">
        <f t="shared" si="23"/>
        <v>9.4465334385134545E-4</v>
      </c>
      <c r="P64" s="10">
        <v>77992.789999999994</v>
      </c>
      <c r="Q64" s="9">
        <v>0.17469999999999999</v>
      </c>
      <c r="R64" s="24">
        <f t="shared" si="24"/>
        <v>81551000000</v>
      </c>
      <c r="S64" s="24">
        <f t="shared" si="25"/>
        <v>19590000000</v>
      </c>
      <c r="T64" s="24">
        <f t="shared" si="26"/>
        <v>-1361500000</v>
      </c>
      <c r="U64" s="24">
        <f t="shared" si="27"/>
        <v>2784300000</v>
      </c>
      <c r="V64" s="31">
        <f t="shared" si="28"/>
        <v>9944190000</v>
      </c>
      <c r="W64">
        <f t="shared" si="29"/>
        <v>8.2687936572103939E-10</v>
      </c>
      <c r="X64">
        <f t="shared" si="30"/>
        <v>0.12193829628085492</v>
      </c>
      <c r="Y64" s="9"/>
    </row>
    <row r="65" spans="1:25">
      <c r="A65" s="21">
        <v>45531</v>
      </c>
      <c r="B65" s="28">
        <v>31.51</v>
      </c>
      <c r="C65" s="29">
        <f t="shared" si="18"/>
        <v>-1.2678288431061536E-3</v>
      </c>
      <c r="D65" s="24">
        <f t="shared" si="19"/>
        <v>1.8491781919715032E-2</v>
      </c>
      <c r="E65" s="28">
        <v>31.6</v>
      </c>
      <c r="F65" s="28">
        <v>31.2</v>
      </c>
      <c r="G65" s="22">
        <f t="shared" si="14"/>
        <v>1.2738853503184782E-2</v>
      </c>
      <c r="H65" s="28">
        <v>31.59</v>
      </c>
      <c r="I65" s="28">
        <v>31.54</v>
      </c>
      <c r="J65" s="24">
        <f t="shared" si="15"/>
        <v>1.5840329478853386E-3</v>
      </c>
      <c r="K65" s="25">
        <v>550829</v>
      </c>
      <c r="L65" s="24">
        <f t="shared" si="20"/>
        <v>880300000</v>
      </c>
      <c r="M65" s="24">
        <f t="shared" si="21"/>
        <v>17356621.789999999</v>
      </c>
      <c r="N65" s="24">
        <f t="shared" si="22"/>
        <v>456360000</v>
      </c>
      <c r="O65" s="24">
        <f t="shared" si="23"/>
        <v>1.2070054343062495E-3</v>
      </c>
      <c r="P65" s="10">
        <v>78084.240000000005</v>
      </c>
      <c r="Q65" s="9">
        <v>0.17469999999999999</v>
      </c>
      <c r="R65" s="24">
        <f t="shared" si="24"/>
        <v>81551000000</v>
      </c>
      <c r="S65" s="24">
        <f t="shared" si="25"/>
        <v>19590000000</v>
      </c>
      <c r="T65" s="24">
        <f t="shared" si="26"/>
        <v>-1361500000</v>
      </c>
      <c r="U65" s="24">
        <f t="shared" si="27"/>
        <v>2784300000</v>
      </c>
      <c r="V65" s="31">
        <f t="shared" si="28"/>
        <v>9944190000</v>
      </c>
      <c r="W65">
        <f t="shared" si="29"/>
        <v>7.3045829911245284E-11</v>
      </c>
      <c r="X65">
        <f t="shared" si="30"/>
        <v>0.12193829628085492</v>
      </c>
      <c r="Y65" s="9"/>
    </row>
    <row r="66" spans="1:25">
      <c r="A66" s="21">
        <v>45530</v>
      </c>
      <c r="B66" s="28">
        <v>31.55</v>
      </c>
      <c r="C66" s="29">
        <f t="shared" si="18"/>
        <v>1.4143362262938004E-2</v>
      </c>
      <c r="D66" s="24">
        <f t="shared" si="19"/>
        <v>1.8491781919715032E-2</v>
      </c>
      <c r="E66" s="28">
        <v>31.79</v>
      </c>
      <c r="F66" s="28">
        <v>31.35</v>
      </c>
      <c r="G66" s="22">
        <f t="shared" si="14"/>
        <v>1.3937282229965084E-2</v>
      </c>
      <c r="H66" s="28">
        <v>31.6</v>
      </c>
      <c r="I66" s="28">
        <v>31.56</v>
      </c>
      <c r="J66" s="24">
        <f t="shared" si="15"/>
        <v>1.2666244458518906E-3</v>
      </c>
      <c r="K66" s="25">
        <v>908383</v>
      </c>
      <c r="L66" s="24">
        <f t="shared" si="20"/>
        <v>880300000</v>
      </c>
      <c r="M66" s="24">
        <f t="shared" si="21"/>
        <v>28659483.650000002</v>
      </c>
      <c r="N66" s="24">
        <f t="shared" si="22"/>
        <v>456360000</v>
      </c>
      <c r="O66" s="24">
        <f t="shared" si="23"/>
        <v>1.9904965378210186E-3</v>
      </c>
      <c r="P66" s="10">
        <v>78571.06</v>
      </c>
      <c r="Q66" s="9">
        <v>0.17469999999999999</v>
      </c>
      <c r="R66" s="24">
        <f t="shared" si="24"/>
        <v>81551000000</v>
      </c>
      <c r="S66" s="24">
        <f t="shared" si="25"/>
        <v>19590000000</v>
      </c>
      <c r="T66" s="24">
        <f t="shared" si="26"/>
        <v>-1361500000</v>
      </c>
      <c r="U66" s="24">
        <f t="shared" si="27"/>
        <v>2784300000</v>
      </c>
      <c r="V66" s="31">
        <f t="shared" si="28"/>
        <v>9944190000</v>
      </c>
      <c r="W66">
        <f t="shared" si="29"/>
        <v>4.9349675785027633E-10</v>
      </c>
      <c r="X66">
        <f t="shared" si="30"/>
        <v>0.12193829628085492</v>
      </c>
      <c r="Y66" s="9"/>
    </row>
    <row r="67" spans="1:25">
      <c r="A67" s="21">
        <v>45527</v>
      </c>
      <c r="B67" s="28">
        <v>31.11</v>
      </c>
      <c r="C67" s="29">
        <f t="shared" si="18"/>
        <v>1.2036434612882271E-2</v>
      </c>
      <c r="D67" s="24">
        <f t="shared" si="19"/>
        <v>1.8491781919715032E-2</v>
      </c>
      <c r="E67" s="28">
        <v>31.3</v>
      </c>
      <c r="F67" s="28">
        <v>30.2</v>
      </c>
      <c r="G67" s="22">
        <f t="shared" si="14"/>
        <v>3.5772357723577279E-2</v>
      </c>
      <c r="H67" s="28">
        <v>31.23</v>
      </c>
      <c r="I67" s="28">
        <v>31.21</v>
      </c>
      <c r="J67" s="24">
        <f t="shared" si="15"/>
        <v>6.4061499039076155E-4</v>
      </c>
      <c r="K67" s="25">
        <v>1333881</v>
      </c>
      <c r="L67" s="24">
        <f t="shared" si="20"/>
        <v>880300000</v>
      </c>
      <c r="M67" s="24">
        <f t="shared" si="21"/>
        <v>41497037.909999996</v>
      </c>
      <c r="N67" s="24">
        <f t="shared" si="22"/>
        <v>456360000</v>
      </c>
      <c r="O67" s="24">
        <f t="shared" si="23"/>
        <v>2.9228701025506179E-3</v>
      </c>
      <c r="P67" s="10">
        <v>78801.429999999993</v>
      </c>
      <c r="Q67" s="9">
        <v>0.17469999999999999</v>
      </c>
      <c r="R67" s="24">
        <f t="shared" si="24"/>
        <v>81551000000</v>
      </c>
      <c r="S67" s="24">
        <f t="shared" si="25"/>
        <v>19590000000</v>
      </c>
      <c r="T67" s="24">
        <f t="shared" si="26"/>
        <v>-1361500000</v>
      </c>
      <c r="U67" s="24">
        <f t="shared" si="27"/>
        <v>2784300000</v>
      </c>
      <c r="V67" s="31">
        <f t="shared" si="28"/>
        <v>9944190000</v>
      </c>
      <c r="W67">
        <f t="shared" si="29"/>
        <v>2.900552718723502E-10</v>
      </c>
      <c r="X67">
        <f t="shared" si="30"/>
        <v>0.12193829628085492</v>
      </c>
      <c r="Y67" s="9"/>
    </row>
    <row r="68" spans="1:25">
      <c r="A68" s="21">
        <v>45526</v>
      </c>
      <c r="B68" s="28">
        <v>30.74</v>
      </c>
      <c r="C68" s="29">
        <f t="shared" si="18"/>
        <v>8.1994096425057408E-3</v>
      </c>
      <c r="D68" s="24">
        <f t="shared" si="19"/>
        <v>1.8491781919715032E-2</v>
      </c>
      <c r="E68" s="28">
        <v>30.83</v>
      </c>
      <c r="F68" s="28">
        <v>29.52</v>
      </c>
      <c r="G68" s="22">
        <f t="shared" si="14"/>
        <v>4.3413421706710816E-2</v>
      </c>
      <c r="H68" s="28">
        <v>30.78</v>
      </c>
      <c r="I68" s="28">
        <v>30.75</v>
      </c>
      <c r="J68" s="24">
        <f t="shared" si="15"/>
        <v>9.7513408093616565E-4</v>
      </c>
      <c r="K68" s="25">
        <v>1116104</v>
      </c>
      <c r="L68" s="24">
        <f t="shared" si="20"/>
        <v>880300000</v>
      </c>
      <c r="M68" s="24">
        <f t="shared" si="21"/>
        <v>34309036.960000001</v>
      </c>
      <c r="N68" s="24">
        <f t="shared" si="22"/>
        <v>456360000</v>
      </c>
      <c r="O68" s="24">
        <f t="shared" si="23"/>
        <v>2.445665702515558E-3</v>
      </c>
      <c r="P68" s="10">
        <v>78793.41</v>
      </c>
      <c r="Q68" s="9">
        <v>0.17469999999999999</v>
      </c>
      <c r="R68" s="24">
        <f t="shared" si="24"/>
        <v>81551000000</v>
      </c>
      <c r="S68" s="24">
        <f t="shared" si="25"/>
        <v>19590000000</v>
      </c>
      <c r="T68" s="24">
        <f t="shared" si="26"/>
        <v>-1361500000</v>
      </c>
      <c r="U68" s="24">
        <f t="shared" si="27"/>
        <v>2784300000</v>
      </c>
      <c r="V68" s="31">
        <f t="shared" si="28"/>
        <v>9944190000</v>
      </c>
      <c r="W68">
        <f t="shared" si="29"/>
        <v>2.3898687835701176E-10</v>
      </c>
      <c r="X68">
        <f t="shared" si="30"/>
        <v>0.12193829628085492</v>
      </c>
      <c r="Y68" s="9"/>
    </row>
    <row r="69" spans="1:25">
      <c r="A69" s="21">
        <v>45525</v>
      </c>
      <c r="B69" s="28">
        <v>30.49</v>
      </c>
      <c r="C69" s="29">
        <f t="shared" si="18"/>
        <v>4.4535799931483287E-2</v>
      </c>
      <c r="D69" s="24">
        <f t="shared" si="19"/>
        <v>1.8491781919715032E-2</v>
      </c>
      <c r="E69" s="28">
        <v>30.75</v>
      </c>
      <c r="F69" s="28">
        <v>29.1</v>
      </c>
      <c r="G69" s="22">
        <f t="shared" si="14"/>
        <v>5.513784461152877E-2</v>
      </c>
      <c r="H69" s="28">
        <v>30.55</v>
      </c>
      <c r="I69" s="28">
        <v>30.53</v>
      </c>
      <c r="J69" s="24">
        <f t="shared" si="15"/>
        <v>6.5487884741321459E-4</v>
      </c>
      <c r="K69" s="25">
        <v>1140783</v>
      </c>
      <c r="L69" s="24">
        <f t="shared" si="20"/>
        <v>880300000</v>
      </c>
      <c r="M69" s="24">
        <f t="shared" si="21"/>
        <v>34782473.670000002</v>
      </c>
      <c r="N69" s="24">
        <f t="shared" si="22"/>
        <v>456360000</v>
      </c>
      <c r="O69" s="24">
        <f t="shared" si="23"/>
        <v>2.4997436234551669E-3</v>
      </c>
      <c r="P69" s="10">
        <v>78260.86</v>
      </c>
      <c r="Q69" s="9">
        <v>0.17469999999999999</v>
      </c>
      <c r="R69" s="24">
        <f t="shared" si="24"/>
        <v>81551000000</v>
      </c>
      <c r="S69" s="24">
        <f t="shared" si="25"/>
        <v>19590000000</v>
      </c>
      <c r="T69" s="24">
        <f t="shared" si="26"/>
        <v>-1361500000</v>
      </c>
      <c r="U69" s="24">
        <f t="shared" si="27"/>
        <v>2784300000</v>
      </c>
      <c r="V69" s="31">
        <f t="shared" si="28"/>
        <v>9944190000</v>
      </c>
      <c r="W69">
        <f t="shared" si="29"/>
        <v>1.2804092185627259E-9</v>
      </c>
      <c r="X69">
        <f t="shared" si="30"/>
        <v>0.12193829628085492</v>
      </c>
      <c r="Y69" s="9"/>
    </row>
    <row r="70" spans="1:25">
      <c r="A70" s="21">
        <v>45524</v>
      </c>
      <c r="B70" s="28">
        <v>29.19</v>
      </c>
      <c r="C70" s="29">
        <f t="shared" si="18"/>
        <v>1.3722126929675026E-3</v>
      </c>
      <c r="D70" s="24">
        <f t="shared" si="19"/>
        <v>1.8491781919715032E-2</v>
      </c>
      <c r="E70" s="28">
        <v>29.5</v>
      </c>
      <c r="F70" s="28">
        <v>28.86</v>
      </c>
      <c r="G70" s="22">
        <f t="shared" si="14"/>
        <v>2.1932830705963007E-2</v>
      </c>
      <c r="H70" s="28">
        <v>29.3</v>
      </c>
      <c r="I70" s="28">
        <v>29.15</v>
      </c>
      <c r="J70" s="24">
        <f t="shared" si="15"/>
        <v>5.1325919589393374E-3</v>
      </c>
      <c r="K70" s="25">
        <v>615540</v>
      </c>
      <c r="L70" s="24">
        <f t="shared" si="20"/>
        <v>880300000</v>
      </c>
      <c r="M70" s="24">
        <f t="shared" si="21"/>
        <v>17967612.600000001</v>
      </c>
      <c r="N70" s="24">
        <f t="shared" si="22"/>
        <v>456360000</v>
      </c>
      <c r="O70" s="24">
        <f t="shared" si="23"/>
        <v>1.3488035761241126E-3</v>
      </c>
      <c r="P70" s="10">
        <v>77745.52</v>
      </c>
      <c r="Q70" s="9">
        <v>0.189</v>
      </c>
      <c r="R70" s="24">
        <f t="shared" si="24"/>
        <v>81551000000</v>
      </c>
      <c r="S70" s="24">
        <f t="shared" si="25"/>
        <v>19590000000</v>
      </c>
      <c r="T70" s="24">
        <f t="shared" si="26"/>
        <v>-1361500000</v>
      </c>
      <c r="U70" s="24">
        <f t="shared" si="27"/>
        <v>2784300000</v>
      </c>
      <c r="V70" s="31">
        <f t="shared" si="28"/>
        <v>9944190000</v>
      </c>
      <c r="W70">
        <f t="shared" si="29"/>
        <v>7.6371453654755585E-11</v>
      </c>
      <c r="X70">
        <f t="shared" si="30"/>
        <v>0.12193829628085492</v>
      </c>
      <c r="Y70" s="9"/>
    </row>
    <row r="71" spans="1:25">
      <c r="A71" s="21">
        <v>45523</v>
      </c>
      <c r="B71" s="28">
        <v>29.15</v>
      </c>
      <c r="C71" s="29">
        <f t="shared" si="18"/>
        <v>3.6260220405261272E-2</v>
      </c>
      <c r="D71" s="24">
        <f t="shared" si="19"/>
        <v>1.8491781919715032E-2</v>
      </c>
      <c r="E71" s="28">
        <v>29.25</v>
      </c>
      <c r="F71" s="28">
        <v>27.9</v>
      </c>
      <c r="G71" s="22">
        <f t="shared" si="14"/>
        <v>4.7244094488189024E-2</v>
      </c>
      <c r="H71" s="28">
        <v>29.24</v>
      </c>
      <c r="I71" s="28">
        <v>29.12</v>
      </c>
      <c r="J71" s="24">
        <f t="shared" si="15"/>
        <v>4.1124057573679726E-3</v>
      </c>
      <c r="K71" s="25">
        <v>2038468</v>
      </c>
      <c r="L71" s="24">
        <f t="shared" si="20"/>
        <v>880300000</v>
      </c>
      <c r="M71" s="24">
        <f t="shared" si="21"/>
        <v>59421342.199999996</v>
      </c>
      <c r="N71" s="24">
        <f t="shared" si="22"/>
        <v>456360000</v>
      </c>
      <c r="O71" s="24">
        <f t="shared" si="23"/>
        <v>4.4667981418178631E-3</v>
      </c>
      <c r="P71" s="10">
        <v>77830.34</v>
      </c>
      <c r="Q71" s="9">
        <v>0.189</v>
      </c>
      <c r="R71" s="24">
        <f t="shared" si="24"/>
        <v>81551000000</v>
      </c>
      <c r="S71" s="24">
        <f t="shared" si="25"/>
        <v>19590000000</v>
      </c>
      <c r="T71" s="24">
        <f t="shared" si="26"/>
        <v>-1361500000</v>
      </c>
      <c r="U71" s="24">
        <f t="shared" si="27"/>
        <v>2784300000</v>
      </c>
      <c r="V71" s="31">
        <f t="shared" si="28"/>
        <v>9944190000</v>
      </c>
      <c r="W71">
        <f t="shared" si="29"/>
        <v>6.1022217039825255E-10</v>
      </c>
      <c r="X71">
        <f t="shared" si="30"/>
        <v>0.12193829628085492</v>
      </c>
      <c r="Y71" s="9"/>
    </row>
    <row r="72" spans="1:25">
      <c r="A72" s="21">
        <v>45520</v>
      </c>
      <c r="B72" s="28">
        <v>28.13</v>
      </c>
      <c r="C72" s="29">
        <f t="shared" si="18"/>
        <v>-3.4328870580157912E-2</v>
      </c>
      <c r="D72" s="24">
        <f t="shared" si="19"/>
        <v>1.8491781919715032E-2</v>
      </c>
      <c r="E72" s="28">
        <v>29</v>
      </c>
      <c r="F72" s="28">
        <v>27.5</v>
      </c>
      <c r="G72" s="22">
        <f t="shared" si="14"/>
        <v>5.3097345132743362E-2</v>
      </c>
      <c r="H72" s="28">
        <v>28.25</v>
      </c>
      <c r="I72" s="28">
        <v>28.2</v>
      </c>
      <c r="J72" s="24">
        <f t="shared" si="15"/>
        <v>1.7714791851195998E-3</v>
      </c>
      <c r="K72" s="25">
        <v>2832373</v>
      </c>
      <c r="L72" s="24">
        <f t="shared" si="20"/>
        <v>880300000</v>
      </c>
      <c r="M72" s="24">
        <f t="shared" si="21"/>
        <v>79674652.489999995</v>
      </c>
      <c r="N72" s="24">
        <f t="shared" si="22"/>
        <v>456360000</v>
      </c>
      <c r="O72" s="24">
        <f t="shared" si="23"/>
        <v>6.2064444736611444E-3</v>
      </c>
      <c r="P72" s="10">
        <v>78045.31</v>
      </c>
      <c r="Q72" s="9">
        <v>0.189</v>
      </c>
      <c r="R72" s="24">
        <f t="shared" si="24"/>
        <v>81551000000</v>
      </c>
      <c r="S72" s="24">
        <f t="shared" si="25"/>
        <v>19590000000</v>
      </c>
      <c r="T72" s="24">
        <f t="shared" si="26"/>
        <v>-1361500000</v>
      </c>
      <c r="U72" s="24">
        <f t="shared" si="27"/>
        <v>2784300000</v>
      </c>
      <c r="V72" s="31">
        <f t="shared" si="28"/>
        <v>9944190000</v>
      </c>
      <c r="W72">
        <f t="shared" si="29"/>
        <v>4.3086313535495551E-10</v>
      </c>
      <c r="X72">
        <f t="shared" si="30"/>
        <v>0.12193829628085492</v>
      </c>
      <c r="Y72" s="9"/>
    </row>
    <row r="73" spans="1:25">
      <c r="A73" s="21">
        <v>45519</v>
      </c>
      <c r="B73" s="28">
        <v>29.13</v>
      </c>
      <c r="C73" s="29">
        <f t="shared" si="18"/>
        <v>-3.158244680851062E-2</v>
      </c>
      <c r="D73" s="24">
        <f t="shared" si="19"/>
        <v>1.8491781919715032E-2</v>
      </c>
      <c r="E73" s="28">
        <v>30.29</v>
      </c>
      <c r="F73" s="28">
        <v>29.01</v>
      </c>
      <c r="G73" s="22">
        <f t="shared" si="14"/>
        <v>4.3170320404721671E-2</v>
      </c>
      <c r="H73" s="28">
        <v>29.04</v>
      </c>
      <c r="I73" s="28">
        <v>29.03</v>
      </c>
      <c r="J73" s="24">
        <f t="shared" si="15"/>
        <v>3.4441191665224763E-4</v>
      </c>
      <c r="K73" s="25">
        <v>1629003</v>
      </c>
      <c r="L73" s="24">
        <f t="shared" si="20"/>
        <v>880300000</v>
      </c>
      <c r="M73" s="24">
        <f t="shared" si="21"/>
        <v>47452857.390000001</v>
      </c>
      <c r="N73" s="24">
        <f t="shared" si="22"/>
        <v>456360000</v>
      </c>
      <c r="O73" s="24">
        <f t="shared" si="23"/>
        <v>3.569556928740468E-3</v>
      </c>
      <c r="P73" s="10">
        <v>78105.98</v>
      </c>
      <c r="Q73" s="9">
        <v>0.189</v>
      </c>
      <c r="R73" s="24">
        <f t="shared" si="24"/>
        <v>81551000000</v>
      </c>
      <c r="S73" s="24">
        <f t="shared" si="25"/>
        <v>19590000000</v>
      </c>
      <c r="T73" s="24">
        <f t="shared" si="26"/>
        <v>-1361500000</v>
      </c>
      <c r="U73" s="24">
        <f t="shared" si="27"/>
        <v>2784300000</v>
      </c>
      <c r="V73" s="31">
        <f t="shared" si="28"/>
        <v>9944190000</v>
      </c>
      <c r="W73">
        <f t="shared" si="29"/>
        <v>6.6555416355530495E-10</v>
      </c>
      <c r="X73">
        <f t="shared" si="30"/>
        <v>0.12193829628085492</v>
      </c>
      <c r="Y73" s="9"/>
    </row>
    <row r="74" spans="1:25">
      <c r="A74" s="21">
        <v>45517</v>
      </c>
      <c r="B74" s="28">
        <v>30.08</v>
      </c>
      <c r="C74" s="29">
        <f t="shared" si="18"/>
        <v>-1.2475377544320505E-2</v>
      </c>
      <c r="D74" s="24">
        <f t="shared" si="19"/>
        <v>1.8491781919715032E-2</v>
      </c>
      <c r="E74" s="28">
        <v>30.4</v>
      </c>
      <c r="F74" s="28">
        <v>29.7</v>
      </c>
      <c r="G74" s="22">
        <f t="shared" si="14"/>
        <v>2.3294509151414289E-2</v>
      </c>
      <c r="H74" s="28">
        <v>30.15</v>
      </c>
      <c r="I74" s="28">
        <v>30.1</v>
      </c>
      <c r="J74" s="24">
        <f t="shared" si="15"/>
        <v>1.659751037344304E-3</v>
      </c>
      <c r="K74" s="25">
        <v>1883093</v>
      </c>
      <c r="L74" s="24">
        <f t="shared" si="20"/>
        <v>880300000</v>
      </c>
      <c r="M74" s="24">
        <f t="shared" si="21"/>
        <v>56643437.439999998</v>
      </c>
      <c r="N74" s="24">
        <f t="shared" si="22"/>
        <v>456360000</v>
      </c>
      <c r="O74" s="24">
        <f t="shared" si="23"/>
        <v>4.1263322815321239E-3</v>
      </c>
      <c r="P74" s="10">
        <v>77877.42</v>
      </c>
      <c r="Q74" s="9">
        <v>0.189</v>
      </c>
      <c r="R74" s="24">
        <f t="shared" si="24"/>
        <v>81551000000</v>
      </c>
      <c r="S74" s="24">
        <f t="shared" si="25"/>
        <v>19590000000</v>
      </c>
      <c r="T74" s="24">
        <f t="shared" si="26"/>
        <v>-1361500000</v>
      </c>
      <c r="U74" s="24">
        <f t="shared" si="27"/>
        <v>2784300000</v>
      </c>
      <c r="V74" s="31">
        <f t="shared" si="28"/>
        <v>9944190000</v>
      </c>
      <c r="W74">
        <f t="shared" si="29"/>
        <v>2.202440054513843E-10</v>
      </c>
      <c r="X74">
        <f t="shared" si="30"/>
        <v>0.12193829628085492</v>
      </c>
      <c r="Y74" s="9"/>
    </row>
    <row r="75" spans="1:25">
      <c r="A75" s="21">
        <v>45516</v>
      </c>
      <c r="B75" s="28">
        <v>30.46</v>
      </c>
      <c r="C75" s="29">
        <f t="shared" si="18"/>
        <v>-1.9633086578693254E-2</v>
      </c>
      <c r="D75" s="24">
        <f t="shared" si="19"/>
        <v>1.8491781919715032E-2</v>
      </c>
      <c r="E75" s="28">
        <v>30.74</v>
      </c>
      <c r="F75" s="28">
        <v>30</v>
      </c>
      <c r="G75" s="22">
        <f t="shared" si="14"/>
        <v>2.4366150806717106E-2</v>
      </c>
      <c r="H75" s="28">
        <v>30.6</v>
      </c>
      <c r="I75" s="28">
        <v>30.4</v>
      </c>
      <c r="J75" s="24">
        <f t="shared" si="15"/>
        <v>6.5573770491804207E-3</v>
      </c>
      <c r="K75" s="25">
        <v>1379922</v>
      </c>
      <c r="L75" s="24">
        <f t="shared" si="20"/>
        <v>880300000</v>
      </c>
      <c r="M75" s="24">
        <f t="shared" si="21"/>
        <v>42032424.120000005</v>
      </c>
      <c r="N75" s="24">
        <f t="shared" si="22"/>
        <v>456360000</v>
      </c>
      <c r="O75" s="24">
        <f t="shared" si="23"/>
        <v>3.0237575598211939E-3</v>
      </c>
      <c r="P75" s="10">
        <v>77980.289999999994</v>
      </c>
      <c r="Q75" s="9">
        <v>0.189</v>
      </c>
      <c r="R75" s="24">
        <f t="shared" si="24"/>
        <v>81551000000</v>
      </c>
      <c r="S75" s="24">
        <f t="shared" si="25"/>
        <v>19590000000</v>
      </c>
      <c r="T75" s="24">
        <f t="shared" si="26"/>
        <v>-1361500000</v>
      </c>
      <c r="U75" s="24">
        <f t="shared" si="27"/>
        <v>2784300000</v>
      </c>
      <c r="V75" s="31">
        <f t="shared" si="28"/>
        <v>9944190000</v>
      </c>
      <c r="W75">
        <f t="shared" si="29"/>
        <v>4.6709384456727954E-10</v>
      </c>
      <c r="X75">
        <f t="shared" si="30"/>
        <v>0.12193829628085492</v>
      </c>
      <c r="Y75" s="9"/>
    </row>
    <row r="76" spans="1:25">
      <c r="A76" s="21">
        <v>45513</v>
      </c>
      <c r="B76" s="28">
        <v>31.07</v>
      </c>
      <c r="C76" s="29">
        <f t="shared" si="18"/>
        <v>-3.808049535603706E-2</v>
      </c>
      <c r="D76" s="24">
        <f t="shared" si="19"/>
        <v>1.8491781919715032E-2</v>
      </c>
      <c r="E76" s="28">
        <v>31.5</v>
      </c>
      <c r="F76" s="28">
        <v>29.42</v>
      </c>
      <c r="G76" s="22">
        <f t="shared" si="14"/>
        <v>6.8286277084701183E-2</v>
      </c>
      <c r="H76" s="28">
        <v>31.1</v>
      </c>
      <c r="I76" s="28">
        <v>30.9</v>
      </c>
      <c r="J76" s="24">
        <f t="shared" si="15"/>
        <v>6.4516129032258984E-3</v>
      </c>
      <c r="K76" s="25">
        <v>6782463</v>
      </c>
      <c r="L76" s="24">
        <f t="shared" si="20"/>
        <v>880300000</v>
      </c>
      <c r="M76" s="24">
        <f t="shared" si="21"/>
        <v>210731125.41</v>
      </c>
      <c r="N76" s="24">
        <f t="shared" si="22"/>
        <v>456360000</v>
      </c>
      <c r="O76" s="24">
        <f t="shared" si="23"/>
        <v>1.4862089140152511E-2</v>
      </c>
      <c r="P76" s="10">
        <v>78569.59</v>
      </c>
      <c r="Q76" s="9">
        <v>0.189</v>
      </c>
      <c r="R76" s="24">
        <f t="shared" si="24"/>
        <v>81551000000</v>
      </c>
      <c r="S76" s="24">
        <f t="shared" si="25"/>
        <v>19590000000</v>
      </c>
      <c r="T76" s="24">
        <f t="shared" si="26"/>
        <v>-1361500000</v>
      </c>
      <c r="U76" s="24">
        <f t="shared" si="27"/>
        <v>2784300000</v>
      </c>
      <c r="V76" s="31">
        <f t="shared" si="28"/>
        <v>9944190000</v>
      </c>
      <c r="W76">
        <f t="shared" si="29"/>
        <v>1.8070655334824113E-10</v>
      </c>
      <c r="X76">
        <f t="shared" si="30"/>
        <v>0.12193829628085492</v>
      </c>
      <c r="Y76" s="9"/>
    </row>
    <row r="77" spans="1:25">
      <c r="A77" s="21">
        <v>45512</v>
      </c>
      <c r="B77" s="28">
        <v>32.299999999999997</v>
      </c>
      <c r="C77" s="29">
        <f t="shared" si="18"/>
        <v>-1.3137794072716156E-2</v>
      </c>
      <c r="D77" s="24">
        <f t="shared" si="19"/>
        <v>1.8491781919715032E-2</v>
      </c>
      <c r="E77" s="28">
        <v>32.44</v>
      </c>
      <c r="F77" s="28">
        <v>31.6</v>
      </c>
      <c r="G77" s="22">
        <f t="shared" si="14"/>
        <v>2.6233603997501451E-2</v>
      </c>
      <c r="H77" s="28">
        <v>32.24</v>
      </c>
      <c r="I77" s="28">
        <v>32.21</v>
      </c>
      <c r="J77" s="24">
        <f t="shared" si="15"/>
        <v>9.3095422808382115E-4</v>
      </c>
      <c r="K77" s="25">
        <v>829630</v>
      </c>
      <c r="L77" s="24">
        <f t="shared" si="20"/>
        <v>880300000</v>
      </c>
      <c r="M77" s="24">
        <f t="shared" si="21"/>
        <v>26797048.999999996</v>
      </c>
      <c r="N77" s="24">
        <f t="shared" si="22"/>
        <v>456360000</v>
      </c>
      <c r="O77" s="24">
        <f t="shared" si="23"/>
        <v>1.8179288281181523E-3</v>
      </c>
      <c r="P77" s="10">
        <v>77874.22</v>
      </c>
      <c r="Q77" s="9">
        <v>0.189</v>
      </c>
      <c r="R77" s="24">
        <f t="shared" si="24"/>
        <v>81551000000</v>
      </c>
      <c r="S77" s="24">
        <f t="shared" si="25"/>
        <v>19590000000</v>
      </c>
      <c r="T77" s="24">
        <f t="shared" si="26"/>
        <v>-1361500000</v>
      </c>
      <c r="U77" s="24">
        <f t="shared" si="27"/>
        <v>2784300000</v>
      </c>
      <c r="V77" s="31">
        <f t="shared" si="28"/>
        <v>9944190000</v>
      </c>
      <c r="W77">
        <f t="shared" si="29"/>
        <v>4.9027018134407852E-10</v>
      </c>
      <c r="X77">
        <f t="shared" si="30"/>
        <v>0.12193829628085492</v>
      </c>
      <c r="Y77" s="9"/>
    </row>
    <row r="78" spans="1:25">
      <c r="A78" s="21">
        <v>45511</v>
      </c>
      <c r="B78" s="28">
        <v>32.729999999999997</v>
      </c>
      <c r="C78" s="29">
        <f t="shared" si="18"/>
        <v>1.6459627329192358E-2</v>
      </c>
      <c r="D78" s="24">
        <f t="shared" si="19"/>
        <v>1.8491781919715032E-2</v>
      </c>
      <c r="E78" s="28">
        <v>32.89</v>
      </c>
      <c r="F78" s="28">
        <v>32</v>
      </c>
      <c r="G78" s="22">
        <f t="shared" si="14"/>
        <v>2.743103713977502E-2</v>
      </c>
      <c r="H78" s="28">
        <v>32.6</v>
      </c>
      <c r="I78" s="28">
        <v>32.31</v>
      </c>
      <c r="J78" s="24">
        <f t="shared" si="15"/>
        <v>8.9354490833461458E-3</v>
      </c>
      <c r="K78" s="25">
        <v>740767</v>
      </c>
      <c r="L78" s="24">
        <f t="shared" si="20"/>
        <v>880300000</v>
      </c>
      <c r="M78" s="24">
        <f t="shared" si="21"/>
        <v>24245303.909999996</v>
      </c>
      <c r="N78" s="24">
        <f t="shared" si="22"/>
        <v>456360000</v>
      </c>
      <c r="O78" s="24">
        <f t="shared" si="23"/>
        <v>1.6232075554386887E-3</v>
      </c>
      <c r="P78" s="10">
        <v>77114.490000000005</v>
      </c>
      <c r="Q78" s="9">
        <v>0.189</v>
      </c>
      <c r="R78" s="24">
        <f t="shared" si="24"/>
        <v>81551000000</v>
      </c>
      <c r="S78" s="24">
        <f t="shared" si="25"/>
        <v>19590000000</v>
      </c>
      <c r="T78" s="24">
        <f t="shared" si="26"/>
        <v>-1361500000</v>
      </c>
      <c r="U78" s="24">
        <f t="shared" si="27"/>
        <v>2784300000</v>
      </c>
      <c r="V78" s="31">
        <f t="shared" si="28"/>
        <v>9944190000</v>
      </c>
      <c r="W78">
        <f t="shared" si="29"/>
        <v>6.788789858147982E-10</v>
      </c>
      <c r="X78">
        <f t="shared" si="30"/>
        <v>0.12193829628085492</v>
      </c>
      <c r="Y78" s="9"/>
    </row>
    <row r="79" spans="1:25">
      <c r="A79" s="21">
        <v>45510</v>
      </c>
      <c r="B79" s="28">
        <v>32.200000000000003</v>
      </c>
      <c r="C79" s="29">
        <f t="shared" si="18"/>
        <v>5.6214865708931827E-3</v>
      </c>
      <c r="D79" s="24">
        <f t="shared" si="19"/>
        <v>1.8491781919715032E-2</v>
      </c>
      <c r="E79" s="28">
        <v>32.630000000000003</v>
      </c>
      <c r="F79" s="28">
        <v>32</v>
      </c>
      <c r="G79" s="22">
        <f t="shared" si="14"/>
        <v>1.9495590283150319E-2</v>
      </c>
      <c r="H79" s="28">
        <v>32.229999999999997</v>
      </c>
      <c r="I79" s="28">
        <v>32.119999999999997</v>
      </c>
      <c r="J79" s="24">
        <f t="shared" si="15"/>
        <v>3.4188034188034015E-3</v>
      </c>
      <c r="K79" s="25">
        <v>696953</v>
      </c>
      <c r="L79" s="24">
        <f t="shared" si="20"/>
        <v>880300000</v>
      </c>
      <c r="M79" s="24">
        <f t="shared" si="21"/>
        <v>22441886.600000001</v>
      </c>
      <c r="N79" s="24">
        <f t="shared" si="22"/>
        <v>456360000</v>
      </c>
      <c r="O79" s="24">
        <f t="shared" si="23"/>
        <v>1.5272000175300202E-3</v>
      </c>
      <c r="P79" s="10">
        <v>77191.34</v>
      </c>
      <c r="Q79" s="9">
        <v>0.19489999999999999</v>
      </c>
      <c r="R79" s="24">
        <f t="shared" si="24"/>
        <v>81551000000</v>
      </c>
      <c r="S79" s="24">
        <f t="shared" si="25"/>
        <v>19590000000</v>
      </c>
      <c r="T79" s="24">
        <f t="shared" si="26"/>
        <v>-1361500000</v>
      </c>
      <c r="U79" s="24">
        <f t="shared" si="27"/>
        <v>2784300000</v>
      </c>
      <c r="V79" s="31">
        <f t="shared" si="28"/>
        <v>9944190000</v>
      </c>
      <c r="W79">
        <f t="shared" si="29"/>
        <v>2.5049081973764107E-10</v>
      </c>
      <c r="X79">
        <f t="shared" si="30"/>
        <v>0.12193829628085492</v>
      </c>
      <c r="Y79" s="9"/>
    </row>
    <row r="80" spans="1:25">
      <c r="A80" s="21">
        <v>45509</v>
      </c>
      <c r="B80" s="28">
        <v>32.020000000000003</v>
      </c>
      <c r="C80" s="29">
        <f t="shared" si="18"/>
        <v>-2.4922118380061773E-3</v>
      </c>
      <c r="D80" s="24">
        <f t="shared" si="19"/>
        <v>1.8491781919715032E-2</v>
      </c>
      <c r="E80" s="28">
        <v>32.229999999999997</v>
      </c>
      <c r="F80" s="28">
        <v>31.86</v>
      </c>
      <c r="G80" s="22">
        <f t="shared" si="14"/>
        <v>1.1546263067561161E-2</v>
      </c>
      <c r="H80" s="28">
        <v>32.11</v>
      </c>
      <c r="I80" s="28">
        <v>32.1</v>
      </c>
      <c r="J80" s="24">
        <f t="shared" si="15"/>
        <v>3.114779629340604E-4</v>
      </c>
      <c r="K80" s="25">
        <v>1147325</v>
      </c>
      <c r="L80" s="24">
        <f t="shared" si="20"/>
        <v>880300000</v>
      </c>
      <c r="M80" s="24">
        <f t="shared" si="21"/>
        <v>36737346.5</v>
      </c>
      <c r="N80" s="24">
        <f t="shared" si="22"/>
        <v>456360000</v>
      </c>
      <c r="O80" s="24">
        <f t="shared" si="23"/>
        <v>2.5140787974406169E-3</v>
      </c>
      <c r="P80" s="10">
        <v>77084.490000000005</v>
      </c>
      <c r="Q80" s="9">
        <v>0.19489999999999999</v>
      </c>
      <c r="R80" s="24">
        <f t="shared" si="24"/>
        <v>81551000000</v>
      </c>
      <c r="S80" s="24">
        <f t="shared" si="25"/>
        <v>19590000000</v>
      </c>
      <c r="T80" s="24">
        <f t="shared" si="26"/>
        <v>-1361500000</v>
      </c>
      <c r="U80" s="24">
        <f t="shared" si="27"/>
        <v>2784300000</v>
      </c>
      <c r="V80" s="31">
        <f t="shared" si="28"/>
        <v>9944190000</v>
      </c>
      <c r="W80">
        <f t="shared" si="29"/>
        <v>6.7838645831597481E-11</v>
      </c>
      <c r="X80">
        <f t="shared" si="30"/>
        <v>0.12193829628085492</v>
      </c>
      <c r="Y80" s="9"/>
    </row>
    <row r="81" spans="1:25">
      <c r="A81" s="21">
        <v>45506</v>
      </c>
      <c r="B81" s="28">
        <v>32.1</v>
      </c>
      <c r="C81" s="29">
        <f t="shared" si="18"/>
        <v>2.0019065776930491E-2</v>
      </c>
      <c r="D81" s="24">
        <f t="shared" si="19"/>
        <v>1.8491781919715032E-2</v>
      </c>
      <c r="E81" s="28">
        <v>32.22</v>
      </c>
      <c r="F81" s="28">
        <v>31.5</v>
      </c>
      <c r="G81" s="22">
        <f t="shared" si="14"/>
        <v>2.259887005649714E-2</v>
      </c>
      <c r="H81" s="28">
        <v>32.14</v>
      </c>
      <c r="I81" s="28">
        <v>32.1</v>
      </c>
      <c r="J81" s="24">
        <f t="shared" si="15"/>
        <v>1.2453300124532734E-3</v>
      </c>
      <c r="K81" s="25">
        <v>561737</v>
      </c>
      <c r="L81" s="24">
        <f t="shared" si="20"/>
        <v>880300000</v>
      </c>
      <c r="M81" s="24">
        <f t="shared" si="21"/>
        <v>18031757.699999999</v>
      </c>
      <c r="N81" s="24">
        <f t="shared" si="22"/>
        <v>456360000</v>
      </c>
      <c r="O81" s="24">
        <f t="shared" si="23"/>
        <v>1.2309076167937593E-3</v>
      </c>
      <c r="P81" s="10">
        <v>78225.98</v>
      </c>
      <c r="Q81" s="9">
        <v>0.19489999999999999</v>
      </c>
      <c r="R81" s="24">
        <f t="shared" si="24"/>
        <v>81551000000</v>
      </c>
      <c r="S81" s="24">
        <f t="shared" si="25"/>
        <v>19590000000</v>
      </c>
      <c r="T81" s="24">
        <f t="shared" si="26"/>
        <v>-1361500000</v>
      </c>
      <c r="U81" s="24">
        <f t="shared" si="27"/>
        <v>2784300000</v>
      </c>
      <c r="V81" s="31">
        <f t="shared" si="28"/>
        <v>9944190000</v>
      </c>
      <c r="W81">
        <f t="shared" si="29"/>
        <v>1.1102115561884737E-9</v>
      </c>
      <c r="X81">
        <f t="shared" si="30"/>
        <v>0.12193829628085492</v>
      </c>
      <c r="Y81" s="9"/>
    </row>
    <row r="82" spans="1:25">
      <c r="A82" s="21">
        <v>45505</v>
      </c>
      <c r="B82" s="28">
        <v>31.47</v>
      </c>
      <c r="C82" s="29">
        <f t="shared" si="18"/>
        <v>8.6538461538461404E-3</v>
      </c>
      <c r="D82" s="24">
        <f t="shared" si="19"/>
        <v>1.8491781919715032E-2</v>
      </c>
      <c r="E82" s="28">
        <v>32</v>
      </c>
      <c r="F82" s="28">
        <v>31.02</v>
      </c>
      <c r="G82" s="22">
        <f t="shared" si="14"/>
        <v>3.110123770231674E-2</v>
      </c>
      <c r="H82" s="28">
        <v>31.4</v>
      </c>
      <c r="I82" s="28">
        <v>31.38</v>
      </c>
      <c r="J82" s="24">
        <f t="shared" si="15"/>
        <v>6.3714558776679117E-4</v>
      </c>
      <c r="K82" s="25">
        <v>378194</v>
      </c>
      <c r="L82" s="24">
        <f t="shared" si="20"/>
        <v>880300000</v>
      </c>
      <c r="M82" s="24">
        <f t="shared" si="21"/>
        <v>11901765.18</v>
      </c>
      <c r="N82" s="24">
        <f t="shared" si="22"/>
        <v>456360000</v>
      </c>
      <c r="O82" s="24">
        <f t="shared" si="23"/>
        <v>8.287185555263389E-4</v>
      </c>
      <c r="P82" s="10">
        <v>77740.31</v>
      </c>
      <c r="Q82" s="9">
        <v>0.19489999999999999</v>
      </c>
      <c r="R82" s="24">
        <f t="shared" si="24"/>
        <v>81551000000</v>
      </c>
      <c r="S82" s="24">
        <f t="shared" si="25"/>
        <v>19590000000</v>
      </c>
      <c r="T82" s="24">
        <f t="shared" si="26"/>
        <v>-1361500000</v>
      </c>
      <c r="U82" s="24">
        <f t="shared" si="27"/>
        <v>2784300000</v>
      </c>
      <c r="V82" s="31">
        <f t="shared" si="28"/>
        <v>9944190000</v>
      </c>
      <c r="W82">
        <f t="shared" si="29"/>
        <v>7.2710610762076389E-10</v>
      </c>
      <c r="X82">
        <f t="shared" si="30"/>
        <v>0.12193829628085492</v>
      </c>
      <c r="Y82" s="9"/>
    </row>
    <row r="83" spans="1:25">
      <c r="A83" s="21">
        <v>45504</v>
      </c>
      <c r="B83" s="28">
        <v>31.2</v>
      </c>
      <c r="C83" s="29">
        <f t="shared" si="18"/>
        <v>-4.1493775933609646E-3</v>
      </c>
      <c r="D83" s="24">
        <f t="shared" si="19"/>
        <v>1.8491781919715032E-2</v>
      </c>
      <c r="E83" s="28">
        <v>32</v>
      </c>
      <c r="F83" s="28">
        <v>31.08</v>
      </c>
      <c r="G83" s="22">
        <f t="shared" si="14"/>
        <v>2.916930881420424E-2</v>
      </c>
      <c r="H83" s="28">
        <v>31.35</v>
      </c>
      <c r="I83" s="28">
        <v>31.15</v>
      </c>
      <c r="J83" s="24">
        <f t="shared" si="15"/>
        <v>6.4000000000000914E-3</v>
      </c>
      <c r="K83" s="25">
        <v>459757</v>
      </c>
      <c r="L83" s="24">
        <f t="shared" si="20"/>
        <v>880300000</v>
      </c>
      <c r="M83" s="24">
        <f t="shared" si="21"/>
        <v>14344418.4</v>
      </c>
      <c r="N83" s="24">
        <f t="shared" si="22"/>
        <v>456360000</v>
      </c>
      <c r="O83" s="24">
        <f t="shared" si="23"/>
        <v>1.0074436848102376E-3</v>
      </c>
      <c r="P83" s="10">
        <v>77886.990000000005</v>
      </c>
      <c r="Q83" s="9">
        <v>0.19489999999999999</v>
      </c>
      <c r="R83" s="24">
        <f t="shared" si="24"/>
        <v>81551000000</v>
      </c>
      <c r="S83" s="24">
        <f t="shared" si="25"/>
        <v>19590000000</v>
      </c>
      <c r="T83" s="24">
        <f t="shared" si="26"/>
        <v>-1361500000</v>
      </c>
      <c r="U83" s="24">
        <f t="shared" si="27"/>
        <v>2784300000</v>
      </c>
      <c r="V83" s="31">
        <f t="shared" si="28"/>
        <v>9944190000</v>
      </c>
      <c r="W83">
        <f t="shared" si="29"/>
        <v>2.8926774705351347E-10</v>
      </c>
      <c r="X83">
        <f t="shared" si="30"/>
        <v>0.12193829628085492</v>
      </c>
      <c r="Y83" s="9"/>
    </row>
    <row r="84" spans="1:25">
      <c r="A84" s="21">
        <v>45503</v>
      </c>
      <c r="B84" s="28">
        <v>31.33</v>
      </c>
      <c r="C84" s="29">
        <f t="shared" si="18"/>
        <v>-1.3539042821158793E-2</v>
      </c>
      <c r="D84" s="24">
        <f t="shared" si="19"/>
        <v>1.8491781919715032E-2</v>
      </c>
      <c r="E84" s="28">
        <v>31.75</v>
      </c>
      <c r="F84" s="28">
        <v>31.15</v>
      </c>
      <c r="G84" s="22">
        <f t="shared" si="14"/>
        <v>1.9077901430842654E-2</v>
      </c>
      <c r="H84" s="28">
        <v>31.37</v>
      </c>
      <c r="I84" s="28">
        <v>31.28</v>
      </c>
      <c r="J84" s="24">
        <f t="shared" si="15"/>
        <v>2.8731045490821977E-3</v>
      </c>
      <c r="K84" s="25">
        <v>233231</v>
      </c>
      <c r="L84" s="24">
        <f t="shared" si="20"/>
        <v>880300000</v>
      </c>
      <c r="M84" s="24">
        <f t="shared" si="21"/>
        <v>7307127.2299999995</v>
      </c>
      <c r="N84" s="24">
        <f t="shared" si="22"/>
        <v>456360000</v>
      </c>
      <c r="O84" s="24">
        <f t="shared" si="23"/>
        <v>5.110680164782189E-4</v>
      </c>
      <c r="P84" s="10">
        <v>78628.81</v>
      </c>
      <c r="Q84" s="9">
        <v>0.19489999999999999</v>
      </c>
      <c r="R84" s="24">
        <f t="shared" si="24"/>
        <v>81551000000</v>
      </c>
      <c r="S84" s="24">
        <f t="shared" si="25"/>
        <v>19590000000</v>
      </c>
      <c r="T84" s="24">
        <f t="shared" si="26"/>
        <v>-1361500000</v>
      </c>
      <c r="U84" s="24">
        <f t="shared" si="27"/>
        <v>2784300000</v>
      </c>
      <c r="V84" s="31">
        <f t="shared" si="28"/>
        <v>9944190000</v>
      </c>
      <c r="W84">
        <f t="shared" si="29"/>
        <v>1.8528543974947038E-9</v>
      </c>
      <c r="X84">
        <f t="shared" si="30"/>
        <v>0.12193829628085492</v>
      </c>
      <c r="Y84" s="9"/>
    </row>
    <row r="85" spans="1:25">
      <c r="A85" s="21">
        <v>45502</v>
      </c>
      <c r="B85" s="28">
        <v>31.76</v>
      </c>
      <c r="C85" s="29">
        <f t="shared" si="18"/>
        <v>4.4736842105263255E-2</v>
      </c>
      <c r="D85" s="24">
        <f t="shared" si="19"/>
        <v>1.8491781919715032E-2</v>
      </c>
      <c r="E85" s="28">
        <v>32</v>
      </c>
      <c r="F85" s="28">
        <v>30.01</v>
      </c>
      <c r="G85" s="22">
        <f t="shared" si="14"/>
        <v>6.4183196258667904E-2</v>
      </c>
      <c r="H85" s="28">
        <v>31.92</v>
      </c>
      <c r="I85" s="28">
        <v>31.9</v>
      </c>
      <c r="J85" s="24">
        <f t="shared" si="15"/>
        <v>6.2676277029154268E-4</v>
      </c>
      <c r="K85" s="25">
        <v>1273267</v>
      </c>
      <c r="L85" s="24">
        <f t="shared" si="20"/>
        <v>880300000</v>
      </c>
      <c r="M85" s="24">
        <f t="shared" si="21"/>
        <v>40438959.920000002</v>
      </c>
      <c r="N85" s="24">
        <f t="shared" si="22"/>
        <v>456360000</v>
      </c>
      <c r="O85" s="24">
        <f t="shared" si="23"/>
        <v>2.7900495223069505E-3</v>
      </c>
      <c r="P85" s="10">
        <v>78827.740000000005</v>
      </c>
      <c r="Q85" s="9">
        <v>0.19489999999999999</v>
      </c>
      <c r="R85" s="24">
        <f t="shared" si="24"/>
        <v>81551000000</v>
      </c>
      <c r="S85" s="24">
        <f t="shared" si="25"/>
        <v>19590000000</v>
      </c>
      <c r="T85" s="24">
        <f t="shared" si="26"/>
        <v>-1361500000</v>
      </c>
      <c r="U85" s="24">
        <f t="shared" si="27"/>
        <v>2784300000</v>
      </c>
      <c r="V85" s="31">
        <f t="shared" si="28"/>
        <v>9944190000</v>
      </c>
      <c r="W85">
        <f t="shared" si="29"/>
        <v>1.1062807301118948E-9</v>
      </c>
      <c r="X85">
        <f t="shared" si="30"/>
        <v>0.12193829628085492</v>
      </c>
      <c r="Y85" s="9"/>
    </row>
    <row r="86" spans="1:25">
      <c r="A86" s="21">
        <v>45499</v>
      </c>
      <c r="B86" s="28">
        <v>30.4</v>
      </c>
      <c r="C86" s="29">
        <f t="shared" si="18"/>
        <v>-5.8862001308044387E-3</v>
      </c>
      <c r="D86" s="24">
        <f t="shared" si="19"/>
        <v>1.8491781919715032E-2</v>
      </c>
      <c r="E86" s="28">
        <v>30.5</v>
      </c>
      <c r="F86" s="28">
        <v>29.75</v>
      </c>
      <c r="G86" s="22">
        <f t="shared" si="14"/>
        <v>2.4896265560165973E-2</v>
      </c>
      <c r="H86" s="28">
        <v>30.4</v>
      </c>
      <c r="I86" s="28">
        <v>30.32</v>
      </c>
      <c r="J86" s="24">
        <f t="shared" si="15"/>
        <v>2.6350461133069266E-3</v>
      </c>
      <c r="K86" s="25">
        <v>784139</v>
      </c>
      <c r="L86" s="24">
        <f t="shared" si="20"/>
        <v>880300000</v>
      </c>
      <c r="M86" s="24">
        <f t="shared" si="21"/>
        <v>23837825.599999998</v>
      </c>
      <c r="N86" s="24">
        <f t="shared" si="22"/>
        <v>456360000</v>
      </c>
      <c r="O86" s="24">
        <f t="shared" si="23"/>
        <v>1.7182465597335437E-3</v>
      </c>
      <c r="P86" s="10">
        <v>78029.509999999995</v>
      </c>
      <c r="Q86" s="9">
        <v>0.19489999999999999</v>
      </c>
      <c r="R86" s="24">
        <f t="shared" si="24"/>
        <v>81551000000</v>
      </c>
      <c r="S86" s="24">
        <f t="shared" si="25"/>
        <v>19590000000</v>
      </c>
      <c r="T86" s="24">
        <f t="shared" si="26"/>
        <v>-1361500000</v>
      </c>
      <c r="U86" s="24">
        <f t="shared" si="27"/>
        <v>2784300000</v>
      </c>
      <c r="V86" s="31">
        <f t="shared" si="28"/>
        <v>9944190000</v>
      </c>
      <c r="W86">
        <f t="shared" si="29"/>
        <v>2.469268896238774E-10</v>
      </c>
      <c r="X86">
        <f t="shared" si="30"/>
        <v>0.12193829628085492</v>
      </c>
      <c r="Y86" s="9"/>
    </row>
    <row r="87" spans="1:25">
      <c r="A87" s="21">
        <v>45498</v>
      </c>
      <c r="B87" s="28">
        <v>30.58</v>
      </c>
      <c r="C87" s="29">
        <f t="shared" si="18"/>
        <v>-3.8364779874213911E-2</v>
      </c>
      <c r="D87" s="24">
        <f t="shared" si="19"/>
        <v>1.8491781919715032E-2</v>
      </c>
      <c r="E87" s="28">
        <v>31.82</v>
      </c>
      <c r="F87" s="28">
        <v>30.51</v>
      </c>
      <c r="G87" s="22">
        <f t="shared" si="14"/>
        <v>4.2034333386812089E-2</v>
      </c>
      <c r="H87" s="28">
        <v>30.52</v>
      </c>
      <c r="I87" s="28">
        <v>30.51</v>
      </c>
      <c r="J87" s="24">
        <f t="shared" si="15"/>
        <v>3.277076847451421E-4</v>
      </c>
      <c r="K87" s="25">
        <v>725092</v>
      </c>
      <c r="L87" s="24">
        <f t="shared" si="20"/>
        <v>880300000</v>
      </c>
      <c r="M87" s="24">
        <f t="shared" si="21"/>
        <v>22173313.359999999</v>
      </c>
      <c r="N87" s="24">
        <f t="shared" si="22"/>
        <v>456360000</v>
      </c>
      <c r="O87" s="24">
        <f t="shared" si="23"/>
        <v>1.5888596721886231E-3</v>
      </c>
      <c r="P87" s="10">
        <v>78469.33</v>
      </c>
      <c r="Q87" s="9">
        <v>0.19489999999999999</v>
      </c>
      <c r="R87" s="24">
        <f t="shared" si="24"/>
        <v>81551000000</v>
      </c>
      <c r="S87" s="24">
        <f t="shared" si="25"/>
        <v>19590000000</v>
      </c>
      <c r="T87" s="24">
        <f t="shared" si="26"/>
        <v>-1361500000</v>
      </c>
      <c r="U87" s="24">
        <f t="shared" si="27"/>
        <v>2784300000</v>
      </c>
      <c r="V87" s="31">
        <f t="shared" si="28"/>
        <v>9944190000</v>
      </c>
      <c r="W87">
        <f t="shared" si="29"/>
        <v>1.7302231403730053E-9</v>
      </c>
      <c r="X87">
        <f t="shared" si="30"/>
        <v>0.12193829628085492</v>
      </c>
      <c r="Y87" s="9"/>
    </row>
    <row r="88" spans="1:25">
      <c r="A88" s="21">
        <v>45497</v>
      </c>
      <c r="B88" s="28">
        <v>31.8</v>
      </c>
      <c r="C88" s="29">
        <f t="shared" si="18"/>
        <v>-1.9728729963008541E-2</v>
      </c>
      <c r="D88" s="24">
        <f t="shared" si="19"/>
        <v>1.8491781919715032E-2</v>
      </c>
      <c r="E88" s="28">
        <v>32.590000000000003</v>
      </c>
      <c r="F88" s="28">
        <v>31.7</v>
      </c>
      <c r="G88" s="22">
        <f t="shared" si="14"/>
        <v>2.7687043086016612E-2</v>
      </c>
      <c r="H88" s="28">
        <v>31.94</v>
      </c>
      <c r="I88" s="28">
        <v>31.9</v>
      </c>
      <c r="J88" s="24">
        <f t="shared" si="15"/>
        <v>1.253132832080285E-3</v>
      </c>
      <c r="K88" s="25">
        <v>669219</v>
      </c>
      <c r="L88" s="24">
        <f t="shared" si="20"/>
        <v>880300000</v>
      </c>
      <c r="M88" s="24">
        <f t="shared" si="21"/>
        <v>21281164.199999999</v>
      </c>
      <c r="N88" s="24">
        <f t="shared" si="22"/>
        <v>456360000</v>
      </c>
      <c r="O88" s="24">
        <f t="shared" si="23"/>
        <v>1.4664278201419931E-3</v>
      </c>
      <c r="P88" s="10">
        <v>79397.009999999995</v>
      </c>
      <c r="Q88" s="9">
        <v>0.19489999999999999</v>
      </c>
      <c r="R88" s="24">
        <f t="shared" si="24"/>
        <v>81551000000</v>
      </c>
      <c r="S88" s="24">
        <f t="shared" si="25"/>
        <v>19590000000</v>
      </c>
      <c r="T88" s="24">
        <f t="shared" si="26"/>
        <v>-1361500000</v>
      </c>
      <c r="U88" s="24">
        <f t="shared" si="27"/>
        <v>2784300000</v>
      </c>
      <c r="V88" s="31">
        <f t="shared" si="28"/>
        <v>9944190000</v>
      </c>
      <c r="W88">
        <f t="shared" si="29"/>
        <v>9.2705125422642723E-10</v>
      </c>
      <c r="X88">
        <f t="shared" si="30"/>
        <v>0.12193829628085492</v>
      </c>
      <c r="Y88" s="9"/>
    </row>
    <row r="89" spans="1:25">
      <c r="A89" s="21">
        <v>45496</v>
      </c>
      <c r="B89" s="28">
        <v>32.44</v>
      </c>
      <c r="C89" s="29">
        <f t="shared" si="18"/>
        <v>-1.4580801944107045E-2</v>
      </c>
      <c r="D89" s="24">
        <f t="shared" si="19"/>
        <v>1.8491781919715032E-2</v>
      </c>
      <c r="E89" s="28">
        <v>32.979999999999997</v>
      </c>
      <c r="F89" s="28">
        <v>32.25</v>
      </c>
      <c r="G89" s="22">
        <f t="shared" si="14"/>
        <v>2.2382339414379795E-2</v>
      </c>
      <c r="H89" s="28">
        <v>32.49</v>
      </c>
      <c r="I89" s="28">
        <v>32.369999999999997</v>
      </c>
      <c r="J89" s="24">
        <f t="shared" si="15"/>
        <v>3.7002775208142013E-3</v>
      </c>
      <c r="K89" s="25">
        <v>469200</v>
      </c>
      <c r="L89" s="24">
        <f t="shared" si="20"/>
        <v>880300000</v>
      </c>
      <c r="M89" s="24">
        <f t="shared" si="21"/>
        <v>15220847.999999998</v>
      </c>
      <c r="N89" s="24">
        <f t="shared" si="22"/>
        <v>456360000</v>
      </c>
      <c r="O89" s="24">
        <f t="shared" si="23"/>
        <v>1.0281356823560346E-3</v>
      </c>
      <c r="P89" s="10">
        <v>78987.09</v>
      </c>
      <c r="Q89" s="9">
        <v>0.19489999999999999</v>
      </c>
      <c r="R89" s="24">
        <f t="shared" si="24"/>
        <v>81551000000</v>
      </c>
      <c r="S89" s="24">
        <f t="shared" si="25"/>
        <v>19590000000</v>
      </c>
      <c r="T89" s="24">
        <f t="shared" si="26"/>
        <v>-1361500000</v>
      </c>
      <c r="U89" s="24">
        <f t="shared" si="27"/>
        <v>2784300000</v>
      </c>
      <c r="V89" s="31">
        <f t="shared" si="28"/>
        <v>9944190000</v>
      </c>
      <c r="W89">
        <f t="shared" si="29"/>
        <v>9.5794938259071015E-10</v>
      </c>
      <c r="X89">
        <f t="shared" si="30"/>
        <v>0.12193829628085492</v>
      </c>
      <c r="Y89" s="9"/>
    </row>
    <row r="90" spans="1:25" ht="15" thickBot="1">
      <c r="A90" s="21">
        <v>45495</v>
      </c>
      <c r="B90" s="28">
        <v>32.92</v>
      </c>
      <c r="C90" s="29">
        <f>IFERROR((B90-#REF!)/#REF!,0)</f>
        <v>0</v>
      </c>
      <c r="D90" s="24">
        <f t="shared" si="19"/>
        <v>1.8491781919715032E-2</v>
      </c>
      <c r="E90" s="28">
        <v>33.4</v>
      </c>
      <c r="F90" s="28">
        <v>32.700000000000003</v>
      </c>
      <c r="G90" s="22">
        <f t="shared" si="14"/>
        <v>2.1180030257185956E-2</v>
      </c>
      <c r="H90" s="28">
        <v>32.799999999999997</v>
      </c>
      <c r="I90" s="28">
        <v>32.75</v>
      </c>
      <c r="J90" s="24">
        <f t="shared" si="15"/>
        <v>1.5255530129671139E-3</v>
      </c>
      <c r="K90" s="25">
        <v>771299</v>
      </c>
      <c r="L90" s="24">
        <f t="shared" si="20"/>
        <v>880300000</v>
      </c>
      <c r="M90" s="24">
        <f t="shared" si="21"/>
        <v>25391163.080000002</v>
      </c>
      <c r="N90" s="24">
        <f t="shared" si="22"/>
        <v>456360000</v>
      </c>
      <c r="O90" s="24">
        <f t="shared" si="23"/>
        <v>1.6901108773775091E-3</v>
      </c>
      <c r="P90" s="10">
        <v>78539.19</v>
      </c>
      <c r="Q90" s="9">
        <v>0.19489999999999999</v>
      </c>
      <c r="R90" s="24">
        <f t="shared" si="24"/>
        <v>81551000000</v>
      </c>
      <c r="S90" s="24">
        <f t="shared" si="25"/>
        <v>19590000000</v>
      </c>
      <c r="T90" s="24">
        <f t="shared" si="26"/>
        <v>-1361500000</v>
      </c>
      <c r="U90" s="24">
        <f t="shared" si="27"/>
        <v>2784300000</v>
      </c>
      <c r="V90" s="31">
        <f t="shared" si="28"/>
        <v>9944190000</v>
      </c>
      <c r="W90">
        <f t="shared" si="29"/>
        <v>0</v>
      </c>
      <c r="X90">
        <f t="shared" si="30"/>
        <v>0.12193829628085492</v>
      </c>
      <c r="Y90" s="9"/>
    </row>
    <row r="91" spans="1:25" ht="16" thickBot="1">
      <c r="A91" s="184" t="s">
        <v>25</v>
      </c>
      <c r="B91" s="185"/>
      <c r="C91" s="185"/>
      <c r="D91" s="185"/>
      <c r="E91" s="185"/>
      <c r="F91" s="185"/>
      <c r="G91" s="185"/>
      <c r="H91" s="185"/>
      <c r="I91" s="185"/>
      <c r="J91" s="185"/>
      <c r="K91" s="185"/>
      <c r="L91" s="185"/>
      <c r="M91" s="185"/>
      <c r="N91" s="185"/>
      <c r="O91" s="185"/>
      <c r="P91" s="185"/>
      <c r="Q91" s="185"/>
      <c r="R91" s="185"/>
      <c r="S91" s="185"/>
      <c r="T91" s="185"/>
      <c r="U91" s="185"/>
      <c r="V91" s="185"/>
      <c r="W91" s="185"/>
      <c r="X91" s="186"/>
      <c r="Y91" s="9"/>
    </row>
    <row r="92" spans="1:25" ht="43.5">
      <c r="A92" s="1" t="s">
        <v>14</v>
      </c>
      <c r="B92" s="2" t="s">
        <v>15</v>
      </c>
      <c r="C92" s="4" t="s">
        <v>16</v>
      </c>
      <c r="D92" s="4" t="s">
        <v>17</v>
      </c>
      <c r="E92" s="1" t="s">
        <v>0</v>
      </c>
      <c r="F92" s="1" t="s">
        <v>13</v>
      </c>
      <c r="G92" s="7" t="s">
        <v>18</v>
      </c>
      <c r="H92" s="1" t="s">
        <v>12</v>
      </c>
      <c r="I92" s="1" t="s">
        <v>1</v>
      </c>
      <c r="J92" s="7" t="s">
        <v>19</v>
      </c>
      <c r="K92" s="2" t="s">
        <v>2</v>
      </c>
      <c r="L92" s="2" t="s">
        <v>3</v>
      </c>
      <c r="M92" s="7" t="s">
        <v>20</v>
      </c>
      <c r="N92" s="2" t="s">
        <v>4</v>
      </c>
      <c r="O92" s="7" t="s">
        <v>21</v>
      </c>
      <c r="P92" s="2" t="s">
        <v>5</v>
      </c>
      <c r="Q92" s="2" t="s">
        <v>6</v>
      </c>
      <c r="R92" s="2" t="s">
        <v>7</v>
      </c>
      <c r="S92" s="2" t="s">
        <v>8</v>
      </c>
      <c r="T92" s="2" t="s">
        <v>9</v>
      </c>
      <c r="U92" s="2" t="s">
        <v>10</v>
      </c>
      <c r="V92" s="2" t="s">
        <v>11</v>
      </c>
      <c r="W92" s="7" t="s">
        <v>73</v>
      </c>
      <c r="X92" s="7" t="s">
        <v>72</v>
      </c>
      <c r="Y92" s="9"/>
    </row>
    <row r="93" spans="1:25">
      <c r="A93" s="21">
        <v>45555</v>
      </c>
      <c r="B93" s="28">
        <v>22.04</v>
      </c>
      <c r="C93" s="29">
        <f>IFERROR((B93-B94)/B94,0)</f>
        <v>5.9333637608397537E-3</v>
      </c>
      <c r="D93" s="24">
        <f>_xlfn.STDEV.S($C$93:$C$135)</f>
        <v>2.5398116752140237E-2</v>
      </c>
      <c r="E93" s="28">
        <v>22.14</v>
      </c>
      <c r="F93" s="28">
        <v>21.8</v>
      </c>
      <c r="G93" s="24">
        <f t="shared" ref="G93:G134" si="31">(E93-F93)/((E93+F93)/2)</f>
        <v>1.5475648611743281E-2</v>
      </c>
      <c r="H93" s="28">
        <v>22.08</v>
      </c>
      <c r="I93" s="28">
        <v>22.02</v>
      </c>
      <c r="J93" s="24">
        <f t="shared" ref="J93:J135" si="32">(H93-I93)/((H93+I93)/2)</f>
        <v>2.7210884353740918E-3</v>
      </c>
      <c r="K93" s="25">
        <v>477157</v>
      </c>
      <c r="L93" s="31">
        <f>379.8*1000000</f>
        <v>379800000</v>
      </c>
      <c r="M93" s="24">
        <f t="shared" ref="M93:M135" si="33">K93*B93</f>
        <v>10516540.279999999</v>
      </c>
      <c r="N93" s="24">
        <f>151.93*1000000</f>
        <v>151930000</v>
      </c>
      <c r="O93" s="24">
        <f t="shared" ref="O93:O135" si="34">K93/N93</f>
        <v>3.1406371355229383E-3</v>
      </c>
      <c r="P93" s="10">
        <v>82074.45</v>
      </c>
      <c r="Q93" s="27">
        <v>0.1741</v>
      </c>
      <c r="R93" s="24">
        <f>26674*1000000</f>
        <v>26674000000</v>
      </c>
      <c r="S93" s="24">
        <f>8542.8*1000000</f>
        <v>8542799999.999999</v>
      </c>
      <c r="T93" s="31">
        <f>2292.07*1000000</f>
        <v>2292070000</v>
      </c>
      <c r="U93" s="31">
        <f>1440.28*1000000</f>
        <v>1440280000</v>
      </c>
      <c r="V93" s="31">
        <f>6558.87*1000000</f>
        <v>6558870000</v>
      </c>
      <c r="W93">
        <f>IFERROR(ABS(C93)/M93,"0")</f>
        <v>5.6419350878383689E-10</v>
      </c>
      <c r="X93">
        <f>V93/R93</f>
        <v>0.24589000524855664</v>
      </c>
      <c r="Y93" s="9"/>
    </row>
    <row r="94" spans="1:25">
      <c r="A94" s="21">
        <v>45554</v>
      </c>
      <c r="B94" s="28">
        <v>21.91</v>
      </c>
      <c r="C94" s="29">
        <f t="shared" ref="C94:C134" si="35">IFERROR((B94-B95)/B95,0)</f>
        <v>4.5850527281064389E-3</v>
      </c>
      <c r="D94" s="24">
        <f t="shared" ref="D94:D135" si="36">_xlfn.STDEV.S($C$93:$C$135)</f>
        <v>2.5398116752140237E-2</v>
      </c>
      <c r="E94" s="28">
        <v>22.44</v>
      </c>
      <c r="F94" s="28">
        <v>21.63</v>
      </c>
      <c r="G94" s="24">
        <f t="shared" si="31"/>
        <v>3.6759700476514737E-2</v>
      </c>
      <c r="H94" s="28">
        <v>22.07</v>
      </c>
      <c r="I94" s="28">
        <v>22.06</v>
      </c>
      <c r="J94" s="24">
        <f t="shared" si="32"/>
        <v>4.5320643553145546E-4</v>
      </c>
      <c r="K94" s="25">
        <v>230671</v>
      </c>
      <c r="L94" s="31">
        <f t="shared" ref="L94:L135" si="37">379.8*1000000</f>
        <v>379800000</v>
      </c>
      <c r="M94" s="24">
        <f t="shared" si="33"/>
        <v>5054001.6100000003</v>
      </c>
      <c r="N94" s="24">
        <f t="shared" ref="N94:N135" si="38">151.93*1000000</f>
        <v>151930000</v>
      </c>
      <c r="O94" s="24">
        <f t="shared" si="34"/>
        <v>1.518271572434674E-3</v>
      </c>
      <c r="P94" s="10">
        <v>81459.289999999994</v>
      </c>
      <c r="Q94" s="27">
        <v>0.1741</v>
      </c>
      <c r="R94" s="24">
        <f t="shared" ref="R94:R135" si="39">26674*1000000</f>
        <v>26674000000</v>
      </c>
      <c r="S94" s="24">
        <f t="shared" ref="S94:S135" si="40">8542.8*1000000</f>
        <v>8542799999.999999</v>
      </c>
      <c r="T94" s="31">
        <f t="shared" ref="T94:T135" si="41">2292.07*1000000</f>
        <v>2292070000</v>
      </c>
      <c r="U94" s="31">
        <f t="shared" ref="U94:U135" si="42">1440.28*1000000</f>
        <v>1440280000</v>
      </c>
      <c r="V94" s="31">
        <f t="shared" ref="V94:V135" si="43">6558.87*1000000</f>
        <v>6558870000</v>
      </c>
      <c r="W94">
        <f t="shared" ref="W94:W135" si="44">IFERROR(ABS(C94)/M94,"0")</f>
        <v>9.0721236001079127E-10</v>
      </c>
      <c r="X94">
        <f t="shared" ref="X94:X135" si="45">V94/R94</f>
        <v>0.24589000524855664</v>
      </c>
      <c r="Y94" s="9"/>
    </row>
    <row r="95" spans="1:25">
      <c r="A95" s="21">
        <v>45553</v>
      </c>
      <c r="B95" s="28">
        <v>21.81</v>
      </c>
      <c r="C95" s="29">
        <f t="shared" si="35"/>
        <v>1.2064965197215685E-2</v>
      </c>
      <c r="D95" s="24">
        <f t="shared" si="36"/>
        <v>2.5398116752140237E-2</v>
      </c>
      <c r="E95" s="28">
        <v>22.2</v>
      </c>
      <c r="F95" s="28">
        <v>21.39</v>
      </c>
      <c r="G95" s="24">
        <f t="shared" si="31"/>
        <v>3.7164487267721896E-2</v>
      </c>
      <c r="H95" s="28">
        <v>21.85</v>
      </c>
      <c r="I95" s="28">
        <v>21.71</v>
      </c>
      <c r="J95" s="24">
        <f t="shared" si="32"/>
        <v>6.4279155188246354E-3</v>
      </c>
      <c r="K95" s="25">
        <v>671343</v>
      </c>
      <c r="L95" s="31">
        <f t="shared" si="37"/>
        <v>379800000</v>
      </c>
      <c r="M95" s="24">
        <f t="shared" si="33"/>
        <v>14641990.829999998</v>
      </c>
      <c r="N95" s="24">
        <f t="shared" si="38"/>
        <v>151930000</v>
      </c>
      <c r="O95" s="24">
        <f t="shared" si="34"/>
        <v>4.4187652208253804E-3</v>
      </c>
      <c r="P95" s="10">
        <v>80461.34</v>
      </c>
      <c r="Q95" s="27">
        <v>0.1741</v>
      </c>
      <c r="R95" s="24">
        <f t="shared" si="39"/>
        <v>26674000000</v>
      </c>
      <c r="S95" s="24">
        <f t="shared" si="40"/>
        <v>8542799999.999999</v>
      </c>
      <c r="T95" s="31">
        <f t="shared" si="41"/>
        <v>2292070000</v>
      </c>
      <c r="U95" s="31">
        <f t="shared" si="42"/>
        <v>1440280000</v>
      </c>
      <c r="V95" s="31">
        <f t="shared" si="43"/>
        <v>6558870000</v>
      </c>
      <c r="W95">
        <f t="shared" si="44"/>
        <v>8.2399759276557929E-10</v>
      </c>
      <c r="X95">
        <f t="shared" si="45"/>
        <v>0.24589000524855664</v>
      </c>
      <c r="Y95" s="9"/>
    </row>
    <row r="96" spans="1:25">
      <c r="A96" s="21">
        <v>45551</v>
      </c>
      <c r="B96" s="28">
        <v>21.55</v>
      </c>
      <c r="C96" s="29">
        <f t="shared" si="35"/>
        <v>-9.6507352941176856E-3</v>
      </c>
      <c r="D96" s="24">
        <f t="shared" si="36"/>
        <v>2.5398116752140237E-2</v>
      </c>
      <c r="E96" s="28">
        <v>22</v>
      </c>
      <c r="F96" s="28">
        <v>21.5</v>
      </c>
      <c r="G96" s="24">
        <f t="shared" si="31"/>
        <v>2.2988505747126436E-2</v>
      </c>
      <c r="H96" s="28">
        <v>21.59</v>
      </c>
      <c r="I96" s="28">
        <v>21.56</v>
      </c>
      <c r="J96" s="24">
        <f t="shared" si="32"/>
        <v>1.3904982618772254E-3</v>
      </c>
      <c r="K96" s="25">
        <v>421298</v>
      </c>
      <c r="L96" s="31">
        <f t="shared" si="37"/>
        <v>379800000</v>
      </c>
      <c r="M96" s="24">
        <f t="shared" si="33"/>
        <v>9078971.9000000004</v>
      </c>
      <c r="N96" s="24">
        <f t="shared" si="38"/>
        <v>151930000</v>
      </c>
      <c r="O96" s="24">
        <f t="shared" si="34"/>
        <v>2.7729743961034687E-3</v>
      </c>
      <c r="P96" s="10">
        <v>79491.14</v>
      </c>
      <c r="Q96" s="27">
        <v>0.1741</v>
      </c>
      <c r="R96" s="24">
        <f t="shared" si="39"/>
        <v>26674000000</v>
      </c>
      <c r="S96" s="24">
        <f t="shared" si="40"/>
        <v>8542799999.999999</v>
      </c>
      <c r="T96" s="31">
        <f t="shared" si="41"/>
        <v>2292070000</v>
      </c>
      <c r="U96" s="31">
        <f t="shared" si="42"/>
        <v>1440280000</v>
      </c>
      <c r="V96" s="31">
        <f t="shared" si="43"/>
        <v>6558870000</v>
      </c>
      <c r="W96">
        <f t="shared" si="44"/>
        <v>1.0629766674481816E-9</v>
      </c>
      <c r="X96">
        <f t="shared" si="45"/>
        <v>0.24589000524855664</v>
      </c>
      <c r="Y96" s="9"/>
    </row>
    <row r="97" spans="1:25">
      <c r="A97" s="21">
        <v>45548</v>
      </c>
      <c r="B97" s="28">
        <v>21.76</v>
      </c>
      <c r="C97" s="29">
        <f t="shared" si="35"/>
        <v>-1.1358473421172193E-2</v>
      </c>
      <c r="D97" s="24">
        <f t="shared" si="36"/>
        <v>2.5398116752140237E-2</v>
      </c>
      <c r="E97" s="28">
        <v>22.35</v>
      </c>
      <c r="F97" s="28">
        <v>21.7</v>
      </c>
      <c r="G97" s="24">
        <f t="shared" si="31"/>
        <v>2.9511918274687955E-2</v>
      </c>
      <c r="H97" s="28">
        <v>21.8</v>
      </c>
      <c r="I97" s="28">
        <v>21.72</v>
      </c>
      <c r="J97" s="24">
        <f t="shared" si="32"/>
        <v>3.6764705882353795E-3</v>
      </c>
      <c r="K97" s="25">
        <v>425212</v>
      </c>
      <c r="L97" s="31">
        <f t="shared" si="37"/>
        <v>379800000</v>
      </c>
      <c r="M97" s="24">
        <f t="shared" si="33"/>
        <v>9252613.120000001</v>
      </c>
      <c r="N97" s="24">
        <f t="shared" si="38"/>
        <v>151930000</v>
      </c>
      <c r="O97" s="24">
        <f t="shared" si="34"/>
        <v>2.798736260119792E-3</v>
      </c>
      <c r="P97" s="10">
        <v>79333.06</v>
      </c>
      <c r="Q97" s="27">
        <v>0.1741</v>
      </c>
      <c r="R97" s="24">
        <f t="shared" si="39"/>
        <v>26674000000</v>
      </c>
      <c r="S97" s="24">
        <f t="shared" si="40"/>
        <v>8542799999.999999</v>
      </c>
      <c r="T97" s="31">
        <f t="shared" si="41"/>
        <v>2292070000</v>
      </c>
      <c r="U97" s="31">
        <f t="shared" si="42"/>
        <v>1440280000</v>
      </c>
      <c r="V97" s="31">
        <f t="shared" si="43"/>
        <v>6558870000</v>
      </c>
      <c r="W97">
        <f t="shared" si="44"/>
        <v>1.2275962772743914E-9</v>
      </c>
      <c r="X97">
        <f t="shared" si="45"/>
        <v>0.24589000524855664</v>
      </c>
      <c r="Y97" s="9"/>
    </row>
    <row r="98" spans="1:25">
      <c r="A98" s="21">
        <v>45547</v>
      </c>
      <c r="B98" s="28">
        <v>22.01</v>
      </c>
      <c r="C98" s="29">
        <f t="shared" si="35"/>
        <v>-2.2665457842247125E-3</v>
      </c>
      <c r="D98" s="24">
        <f t="shared" si="36"/>
        <v>2.5398116752140237E-2</v>
      </c>
      <c r="E98" s="28">
        <v>22.17</v>
      </c>
      <c r="F98" s="28">
        <v>21.95</v>
      </c>
      <c r="G98" s="24">
        <f t="shared" si="31"/>
        <v>9.9728014505894112E-3</v>
      </c>
      <c r="H98" s="28">
        <v>22.08</v>
      </c>
      <c r="I98" s="28">
        <v>21.99</v>
      </c>
      <c r="J98" s="24">
        <f t="shared" si="32"/>
        <v>4.0844111640571763E-3</v>
      </c>
      <c r="K98" s="25">
        <v>233973</v>
      </c>
      <c r="L98" s="31">
        <f t="shared" si="37"/>
        <v>379800000</v>
      </c>
      <c r="M98" s="24">
        <f t="shared" si="33"/>
        <v>5149745.7300000004</v>
      </c>
      <c r="N98" s="24">
        <f t="shared" si="38"/>
        <v>151930000</v>
      </c>
      <c r="O98" s="24">
        <f t="shared" si="34"/>
        <v>1.5400052655828343E-3</v>
      </c>
      <c r="P98" s="10">
        <v>79017.62</v>
      </c>
      <c r="Q98" s="27">
        <v>0.1741</v>
      </c>
      <c r="R98" s="24">
        <f t="shared" si="39"/>
        <v>26674000000</v>
      </c>
      <c r="S98" s="24">
        <f t="shared" si="40"/>
        <v>8542799999.999999</v>
      </c>
      <c r="T98" s="31">
        <f t="shared" si="41"/>
        <v>2292070000</v>
      </c>
      <c r="U98" s="31">
        <f t="shared" si="42"/>
        <v>1440280000</v>
      </c>
      <c r="V98" s="31">
        <f t="shared" si="43"/>
        <v>6558870000</v>
      </c>
      <c r="W98">
        <f t="shared" si="44"/>
        <v>4.4012770786349333E-10</v>
      </c>
      <c r="X98">
        <f t="shared" si="45"/>
        <v>0.24589000524855664</v>
      </c>
      <c r="Y98" s="9"/>
    </row>
    <row r="99" spans="1:25">
      <c r="A99" s="21">
        <v>45546</v>
      </c>
      <c r="B99" s="28">
        <v>22.06</v>
      </c>
      <c r="C99" s="29">
        <f t="shared" si="35"/>
        <v>-3.6133694670280872E-3</v>
      </c>
      <c r="D99" s="24">
        <f t="shared" si="36"/>
        <v>2.5398116752140237E-2</v>
      </c>
      <c r="E99" s="28">
        <v>22.35</v>
      </c>
      <c r="F99" s="28">
        <v>22</v>
      </c>
      <c r="G99" s="24">
        <f t="shared" si="31"/>
        <v>1.578354002254798E-2</v>
      </c>
      <c r="H99" s="28">
        <v>22.14</v>
      </c>
      <c r="I99" s="28">
        <v>22.01</v>
      </c>
      <c r="J99" s="24">
        <f t="shared" si="32"/>
        <v>5.8890147225367602E-3</v>
      </c>
      <c r="K99" s="25">
        <v>268980</v>
      </c>
      <c r="L99" s="31">
        <f t="shared" si="37"/>
        <v>379800000</v>
      </c>
      <c r="M99" s="24">
        <f t="shared" si="33"/>
        <v>5933698.7999999998</v>
      </c>
      <c r="N99" s="24">
        <f t="shared" si="38"/>
        <v>151930000</v>
      </c>
      <c r="O99" s="24">
        <f t="shared" si="34"/>
        <v>1.7704205884288818E-3</v>
      </c>
      <c r="P99" s="10">
        <v>78651.8</v>
      </c>
      <c r="Q99" s="27">
        <v>0.1741</v>
      </c>
      <c r="R99" s="24">
        <f t="shared" si="39"/>
        <v>26674000000</v>
      </c>
      <c r="S99" s="24">
        <f t="shared" si="40"/>
        <v>8542799999.999999</v>
      </c>
      <c r="T99" s="31">
        <f t="shared" si="41"/>
        <v>2292070000</v>
      </c>
      <c r="U99" s="31">
        <f t="shared" si="42"/>
        <v>1440280000</v>
      </c>
      <c r="V99" s="31">
        <f t="shared" si="43"/>
        <v>6558870000</v>
      </c>
      <c r="W99">
        <f t="shared" si="44"/>
        <v>6.0895734495793538E-10</v>
      </c>
      <c r="X99">
        <f t="shared" si="45"/>
        <v>0.24589000524855664</v>
      </c>
      <c r="Y99" s="9"/>
    </row>
    <row r="100" spans="1:25">
      <c r="A100" s="21">
        <v>45545</v>
      </c>
      <c r="B100" s="28">
        <v>22.14</v>
      </c>
      <c r="C100" s="29">
        <f t="shared" si="35"/>
        <v>4.5187528242212217E-4</v>
      </c>
      <c r="D100" s="24">
        <f t="shared" si="36"/>
        <v>2.5398116752140237E-2</v>
      </c>
      <c r="E100" s="28">
        <v>22.39</v>
      </c>
      <c r="F100" s="28">
        <v>21.85</v>
      </c>
      <c r="G100" s="24">
        <f t="shared" si="31"/>
        <v>2.441229656419526E-2</v>
      </c>
      <c r="H100" s="28">
        <v>22.3</v>
      </c>
      <c r="I100" s="28">
        <v>22.29</v>
      </c>
      <c r="J100" s="24">
        <f t="shared" si="32"/>
        <v>4.485310607760288E-4</v>
      </c>
      <c r="K100" s="25">
        <v>445244</v>
      </c>
      <c r="L100" s="31">
        <f t="shared" si="37"/>
        <v>379800000</v>
      </c>
      <c r="M100" s="24">
        <f t="shared" si="33"/>
        <v>9857702.1600000001</v>
      </c>
      <c r="N100" s="24">
        <f t="shared" si="38"/>
        <v>151930000</v>
      </c>
      <c r="O100" s="24">
        <f t="shared" si="34"/>
        <v>2.930586454288159E-3</v>
      </c>
      <c r="P100" s="10">
        <v>79286.740000000005</v>
      </c>
      <c r="Q100" s="27">
        <v>0.1741</v>
      </c>
      <c r="R100" s="24">
        <f t="shared" si="39"/>
        <v>26674000000</v>
      </c>
      <c r="S100" s="24">
        <f t="shared" si="40"/>
        <v>8542799999.999999</v>
      </c>
      <c r="T100" s="31">
        <f t="shared" si="41"/>
        <v>2292070000</v>
      </c>
      <c r="U100" s="31">
        <f t="shared" si="42"/>
        <v>1440280000</v>
      </c>
      <c r="V100" s="31">
        <f t="shared" si="43"/>
        <v>6558870000</v>
      </c>
      <c r="W100">
        <f t="shared" si="44"/>
        <v>4.5839818964678695E-11</v>
      </c>
      <c r="X100">
        <f t="shared" si="45"/>
        <v>0.24589000524855664</v>
      </c>
      <c r="Y100" s="9"/>
    </row>
    <row r="101" spans="1:25">
      <c r="A101" s="21">
        <v>45544</v>
      </c>
      <c r="B101" s="28">
        <v>22.13</v>
      </c>
      <c r="C101" s="29">
        <f t="shared" si="35"/>
        <v>-2.3389232127096257E-2</v>
      </c>
      <c r="D101" s="24">
        <f t="shared" si="36"/>
        <v>2.5398116752140237E-2</v>
      </c>
      <c r="E101" s="28">
        <v>22.93</v>
      </c>
      <c r="F101" s="28">
        <v>21.99</v>
      </c>
      <c r="G101" s="24">
        <f t="shared" si="31"/>
        <v>4.1852181656277881E-2</v>
      </c>
      <c r="H101" s="28">
        <v>22.25</v>
      </c>
      <c r="I101" s="28">
        <v>22.17</v>
      </c>
      <c r="J101" s="24">
        <f t="shared" si="32"/>
        <v>3.6019810895992028E-3</v>
      </c>
      <c r="K101" s="25">
        <v>1185028</v>
      </c>
      <c r="L101" s="31">
        <f t="shared" si="37"/>
        <v>379800000</v>
      </c>
      <c r="M101" s="24">
        <f t="shared" si="33"/>
        <v>26224669.640000001</v>
      </c>
      <c r="N101" s="24">
        <f t="shared" si="38"/>
        <v>151930000</v>
      </c>
      <c r="O101" s="24">
        <f t="shared" si="34"/>
        <v>7.7998288685578888E-3</v>
      </c>
      <c r="P101" s="10">
        <v>78615</v>
      </c>
      <c r="Q101" s="27">
        <v>0.1741</v>
      </c>
      <c r="R101" s="24">
        <f t="shared" si="39"/>
        <v>26674000000</v>
      </c>
      <c r="S101" s="24">
        <f t="shared" si="40"/>
        <v>8542799999.999999</v>
      </c>
      <c r="T101" s="31">
        <f t="shared" si="41"/>
        <v>2292070000</v>
      </c>
      <c r="U101" s="31">
        <f t="shared" si="42"/>
        <v>1440280000</v>
      </c>
      <c r="V101" s="31">
        <f t="shared" si="43"/>
        <v>6558870000</v>
      </c>
      <c r="W101">
        <f t="shared" si="44"/>
        <v>8.9187899974233026E-10</v>
      </c>
      <c r="X101">
        <f t="shared" si="45"/>
        <v>0.24589000524855664</v>
      </c>
      <c r="Y101" s="9"/>
    </row>
    <row r="102" spans="1:25">
      <c r="A102" s="21">
        <v>45541</v>
      </c>
      <c r="B102" s="28">
        <v>22.66</v>
      </c>
      <c r="C102" s="29">
        <f t="shared" si="35"/>
        <v>-9.1783567134268509E-2</v>
      </c>
      <c r="D102" s="24">
        <f t="shared" si="36"/>
        <v>2.5398116752140237E-2</v>
      </c>
      <c r="E102" s="28">
        <v>23.02</v>
      </c>
      <c r="F102" s="28">
        <v>22.11</v>
      </c>
      <c r="G102" s="24">
        <f t="shared" si="31"/>
        <v>4.0327941502326624E-2</v>
      </c>
      <c r="H102" s="28">
        <v>22.75</v>
      </c>
      <c r="I102" s="28">
        <v>22.7</v>
      </c>
      <c r="J102" s="24">
        <f t="shared" si="32"/>
        <v>2.2002200220022313E-3</v>
      </c>
      <c r="K102" s="25">
        <v>961063</v>
      </c>
      <c r="L102" s="31">
        <f t="shared" si="37"/>
        <v>379800000</v>
      </c>
      <c r="M102" s="24">
        <f t="shared" si="33"/>
        <v>21777687.580000002</v>
      </c>
      <c r="N102" s="24">
        <f t="shared" si="38"/>
        <v>151930000</v>
      </c>
      <c r="O102" s="24">
        <f t="shared" si="34"/>
        <v>6.3256960442308954E-3</v>
      </c>
      <c r="P102" s="10">
        <v>78897.73</v>
      </c>
      <c r="Q102" s="27">
        <v>0.1741</v>
      </c>
      <c r="R102" s="24">
        <f t="shared" si="39"/>
        <v>26674000000</v>
      </c>
      <c r="S102" s="24">
        <f t="shared" si="40"/>
        <v>8542799999.999999</v>
      </c>
      <c r="T102" s="31">
        <f t="shared" si="41"/>
        <v>2292070000</v>
      </c>
      <c r="U102" s="31">
        <f t="shared" si="42"/>
        <v>1440280000</v>
      </c>
      <c r="V102" s="31">
        <f t="shared" si="43"/>
        <v>6558870000</v>
      </c>
      <c r="W102">
        <f t="shared" si="44"/>
        <v>4.2145690077104366E-9</v>
      </c>
      <c r="X102">
        <f t="shared" si="45"/>
        <v>0.24589000524855664</v>
      </c>
      <c r="Y102" s="9"/>
    </row>
    <row r="103" spans="1:25">
      <c r="A103" s="21">
        <v>45540</v>
      </c>
      <c r="B103" s="28">
        <v>24.95</v>
      </c>
      <c r="C103" s="29">
        <f t="shared" si="35"/>
        <v>1.2992285830288278E-2</v>
      </c>
      <c r="D103" s="24">
        <f t="shared" si="36"/>
        <v>2.5398116752140237E-2</v>
      </c>
      <c r="E103" s="28">
        <v>25.2</v>
      </c>
      <c r="F103" s="28">
        <v>24.63</v>
      </c>
      <c r="G103" s="24">
        <f t="shared" si="31"/>
        <v>2.2877784467188453E-2</v>
      </c>
      <c r="H103" s="28">
        <v>24.9</v>
      </c>
      <c r="I103" s="28">
        <v>24.81</v>
      </c>
      <c r="J103" s="24">
        <f t="shared" si="32"/>
        <v>3.6210018105008999E-3</v>
      </c>
      <c r="K103" s="25">
        <v>1467095</v>
      </c>
      <c r="L103" s="31">
        <f t="shared" si="37"/>
        <v>379800000</v>
      </c>
      <c r="M103" s="24">
        <f t="shared" si="33"/>
        <v>36604020.25</v>
      </c>
      <c r="N103" s="24">
        <f t="shared" si="38"/>
        <v>151930000</v>
      </c>
      <c r="O103" s="24">
        <f t="shared" si="34"/>
        <v>9.6563878101757396E-3</v>
      </c>
      <c r="P103" s="10">
        <v>78863.34</v>
      </c>
      <c r="Q103" s="27">
        <v>0.1741</v>
      </c>
      <c r="R103" s="24">
        <f t="shared" si="39"/>
        <v>26674000000</v>
      </c>
      <c r="S103" s="24">
        <f t="shared" si="40"/>
        <v>8542799999.999999</v>
      </c>
      <c r="T103" s="31">
        <f t="shared" si="41"/>
        <v>2292070000</v>
      </c>
      <c r="U103" s="31">
        <f t="shared" si="42"/>
        <v>1440280000</v>
      </c>
      <c r="V103" s="31">
        <f t="shared" si="43"/>
        <v>6558870000</v>
      </c>
      <c r="W103">
        <f t="shared" si="44"/>
        <v>3.5494149936408358E-10</v>
      </c>
      <c r="X103">
        <f t="shared" si="45"/>
        <v>0.24589000524855664</v>
      </c>
      <c r="Y103" s="9"/>
    </row>
    <row r="104" spans="1:25">
      <c r="A104" s="21">
        <v>45539</v>
      </c>
      <c r="B104" s="28">
        <v>24.63</v>
      </c>
      <c r="C104" s="29">
        <f t="shared" si="35"/>
        <v>-4.8484848484848884E-3</v>
      </c>
      <c r="D104" s="24">
        <f t="shared" si="36"/>
        <v>2.5398116752140237E-2</v>
      </c>
      <c r="E104" s="28">
        <v>24.8</v>
      </c>
      <c r="F104" s="28">
        <v>24.55</v>
      </c>
      <c r="G104" s="24">
        <f t="shared" si="31"/>
        <v>1.0131712259371834E-2</v>
      </c>
      <c r="H104" s="28">
        <v>24.75</v>
      </c>
      <c r="I104" s="28">
        <v>24.6</v>
      </c>
      <c r="J104" s="24">
        <f t="shared" si="32"/>
        <v>6.0790273556230422E-3</v>
      </c>
      <c r="K104" s="25">
        <v>878506</v>
      </c>
      <c r="L104" s="31">
        <f t="shared" si="37"/>
        <v>379800000</v>
      </c>
      <c r="M104" s="24">
        <f t="shared" si="33"/>
        <v>21637602.779999997</v>
      </c>
      <c r="N104" s="24">
        <f t="shared" si="38"/>
        <v>151930000</v>
      </c>
      <c r="O104" s="24">
        <f t="shared" si="34"/>
        <v>5.7823076416770878E-3</v>
      </c>
      <c r="P104" s="10">
        <v>78848.009999999995</v>
      </c>
      <c r="Q104" s="27">
        <v>0.1741</v>
      </c>
      <c r="R104" s="24">
        <f t="shared" si="39"/>
        <v>26674000000</v>
      </c>
      <c r="S104" s="24">
        <f t="shared" si="40"/>
        <v>8542799999.999999</v>
      </c>
      <c r="T104" s="31">
        <f t="shared" si="41"/>
        <v>2292070000</v>
      </c>
      <c r="U104" s="31">
        <f t="shared" si="42"/>
        <v>1440280000</v>
      </c>
      <c r="V104" s="31">
        <f t="shared" si="43"/>
        <v>6558870000</v>
      </c>
      <c r="W104">
        <f t="shared" si="44"/>
        <v>2.240768026745747E-10</v>
      </c>
      <c r="X104">
        <f t="shared" si="45"/>
        <v>0.24589000524855664</v>
      </c>
      <c r="Y104" s="9"/>
    </row>
    <row r="105" spans="1:25">
      <c r="A105" s="21">
        <v>45538</v>
      </c>
      <c r="B105" s="28">
        <v>24.75</v>
      </c>
      <c r="C105" s="29">
        <f t="shared" si="35"/>
        <v>1.6427104722792549E-2</v>
      </c>
      <c r="D105" s="24">
        <f t="shared" si="36"/>
        <v>2.5398116752140237E-2</v>
      </c>
      <c r="E105" s="28">
        <v>25.2</v>
      </c>
      <c r="F105" s="28">
        <v>24.35</v>
      </c>
      <c r="G105" s="24">
        <f t="shared" si="31"/>
        <v>3.4308779011099813E-2</v>
      </c>
      <c r="H105" s="28">
        <v>24.8</v>
      </c>
      <c r="I105" s="28">
        <v>24.75</v>
      </c>
      <c r="J105" s="24">
        <f t="shared" si="32"/>
        <v>2.0181634712411992E-3</v>
      </c>
      <c r="K105" s="25">
        <v>1622996</v>
      </c>
      <c r="L105" s="31">
        <f t="shared" si="37"/>
        <v>379800000</v>
      </c>
      <c r="M105" s="24">
        <f t="shared" si="33"/>
        <v>40169151</v>
      </c>
      <c r="N105" s="24">
        <f t="shared" si="38"/>
        <v>151930000</v>
      </c>
      <c r="O105" s="24">
        <f t="shared" si="34"/>
        <v>1.0682524846968999E-2</v>
      </c>
      <c r="P105" s="10">
        <v>78356.320000000007</v>
      </c>
      <c r="Q105" s="27">
        <v>0.17469999999999999</v>
      </c>
      <c r="R105" s="24">
        <f t="shared" si="39"/>
        <v>26674000000</v>
      </c>
      <c r="S105" s="24">
        <f t="shared" si="40"/>
        <v>8542799999.999999</v>
      </c>
      <c r="T105" s="31">
        <f t="shared" si="41"/>
        <v>2292070000</v>
      </c>
      <c r="U105" s="31">
        <f t="shared" si="42"/>
        <v>1440280000</v>
      </c>
      <c r="V105" s="31">
        <f t="shared" si="43"/>
        <v>6558870000</v>
      </c>
      <c r="W105">
        <f t="shared" si="44"/>
        <v>4.0894826785840082E-10</v>
      </c>
      <c r="X105">
        <f t="shared" si="45"/>
        <v>0.24589000524855664</v>
      </c>
      <c r="Y105" s="9"/>
    </row>
    <row r="106" spans="1:25">
      <c r="A106" s="21">
        <v>45537</v>
      </c>
      <c r="B106" s="28">
        <v>24.35</v>
      </c>
      <c r="C106" s="29">
        <f t="shared" si="35"/>
        <v>1.0373443983402489E-2</v>
      </c>
      <c r="D106" s="24">
        <f t="shared" si="36"/>
        <v>2.5398116752140237E-2</v>
      </c>
      <c r="E106" s="28">
        <v>24.49</v>
      </c>
      <c r="F106" s="28">
        <v>24.1</v>
      </c>
      <c r="G106" s="24">
        <f t="shared" si="31"/>
        <v>1.6052685737806008E-2</v>
      </c>
      <c r="H106" s="28">
        <v>24.38</v>
      </c>
      <c r="I106" s="28">
        <v>24.34</v>
      </c>
      <c r="J106" s="24">
        <f t="shared" si="32"/>
        <v>1.6420361247947105E-3</v>
      </c>
      <c r="K106" s="25">
        <v>1718730</v>
      </c>
      <c r="L106" s="31">
        <f t="shared" si="37"/>
        <v>379800000</v>
      </c>
      <c r="M106" s="24">
        <f t="shared" si="33"/>
        <v>41851075.5</v>
      </c>
      <c r="N106" s="24">
        <f t="shared" si="38"/>
        <v>151930000</v>
      </c>
      <c r="O106" s="24">
        <f t="shared" si="34"/>
        <v>1.1312643980780622E-2</v>
      </c>
      <c r="P106" s="10">
        <v>78283.3</v>
      </c>
      <c r="Q106" s="27">
        <v>0.17469999999999999</v>
      </c>
      <c r="R106" s="24">
        <f t="shared" si="39"/>
        <v>26674000000</v>
      </c>
      <c r="S106" s="24">
        <f t="shared" si="40"/>
        <v>8542799999.999999</v>
      </c>
      <c r="T106" s="31">
        <f t="shared" si="41"/>
        <v>2292070000</v>
      </c>
      <c r="U106" s="31">
        <f t="shared" si="42"/>
        <v>1440280000</v>
      </c>
      <c r="V106" s="31">
        <f t="shared" si="43"/>
        <v>6558870000</v>
      </c>
      <c r="W106">
        <f t="shared" si="44"/>
        <v>2.4786564883864189E-10</v>
      </c>
      <c r="X106">
        <f t="shared" si="45"/>
        <v>0.24589000524855664</v>
      </c>
      <c r="Y106" s="9"/>
    </row>
    <row r="107" spans="1:25">
      <c r="A107" s="21">
        <v>45534</v>
      </c>
      <c r="B107" s="28">
        <v>24.1</v>
      </c>
      <c r="C107" s="29">
        <f t="shared" si="35"/>
        <v>-8.291873963515577E-4</v>
      </c>
      <c r="D107" s="24">
        <f t="shared" si="36"/>
        <v>2.5398116752140237E-2</v>
      </c>
      <c r="E107" s="28">
        <v>24.4</v>
      </c>
      <c r="F107" s="28">
        <v>23.95</v>
      </c>
      <c r="G107" s="24">
        <f t="shared" si="31"/>
        <v>1.8614270941054781E-2</v>
      </c>
      <c r="H107" s="28">
        <v>24.15</v>
      </c>
      <c r="I107" s="28">
        <v>24.1</v>
      </c>
      <c r="J107" s="24">
        <f t="shared" si="32"/>
        <v>2.0725388601035093E-3</v>
      </c>
      <c r="K107" s="25">
        <v>2480020</v>
      </c>
      <c r="L107" s="31">
        <f t="shared" si="37"/>
        <v>379800000</v>
      </c>
      <c r="M107" s="24">
        <f t="shared" si="33"/>
        <v>59768482</v>
      </c>
      <c r="N107" s="24">
        <f t="shared" si="38"/>
        <v>151930000</v>
      </c>
      <c r="O107" s="24">
        <f t="shared" si="34"/>
        <v>1.6323438425590732E-2</v>
      </c>
      <c r="P107" s="10">
        <v>78488.22</v>
      </c>
      <c r="Q107" s="27">
        <v>0.17469999999999999</v>
      </c>
      <c r="R107" s="24">
        <f t="shared" si="39"/>
        <v>26674000000</v>
      </c>
      <c r="S107" s="24">
        <f t="shared" si="40"/>
        <v>8542799999.999999</v>
      </c>
      <c r="T107" s="31">
        <f t="shared" si="41"/>
        <v>2292070000</v>
      </c>
      <c r="U107" s="31">
        <f t="shared" si="42"/>
        <v>1440280000</v>
      </c>
      <c r="V107" s="31">
        <f t="shared" si="43"/>
        <v>6558870000</v>
      </c>
      <c r="W107">
        <f t="shared" si="44"/>
        <v>1.3873322001913278E-11</v>
      </c>
      <c r="X107">
        <f t="shared" si="45"/>
        <v>0.24589000524855664</v>
      </c>
      <c r="Y107" s="9"/>
    </row>
    <row r="108" spans="1:25">
      <c r="A108" s="21">
        <v>45533</v>
      </c>
      <c r="B108" s="28">
        <v>24.12</v>
      </c>
      <c r="C108" s="29">
        <f t="shared" si="35"/>
        <v>1.2453300124533474E-3</v>
      </c>
      <c r="D108" s="24">
        <f t="shared" si="36"/>
        <v>2.5398116752140237E-2</v>
      </c>
      <c r="E108" s="28">
        <v>24.5</v>
      </c>
      <c r="F108" s="28">
        <v>24</v>
      </c>
      <c r="G108" s="24">
        <f t="shared" si="31"/>
        <v>2.0618556701030927E-2</v>
      </c>
      <c r="H108" s="28">
        <v>24.17</v>
      </c>
      <c r="I108" s="28">
        <v>24.15</v>
      </c>
      <c r="J108" s="24">
        <f t="shared" si="32"/>
        <v>8.2781456953655319E-4</v>
      </c>
      <c r="K108" s="25">
        <v>2645244</v>
      </c>
      <c r="L108" s="31">
        <f t="shared" si="37"/>
        <v>379800000</v>
      </c>
      <c r="M108" s="24">
        <f t="shared" si="33"/>
        <v>63803285.280000001</v>
      </c>
      <c r="N108" s="24">
        <f t="shared" si="38"/>
        <v>151930000</v>
      </c>
      <c r="O108" s="24">
        <f t="shared" si="34"/>
        <v>1.7410939248338052E-2</v>
      </c>
      <c r="P108" s="10">
        <v>78349.66</v>
      </c>
      <c r="Q108" s="27">
        <v>0.17469999999999999</v>
      </c>
      <c r="R108" s="24">
        <f t="shared" si="39"/>
        <v>26674000000</v>
      </c>
      <c r="S108" s="24">
        <f t="shared" si="40"/>
        <v>8542799999.999999</v>
      </c>
      <c r="T108" s="31">
        <f t="shared" si="41"/>
        <v>2292070000</v>
      </c>
      <c r="U108" s="31">
        <f t="shared" si="42"/>
        <v>1440280000</v>
      </c>
      <c r="V108" s="31">
        <f t="shared" si="43"/>
        <v>6558870000</v>
      </c>
      <c r="W108">
        <f t="shared" si="44"/>
        <v>1.9518274129431277E-11</v>
      </c>
      <c r="X108">
        <f t="shared" si="45"/>
        <v>0.24589000524855664</v>
      </c>
      <c r="Y108" s="9"/>
    </row>
    <row r="109" spans="1:25">
      <c r="A109" s="21">
        <v>45532</v>
      </c>
      <c r="B109" s="28">
        <v>24.09</v>
      </c>
      <c r="C109" s="29">
        <f t="shared" si="35"/>
        <v>4.2405884898312436E-2</v>
      </c>
      <c r="D109" s="24">
        <f t="shared" si="36"/>
        <v>2.5398116752140237E-2</v>
      </c>
      <c r="E109" s="28">
        <v>24.83</v>
      </c>
      <c r="F109" s="28">
        <v>23.02</v>
      </c>
      <c r="G109" s="24">
        <f t="shared" si="31"/>
        <v>7.5653082549634224E-2</v>
      </c>
      <c r="H109" s="28">
        <v>23.99</v>
      </c>
      <c r="I109" s="28">
        <v>23.95</v>
      </c>
      <c r="J109" s="24">
        <f t="shared" si="32"/>
        <v>1.6687526074259135E-3</v>
      </c>
      <c r="K109" s="25">
        <v>6241419</v>
      </c>
      <c r="L109" s="31">
        <f t="shared" si="37"/>
        <v>379800000</v>
      </c>
      <c r="M109" s="24">
        <f t="shared" si="33"/>
        <v>150355783.71000001</v>
      </c>
      <c r="N109" s="24">
        <f t="shared" si="38"/>
        <v>151930000</v>
      </c>
      <c r="O109" s="24">
        <f t="shared" si="34"/>
        <v>4.1080885934311855E-2</v>
      </c>
      <c r="P109" s="10">
        <v>77992.789999999994</v>
      </c>
      <c r="Q109" s="27">
        <v>0.17469999999999999</v>
      </c>
      <c r="R109" s="24">
        <f t="shared" si="39"/>
        <v>26674000000</v>
      </c>
      <c r="S109" s="24">
        <f t="shared" si="40"/>
        <v>8542799999.999999</v>
      </c>
      <c r="T109" s="31">
        <f t="shared" si="41"/>
        <v>2292070000</v>
      </c>
      <c r="U109" s="31">
        <f t="shared" si="42"/>
        <v>1440280000</v>
      </c>
      <c r="V109" s="31">
        <f t="shared" si="43"/>
        <v>6558870000</v>
      </c>
      <c r="W109">
        <f t="shared" si="44"/>
        <v>2.8203693833356717E-10</v>
      </c>
      <c r="X109">
        <f t="shared" si="45"/>
        <v>0.24589000524855664</v>
      </c>
      <c r="Y109" s="9"/>
    </row>
    <row r="110" spans="1:25">
      <c r="A110" s="21">
        <v>45531</v>
      </c>
      <c r="B110" s="28">
        <v>23.11</v>
      </c>
      <c r="C110" s="29">
        <f t="shared" si="35"/>
        <v>-2.5895554596461921E-3</v>
      </c>
      <c r="D110" s="24">
        <f t="shared" si="36"/>
        <v>2.5398116752140237E-2</v>
      </c>
      <c r="E110" s="28">
        <v>23.4</v>
      </c>
      <c r="F110" s="28">
        <v>22.9</v>
      </c>
      <c r="G110" s="24">
        <f t="shared" si="31"/>
        <v>2.1598272138228944E-2</v>
      </c>
      <c r="H110" s="28">
        <v>23.3</v>
      </c>
      <c r="I110" s="28">
        <v>23.12</v>
      </c>
      <c r="J110" s="24">
        <f t="shared" si="32"/>
        <v>7.75527789745798E-3</v>
      </c>
      <c r="K110" s="25">
        <v>721725</v>
      </c>
      <c r="L110" s="31">
        <f t="shared" si="37"/>
        <v>379800000</v>
      </c>
      <c r="M110" s="24">
        <f t="shared" si="33"/>
        <v>16679064.75</v>
      </c>
      <c r="N110" s="24">
        <f t="shared" si="38"/>
        <v>151930000</v>
      </c>
      <c r="O110" s="24">
        <f t="shared" si="34"/>
        <v>4.7503784637662081E-3</v>
      </c>
      <c r="P110" s="10">
        <v>78084.240000000005</v>
      </c>
      <c r="Q110" s="27">
        <v>0.17469999999999999</v>
      </c>
      <c r="R110" s="24">
        <f t="shared" si="39"/>
        <v>26674000000</v>
      </c>
      <c r="S110" s="24">
        <f t="shared" si="40"/>
        <v>8542799999.999999</v>
      </c>
      <c r="T110" s="31">
        <f t="shared" si="41"/>
        <v>2292070000</v>
      </c>
      <c r="U110" s="31">
        <f t="shared" si="42"/>
        <v>1440280000</v>
      </c>
      <c r="V110" s="31">
        <f t="shared" si="43"/>
        <v>6558870000</v>
      </c>
      <c r="W110">
        <f t="shared" si="44"/>
        <v>1.5525783360522011E-10</v>
      </c>
      <c r="X110">
        <f t="shared" si="45"/>
        <v>0.24589000524855664</v>
      </c>
      <c r="Y110" s="9"/>
    </row>
    <row r="111" spans="1:25">
      <c r="A111" s="21">
        <v>45530</v>
      </c>
      <c r="B111" s="28">
        <v>23.17</v>
      </c>
      <c r="C111" s="29">
        <f t="shared" si="35"/>
        <v>1.8014059753954311E-2</v>
      </c>
      <c r="D111" s="24">
        <f t="shared" si="36"/>
        <v>2.5398116752140237E-2</v>
      </c>
      <c r="E111" s="28">
        <v>23.51</v>
      </c>
      <c r="F111" s="28">
        <v>22.5</v>
      </c>
      <c r="G111" s="24">
        <f t="shared" si="31"/>
        <v>4.3903499239295866E-2</v>
      </c>
      <c r="H111" s="28">
        <v>23.2</v>
      </c>
      <c r="I111" s="28">
        <v>22.95</v>
      </c>
      <c r="J111" s="24">
        <f t="shared" si="32"/>
        <v>1.0834236186348862E-2</v>
      </c>
      <c r="K111" s="25">
        <v>654530</v>
      </c>
      <c r="L111" s="31">
        <f t="shared" si="37"/>
        <v>379800000</v>
      </c>
      <c r="M111" s="24">
        <f t="shared" si="33"/>
        <v>15165460.100000001</v>
      </c>
      <c r="N111" s="24">
        <f t="shared" si="38"/>
        <v>151930000</v>
      </c>
      <c r="O111" s="24">
        <f t="shared" si="34"/>
        <v>4.3081024155861248E-3</v>
      </c>
      <c r="P111" s="10">
        <v>78571.06</v>
      </c>
      <c r="Q111" s="27">
        <v>0.17469999999999999</v>
      </c>
      <c r="R111" s="24">
        <f t="shared" si="39"/>
        <v>26674000000</v>
      </c>
      <c r="S111" s="24">
        <f t="shared" si="40"/>
        <v>8542799999.999999</v>
      </c>
      <c r="T111" s="31">
        <f t="shared" si="41"/>
        <v>2292070000</v>
      </c>
      <c r="U111" s="31">
        <f t="shared" si="42"/>
        <v>1440280000</v>
      </c>
      <c r="V111" s="31">
        <f t="shared" si="43"/>
        <v>6558870000</v>
      </c>
      <c r="W111">
        <f t="shared" si="44"/>
        <v>1.1878347003764369E-9</v>
      </c>
      <c r="X111">
        <f t="shared" si="45"/>
        <v>0.24589000524855664</v>
      </c>
      <c r="Y111" s="9"/>
    </row>
    <row r="112" spans="1:25">
      <c r="A112" s="21">
        <v>45527</v>
      </c>
      <c r="B112" s="28">
        <v>22.76</v>
      </c>
      <c r="C112" s="29">
        <f t="shared" si="35"/>
        <v>-1.0004349717268242E-2</v>
      </c>
      <c r="D112" s="24">
        <f t="shared" si="36"/>
        <v>2.5398116752140237E-2</v>
      </c>
      <c r="E112" s="28">
        <v>23.8</v>
      </c>
      <c r="F112" s="28">
        <v>22.55</v>
      </c>
      <c r="G112" s="24">
        <f t="shared" si="31"/>
        <v>5.3937432578209273E-2</v>
      </c>
      <c r="H112" s="28">
        <v>22.9</v>
      </c>
      <c r="I112" s="28">
        <v>22.81</v>
      </c>
      <c r="J112" s="24">
        <f t="shared" si="32"/>
        <v>3.9378691752351728E-3</v>
      </c>
      <c r="K112" s="25">
        <v>923444</v>
      </c>
      <c r="L112" s="31">
        <f t="shared" si="37"/>
        <v>379800000</v>
      </c>
      <c r="M112" s="24">
        <f t="shared" si="33"/>
        <v>21017585.440000001</v>
      </c>
      <c r="N112" s="24">
        <f t="shared" si="38"/>
        <v>151930000</v>
      </c>
      <c r="O112" s="24">
        <f t="shared" si="34"/>
        <v>6.078088593431185E-3</v>
      </c>
      <c r="P112" s="10">
        <v>78801.429999999993</v>
      </c>
      <c r="Q112" s="27">
        <v>0.17469999999999999</v>
      </c>
      <c r="R112" s="24">
        <f t="shared" si="39"/>
        <v>26674000000</v>
      </c>
      <c r="S112" s="24">
        <f t="shared" si="40"/>
        <v>8542799999.999999</v>
      </c>
      <c r="T112" s="31">
        <f t="shared" si="41"/>
        <v>2292070000</v>
      </c>
      <c r="U112" s="31">
        <f t="shared" si="42"/>
        <v>1440280000</v>
      </c>
      <c r="V112" s="31">
        <f t="shared" si="43"/>
        <v>6558870000</v>
      </c>
      <c r="W112">
        <f t="shared" si="44"/>
        <v>4.7599900311233096E-10</v>
      </c>
      <c r="X112">
        <f t="shared" si="45"/>
        <v>0.24589000524855664</v>
      </c>
      <c r="Y112" s="9"/>
    </row>
    <row r="113" spans="1:25">
      <c r="A113" s="21">
        <v>45526</v>
      </c>
      <c r="B113" s="28">
        <v>22.99</v>
      </c>
      <c r="C113" s="29">
        <f t="shared" si="35"/>
        <v>-5.622837370242325E-3</v>
      </c>
      <c r="D113" s="24">
        <f t="shared" si="36"/>
        <v>2.5398116752140237E-2</v>
      </c>
      <c r="E113" s="28">
        <v>23.89</v>
      </c>
      <c r="F113" s="28">
        <v>22.85</v>
      </c>
      <c r="G113" s="24">
        <f t="shared" si="31"/>
        <v>4.4501497646555373E-2</v>
      </c>
      <c r="H113" s="28">
        <v>23</v>
      </c>
      <c r="I113" s="28">
        <v>22.99</v>
      </c>
      <c r="J113" s="24">
        <f t="shared" si="32"/>
        <v>4.3487714720598234E-4</v>
      </c>
      <c r="K113" s="25">
        <v>706684</v>
      </c>
      <c r="L113" s="31">
        <f t="shared" si="37"/>
        <v>379800000</v>
      </c>
      <c r="M113" s="24">
        <f t="shared" si="33"/>
        <v>16246665.159999998</v>
      </c>
      <c r="N113" s="24">
        <f t="shared" si="38"/>
        <v>151930000</v>
      </c>
      <c r="O113" s="24">
        <f t="shared" si="34"/>
        <v>4.6513789245047057E-3</v>
      </c>
      <c r="P113" s="10">
        <v>78793.41</v>
      </c>
      <c r="Q113" s="27">
        <v>0.17469999999999999</v>
      </c>
      <c r="R113" s="24">
        <f t="shared" si="39"/>
        <v>26674000000</v>
      </c>
      <c r="S113" s="24">
        <f t="shared" si="40"/>
        <v>8542799999.999999</v>
      </c>
      <c r="T113" s="31">
        <f t="shared" si="41"/>
        <v>2292070000</v>
      </c>
      <c r="U113" s="31">
        <f t="shared" si="42"/>
        <v>1440280000</v>
      </c>
      <c r="V113" s="31">
        <f t="shared" si="43"/>
        <v>6558870000</v>
      </c>
      <c r="W113">
        <f t="shared" si="44"/>
        <v>3.4609178652158088E-10</v>
      </c>
      <c r="X113">
        <f t="shared" si="45"/>
        <v>0.24589000524855664</v>
      </c>
      <c r="Y113" s="9"/>
    </row>
    <row r="114" spans="1:25">
      <c r="A114" s="21">
        <v>45525</v>
      </c>
      <c r="B114" s="28">
        <v>23.12</v>
      </c>
      <c r="C114" s="29">
        <f t="shared" si="35"/>
        <v>9.8859315589353708E-2</v>
      </c>
      <c r="D114" s="24">
        <f t="shared" si="36"/>
        <v>2.5398116752140237E-2</v>
      </c>
      <c r="E114" s="28">
        <v>23.14</v>
      </c>
      <c r="F114" s="28">
        <v>21</v>
      </c>
      <c r="G114" s="24">
        <f t="shared" si="31"/>
        <v>9.6964204802899884E-2</v>
      </c>
      <c r="H114" s="28">
        <v>23.13</v>
      </c>
      <c r="I114" s="28">
        <v>23.1</v>
      </c>
      <c r="J114" s="24">
        <f t="shared" si="32"/>
        <v>1.2978585334197526E-3</v>
      </c>
      <c r="K114" s="25">
        <v>2849781</v>
      </c>
      <c r="L114" s="31">
        <f t="shared" si="37"/>
        <v>379800000</v>
      </c>
      <c r="M114" s="24">
        <f t="shared" si="33"/>
        <v>65886936.720000006</v>
      </c>
      <c r="N114" s="24">
        <f t="shared" si="38"/>
        <v>151930000</v>
      </c>
      <c r="O114" s="24">
        <f t="shared" si="34"/>
        <v>1.8757197393536498E-2</v>
      </c>
      <c r="P114" s="10">
        <v>78260.86</v>
      </c>
      <c r="Q114" s="27">
        <v>0.17469999999999999</v>
      </c>
      <c r="R114" s="24">
        <f t="shared" si="39"/>
        <v>26674000000</v>
      </c>
      <c r="S114" s="24">
        <f t="shared" si="40"/>
        <v>8542799999.999999</v>
      </c>
      <c r="T114" s="31">
        <f t="shared" si="41"/>
        <v>2292070000</v>
      </c>
      <c r="U114" s="31">
        <f t="shared" si="42"/>
        <v>1440280000</v>
      </c>
      <c r="V114" s="31">
        <f t="shared" si="43"/>
        <v>6558870000</v>
      </c>
      <c r="W114">
        <f t="shared" si="44"/>
        <v>1.5004387897023738E-9</v>
      </c>
      <c r="X114">
        <f t="shared" si="45"/>
        <v>0.24589000524855664</v>
      </c>
      <c r="Y114" s="9"/>
    </row>
    <row r="115" spans="1:25">
      <c r="A115" s="21">
        <v>45524</v>
      </c>
      <c r="B115" s="28">
        <v>21.04</v>
      </c>
      <c r="C115" s="29">
        <f t="shared" si="35"/>
        <v>3.3381020505484161E-3</v>
      </c>
      <c r="D115" s="24">
        <f t="shared" si="36"/>
        <v>2.5398116752140237E-2</v>
      </c>
      <c r="E115" s="28">
        <v>21.25</v>
      </c>
      <c r="F115" s="28">
        <v>20.8</v>
      </c>
      <c r="G115" s="24">
        <f t="shared" si="31"/>
        <v>2.140309155766941E-2</v>
      </c>
      <c r="H115" s="28">
        <v>21.12</v>
      </c>
      <c r="I115" s="28">
        <v>21.03</v>
      </c>
      <c r="J115" s="24">
        <f t="shared" si="32"/>
        <v>4.2704626334519498E-3</v>
      </c>
      <c r="K115" s="25">
        <v>368993</v>
      </c>
      <c r="L115" s="31">
        <f t="shared" si="37"/>
        <v>379800000</v>
      </c>
      <c r="M115" s="24">
        <f t="shared" si="33"/>
        <v>7763612.7199999997</v>
      </c>
      <c r="N115" s="24">
        <f t="shared" si="38"/>
        <v>151930000</v>
      </c>
      <c r="O115" s="24">
        <f t="shared" si="34"/>
        <v>2.4287040084249325E-3</v>
      </c>
      <c r="P115" s="10">
        <v>77745.52</v>
      </c>
      <c r="Q115" s="27">
        <v>0.189</v>
      </c>
      <c r="R115" s="24">
        <f t="shared" si="39"/>
        <v>26674000000</v>
      </c>
      <c r="S115" s="24">
        <f t="shared" si="40"/>
        <v>8542799999.999999</v>
      </c>
      <c r="T115" s="31">
        <f t="shared" si="41"/>
        <v>2292070000</v>
      </c>
      <c r="U115" s="31">
        <f t="shared" si="42"/>
        <v>1440280000</v>
      </c>
      <c r="V115" s="31">
        <f t="shared" si="43"/>
        <v>6558870000</v>
      </c>
      <c r="W115">
        <f t="shared" si="44"/>
        <v>4.2996761571440368E-10</v>
      </c>
      <c r="X115">
        <f t="shared" si="45"/>
        <v>0.24589000524855664</v>
      </c>
      <c r="Y115" s="9"/>
    </row>
    <row r="116" spans="1:25">
      <c r="A116" s="21">
        <v>45523</v>
      </c>
      <c r="B116" s="28">
        <v>20.97</v>
      </c>
      <c r="C116" s="29">
        <f t="shared" si="35"/>
        <v>5.2732502396931656E-3</v>
      </c>
      <c r="D116" s="24">
        <f t="shared" si="36"/>
        <v>2.5398116752140237E-2</v>
      </c>
      <c r="E116" s="28">
        <v>21.27</v>
      </c>
      <c r="F116" s="28">
        <v>20.86</v>
      </c>
      <c r="G116" s="24">
        <f t="shared" si="31"/>
        <v>1.9463565155471169E-2</v>
      </c>
      <c r="H116" s="28">
        <v>20.9</v>
      </c>
      <c r="I116" s="28">
        <v>20.88</v>
      </c>
      <c r="J116" s="24">
        <f t="shared" si="32"/>
        <v>9.5739588319768186E-4</v>
      </c>
      <c r="K116" s="25">
        <v>587924</v>
      </c>
      <c r="L116" s="31">
        <f t="shared" si="37"/>
        <v>379800000</v>
      </c>
      <c r="M116" s="24">
        <f t="shared" si="33"/>
        <v>12328766.279999999</v>
      </c>
      <c r="N116" s="24">
        <f t="shared" si="38"/>
        <v>151930000</v>
      </c>
      <c r="O116" s="24">
        <f t="shared" si="34"/>
        <v>3.869703152767722E-3</v>
      </c>
      <c r="P116" s="10">
        <v>77830.34</v>
      </c>
      <c r="Q116" s="27">
        <v>0.189</v>
      </c>
      <c r="R116" s="24">
        <f t="shared" si="39"/>
        <v>26674000000</v>
      </c>
      <c r="S116" s="24">
        <f t="shared" si="40"/>
        <v>8542799999.999999</v>
      </c>
      <c r="T116" s="31">
        <f t="shared" si="41"/>
        <v>2292070000</v>
      </c>
      <c r="U116" s="31">
        <f t="shared" si="42"/>
        <v>1440280000</v>
      </c>
      <c r="V116" s="31">
        <f t="shared" si="43"/>
        <v>6558870000</v>
      </c>
      <c r="W116">
        <f t="shared" si="44"/>
        <v>4.2771921536444003E-10</v>
      </c>
      <c r="X116">
        <f t="shared" si="45"/>
        <v>0.24589000524855664</v>
      </c>
      <c r="Y116" s="9"/>
    </row>
    <row r="117" spans="1:25">
      <c r="A117" s="21">
        <v>45520</v>
      </c>
      <c r="B117" s="28">
        <v>20.86</v>
      </c>
      <c r="C117" s="29">
        <f t="shared" si="35"/>
        <v>-1.8352941176470614E-2</v>
      </c>
      <c r="D117" s="24">
        <f t="shared" si="36"/>
        <v>2.5398116752140237E-2</v>
      </c>
      <c r="E117" s="28">
        <v>21.43</v>
      </c>
      <c r="F117" s="28">
        <v>20.5</v>
      </c>
      <c r="G117" s="24">
        <f t="shared" si="31"/>
        <v>4.4359647030765545E-2</v>
      </c>
      <c r="H117" s="28">
        <v>20.99</v>
      </c>
      <c r="I117" s="28">
        <v>20.76</v>
      </c>
      <c r="J117" s="24">
        <f t="shared" si="32"/>
        <v>1.1017964071856137E-2</v>
      </c>
      <c r="K117" s="25">
        <v>891947</v>
      </c>
      <c r="L117" s="31">
        <f t="shared" si="37"/>
        <v>379800000</v>
      </c>
      <c r="M117" s="24">
        <f t="shared" si="33"/>
        <v>18606014.419999998</v>
      </c>
      <c r="N117" s="24">
        <f t="shared" si="38"/>
        <v>151930000</v>
      </c>
      <c r="O117" s="24">
        <f t="shared" si="34"/>
        <v>5.8707760152701899E-3</v>
      </c>
      <c r="P117" s="10">
        <v>78045.31</v>
      </c>
      <c r="Q117" s="27">
        <v>0.189</v>
      </c>
      <c r="R117" s="24">
        <f t="shared" si="39"/>
        <v>26674000000</v>
      </c>
      <c r="S117" s="24">
        <f t="shared" si="40"/>
        <v>8542799999.999999</v>
      </c>
      <c r="T117" s="31">
        <f t="shared" si="41"/>
        <v>2292070000</v>
      </c>
      <c r="U117" s="31">
        <f t="shared" si="42"/>
        <v>1440280000</v>
      </c>
      <c r="V117" s="31">
        <f t="shared" si="43"/>
        <v>6558870000</v>
      </c>
      <c r="W117">
        <f t="shared" si="44"/>
        <v>9.8639830982516333E-10</v>
      </c>
      <c r="X117">
        <f t="shared" si="45"/>
        <v>0.24589000524855664</v>
      </c>
      <c r="Y117" s="9"/>
    </row>
    <row r="118" spans="1:25">
      <c r="A118" s="21">
        <v>45519</v>
      </c>
      <c r="B118" s="28">
        <v>21.25</v>
      </c>
      <c r="C118" s="29">
        <f t="shared" si="35"/>
        <v>6.1553030303029832E-3</v>
      </c>
      <c r="D118" s="24">
        <f t="shared" si="36"/>
        <v>2.5398116752140237E-2</v>
      </c>
      <c r="E118" s="28">
        <v>21.99</v>
      </c>
      <c r="F118" s="28">
        <v>20.25</v>
      </c>
      <c r="G118" s="24">
        <f t="shared" si="31"/>
        <v>8.2386363636363577E-2</v>
      </c>
      <c r="H118" s="28">
        <v>21.25</v>
      </c>
      <c r="I118" s="28">
        <v>21.2</v>
      </c>
      <c r="J118" s="24">
        <f t="shared" si="32"/>
        <v>2.3557126030624596E-3</v>
      </c>
      <c r="K118" s="25">
        <v>525687</v>
      </c>
      <c r="L118" s="31">
        <f t="shared" si="37"/>
        <v>379800000</v>
      </c>
      <c r="M118" s="24">
        <f t="shared" si="33"/>
        <v>11170848.75</v>
      </c>
      <c r="N118" s="24">
        <f t="shared" si="38"/>
        <v>151930000</v>
      </c>
      <c r="O118" s="24">
        <f t="shared" si="34"/>
        <v>3.4600605542025932E-3</v>
      </c>
      <c r="P118" s="10">
        <v>78105.98</v>
      </c>
      <c r="Q118" s="27">
        <v>0.189</v>
      </c>
      <c r="R118" s="24">
        <f t="shared" si="39"/>
        <v>26674000000</v>
      </c>
      <c r="S118" s="24">
        <f t="shared" si="40"/>
        <v>8542799999.999999</v>
      </c>
      <c r="T118" s="31">
        <f t="shared" si="41"/>
        <v>2292070000</v>
      </c>
      <c r="U118" s="31">
        <f t="shared" si="42"/>
        <v>1440280000</v>
      </c>
      <c r="V118" s="31">
        <f t="shared" si="43"/>
        <v>6558870000</v>
      </c>
      <c r="W118">
        <f t="shared" si="44"/>
        <v>5.5101480362474548E-10</v>
      </c>
      <c r="X118">
        <f t="shared" si="45"/>
        <v>0.24589000524855664</v>
      </c>
      <c r="Y118" s="9"/>
    </row>
    <row r="119" spans="1:25">
      <c r="A119" s="21">
        <v>45517</v>
      </c>
      <c r="B119" s="28">
        <v>21.12</v>
      </c>
      <c r="C119" s="29">
        <f t="shared" si="35"/>
        <v>-2.2674687644608907E-2</v>
      </c>
      <c r="D119" s="24">
        <f t="shared" si="36"/>
        <v>2.5398116752140237E-2</v>
      </c>
      <c r="E119" s="28">
        <v>21.52</v>
      </c>
      <c r="F119" s="28">
        <v>21</v>
      </c>
      <c r="G119" s="24">
        <f t="shared" si="31"/>
        <v>2.4459078080903085E-2</v>
      </c>
      <c r="H119" s="28">
        <v>21.2</v>
      </c>
      <c r="I119" s="28">
        <v>21.16</v>
      </c>
      <c r="J119" s="24">
        <f t="shared" si="32"/>
        <v>1.8885741265344262E-3</v>
      </c>
      <c r="K119" s="25">
        <v>713961</v>
      </c>
      <c r="L119" s="31">
        <f t="shared" si="37"/>
        <v>379800000</v>
      </c>
      <c r="M119" s="24">
        <f t="shared" si="33"/>
        <v>15078856.32</v>
      </c>
      <c r="N119" s="24">
        <f t="shared" si="38"/>
        <v>151930000</v>
      </c>
      <c r="O119" s="24">
        <f t="shared" si="34"/>
        <v>4.6992759823602974E-3</v>
      </c>
      <c r="P119" s="10">
        <v>77877.42</v>
      </c>
      <c r="Q119" s="27">
        <v>0.189</v>
      </c>
      <c r="R119" s="24">
        <f t="shared" si="39"/>
        <v>26674000000</v>
      </c>
      <c r="S119" s="24">
        <f t="shared" si="40"/>
        <v>8542799999.999999</v>
      </c>
      <c r="T119" s="31">
        <f t="shared" si="41"/>
        <v>2292070000</v>
      </c>
      <c r="U119" s="31">
        <f t="shared" si="42"/>
        <v>1440280000</v>
      </c>
      <c r="V119" s="31">
        <f t="shared" si="43"/>
        <v>6558870000</v>
      </c>
      <c r="W119">
        <f t="shared" si="44"/>
        <v>1.5037405465913285E-9</v>
      </c>
      <c r="X119">
        <f t="shared" si="45"/>
        <v>0.24589000524855664</v>
      </c>
      <c r="Y119" s="9"/>
    </row>
    <row r="120" spans="1:25">
      <c r="A120" s="21">
        <v>45516</v>
      </c>
      <c r="B120" s="28">
        <v>21.61</v>
      </c>
      <c r="C120" s="29">
        <f t="shared" si="35"/>
        <v>-3.5698348951361029E-2</v>
      </c>
      <c r="D120" s="24">
        <f t="shared" si="36"/>
        <v>2.5398116752140237E-2</v>
      </c>
      <c r="E120" s="28">
        <v>22.5</v>
      </c>
      <c r="F120" s="28">
        <v>21.5</v>
      </c>
      <c r="G120" s="24">
        <f t="shared" si="31"/>
        <v>4.5454545454545456E-2</v>
      </c>
      <c r="H120" s="28">
        <v>21.75</v>
      </c>
      <c r="I120" s="28">
        <v>21.56</v>
      </c>
      <c r="J120" s="24">
        <f t="shared" si="32"/>
        <v>8.7739552066497927E-3</v>
      </c>
      <c r="K120" s="25">
        <v>623735</v>
      </c>
      <c r="L120" s="31">
        <f t="shared" si="37"/>
        <v>379800000</v>
      </c>
      <c r="M120" s="24">
        <f t="shared" si="33"/>
        <v>13478913.35</v>
      </c>
      <c r="N120" s="24">
        <f t="shared" si="38"/>
        <v>151930000</v>
      </c>
      <c r="O120" s="24">
        <f t="shared" si="34"/>
        <v>4.1054103863621405E-3</v>
      </c>
      <c r="P120" s="10">
        <v>77980.289999999994</v>
      </c>
      <c r="Q120" s="27">
        <v>0.189</v>
      </c>
      <c r="R120" s="24">
        <f t="shared" si="39"/>
        <v>26674000000</v>
      </c>
      <c r="S120" s="24">
        <f t="shared" si="40"/>
        <v>8542799999.999999</v>
      </c>
      <c r="T120" s="31">
        <f t="shared" si="41"/>
        <v>2292070000</v>
      </c>
      <c r="U120" s="31">
        <f t="shared" si="42"/>
        <v>1440280000</v>
      </c>
      <c r="V120" s="31">
        <f t="shared" si="43"/>
        <v>6558870000</v>
      </c>
      <c r="W120">
        <f t="shared" si="44"/>
        <v>2.6484589687907616E-9</v>
      </c>
      <c r="X120">
        <f t="shared" si="45"/>
        <v>0.24589000524855664</v>
      </c>
      <c r="Y120" s="9"/>
    </row>
    <row r="121" spans="1:25">
      <c r="A121" s="21">
        <v>45513</v>
      </c>
      <c r="B121" s="28">
        <v>22.41</v>
      </c>
      <c r="C121" s="29">
        <f t="shared" si="35"/>
        <v>-2.5652173913043471E-2</v>
      </c>
      <c r="D121" s="24">
        <f t="shared" si="36"/>
        <v>2.5398116752140237E-2</v>
      </c>
      <c r="E121" s="28">
        <v>22.98</v>
      </c>
      <c r="F121" s="28">
        <v>21.51</v>
      </c>
      <c r="G121" s="24">
        <f t="shared" si="31"/>
        <v>6.608226567768033E-2</v>
      </c>
      <c r="H121" s="28">
        <v>22.35</v>
      </c>
      <c r="I121" s="28">
        <v>22.31</v>
      </c>
      <c r="J121" s="24">
        <f t="shared" si="32"/>
        <v>1.7913121361398433E-3</v>
      </c>
      <c r="K121" s="25">
        <v>907375</v>
      </c>
      <c r="L121" s="31">
        <f t="shared" si="37"/>
        <v>379800000</v>
      </c>
      <c r="M121" s="24">
        <f t="shared" si="33"/>
        <v>20334273.75</v>
      </c>
      <c r="N121" s="24">
        <f t="shared" si="38"/>
        <v>151930000</v>
      </c>
      <c r="O121" s="24">
        <f t="shared" si="34"/>
        <v>5.9723227802277361E-3</v>
      </c>
      <c r="P121" s="10">
        <v>78569.59</v>
      </c>
      <c r="Q121" s="27">
        <v>0.189</v>
      </c>
      <c r="R121" s="24">
        <f t="shared" si="39"/>
        <v>26674000000</v>
      </c>
      <c r="S121" s="24">
        <f t="shared" si="40"/>
        <v>8542799999.999999</v>
      </c>
      <c r="T121" s="31">
        <f t="shared" si="41"/>
        <v>2292070000</v>
      </c>
      <c r="U121" s="31">
        <f t="shared" si="42"/>
        <v>1440280000</v>
      </c>
      <c r="V121" s="31">
        <f t="shared" si="43"/>
        <v>6558870000</v>
      </c>
      <c r="W121">
        <f t="shared" si="44"/>
        <v>1.2615239781083144E-9</v>
      </c>
      <c r="X121">
        <f t="shared" si="45"/>
        <v>0.24589000524855664</v>
      </c>
      <c r="Y121" s="9"/>
    </row>
    <row r="122" spans="1:25">
      <c r="A122" s="21">
        <v>45512</v>
      </c>
      <c r="B122" s="28">
        <v>23</v>
      </c>
      <c r="C122" s="29">
        <f t="shared" si="35"/>
        <v>-2.1691973969631545E-3</v>
      </c>
      <c r="D122" s="24">
        <f t="shared" si="36"/>
        <v>2.5398116752140237E-2</v>
      </c>
      <c r="E122" s="28">
        <v>23.24</v>
      </c>
      <c r="F122" s="28">
        <v>22.95</v>
      </c>
      <c r="G122" s="24">
        <f t="shared" si="31"/>
        <v>1.2556830482788446E-2</v>
      </c>
      <c r="H122" s="28">
        <v>23.07</v>
      </c>
      <c r="I122" s="28">
        <v>23</v>
      </c>
      <c r="J122" s="24">
        <f t="shared" si="32"/>
        <v>3.0388539179509563E-3</v>
      </c>
      <c r="K122" s="25">
        <v>242342</v>
      </c>
      <c r="L122" s="31">
        <f t="shared" si="37"/>
        <v>379800000</v>
      </c>
      <c r="M122" s="24">
        <f t="shared" si="33"/>
        <v>5573866</v>
      </c>
      <c r="N122" s="24">
        <f t="shared" si="38"/>
        <v>151930000</v>
      </c>
      <c r="O122" s="24">
        <f t="shared" si="34"/>
        <v>1.5950898440071086E-3</v>
      </c>
      <c r="P122" s="10">
        <v>77874.22</v>
      </c>
      <c r="Q122" s="27">
        <v>0.189</v>
      </c>
      <c r="R122" s="24">
        <f t="shared" si="39"/>
        <v>26674000000</v>
      </c>
      <c r="S122" s="24">
        <f t="shared" si="40"/>
        <v>8542799999.999999</v>
      </c>
      <c r="T122" s="31">
        <f t="shared" si="41"/>
        <v>2292070000</v>
      </c>
      <c r="U122" s="31">
        <f t="shared" si="42"/>
        <v>1440280000</v>
      </c>
      <c r="V122" s="31">
        <f t="shared" si="43"/>
        <v>6558870000</v>
      </c>
      <c r="W122">
        <f t="shared" si="44"/>
        <v>3.8917286439307195E-10</v>
      </c>
      <c r="X122">
        <f t="shared" si="45"/>
        <v>0.24589000524855664</v>
      </c>
      <c r="Y122" s="9"/>
    </row>
    <row r="123" spans="1:25">
      <c r="A123" s="21">
        <v>45511</v>
      </c>
      <c r="B123" s="28">
        <v>23.05</v>
      </c>
      <c r="C123" s="29">
        <f t="shared" si="35"/>
        <v>-8.1755593803785609E-3</v>
      </c>
      <c r="D123" s="24">
        <f t="shared" si="36"/>
        <v>2.5398116752140237E-2</v>
      </c>
      <c r="E123" s="28">
        <v>23.4</v>
      </c>
      <c r="F123" s="28">
        <v>22.83</v>
      </c>
      <c r="G123" s="24">
        <f t="shared" si="31"/>
        <v>2.4659312134977303E-2</v>
      </c>
      <c r="H123" s="28">
        <v>23</v>
      </c>
      <c r="I123" s="28">
        <v>22.99</v>
      </c>
      <c r="J123" s="24">
        <f t="shared" si="32"/>
        <v>4.3487714720598234E-4</v>
      </c>
      <c r="K123" s="25">
        <v>359137</v>
      </c>
      <c r="L123" s="31">
        <f t="shared" si="37"/>
        <v>379800000</v>
      </c>
      <c r="M123" s="24">
        <f t="shared" si="33"/>
        <v>8278107.8500000006</v>
      </c>
      <c r="N123" s="24">
        <f t="shared" si="38"/>
        <v>151930000</v>
      </c>
      <c r="O123" s="24">
        <f t="shared" si="34"/>
        <v>2.3638320279075892E-3</v>
      </c>
      <c r="P123" s="10">
        <v>77114.490000000005</v>
      </c>
      <c r="Q123" s="27">
        <v>0.189</v>
      </c>
      <c r="R123" s="24">
        <f t="shared" si="39"/>
        <v>26674000000</v>
      </c>
      <c r="S123" s="24">
        <f t="shared" si="40"/>
        <v>8542799999.999999</v>
      </c>
      <c r="T123" s="31">
        <f t="shared" si="41"/>
        <v>2292070000</v>
      </c>
      <c r="U123" s="31">
        <f t="shared" si="42"/>
        <v>1440280000</v>
      </c>
      <c r="V123" s="31">
        <f t="shared" si="43"/>
        <v>6558870000</v>
      </c>
      <c r="W123">
        <f t="shared" si="44"/>
        <v>9.8761208823566622E-10</v>
      </c>
      <c r="X123">
        <f t="shared" si="45"/>
        <v>0.24589000524855664</v>
      </c>
      <c r="Y123" s="9"/>
    </row>
    <row r="124" spans="1:25">
      <c r="A124" s="21">
        <v>45510</v>
      </c>
      <c r="B124" s="28">
        <v>23.24</v>
      </c>
      <c r="C124" s="29">
        <f t="shared" si="35"/>
        <v>-1.2324691882703047E-2</v>
      </c>
      <c r="D124" s="24">
        <f t="shared" si="36"/>
        <v>2.5398116752140237E-2</v>
      </c>
      <c r="E124" s="28">
        <v>23.84</v>
      </c>
      <c r="F124" s="28">
        <v>23.11</v>
      </c>
      <c r="G124" s="24">
        <f t="shared" si="31"/>
        <v>3.1096911608093733E-2</v>
      </c>
      <c r="H124" s="28">
        <v>23.25</v>
      </c>
      <c r="I124" s="28">
        <v>23.24</v>
      </c>
      <c r="J124" s="24">
        <f t="shared" si="32"/>
        <v>4.302000430200716E-4</v>
      </c>
      <c r="K124" s="25">
        <v>510133</v>
      </c>
      <c r="L124" s="31">
        <f t="shared" si="37"/>
        <v>379800000</v>
      </c>
      <c r="M124" s="24">
        <f t="shared" si="33"/>
        <v>11855490.92</v>
      </c>
      <c r="N124" s="24">
        <f t="shared" si="38"/>
        <v>151930000</v>
      </c>
      <c r="O124" s="24">
        <f t="shared" si="34"/>
        <v>3.3576844599486604E-3</v>
      </c>
      <c r="P124" s="10">
        <v>77191.34</v>
      </c>
      <c r="Q124" s="27">
        <v>0.19489999999999999</v>
      </c>
      <c r="R124" s="24">
        <f t="shared" si="39"/>
        <v>26674000000</v>
      </c>
      <c r="S124" s="24">
        <f t="shared" si="40"/>
        <v>8542799999.999999</v>
      </c>
      <c r="T124" s="31">
        <f t="shared" si="41"/>
        <v>2292070000</v>
      </c>
      <c r="U124" s="31">
        <f t="shared" si="42"/>
        <v>1440280000</v>
      </c>
      <c r="V124" s="31">
        <f t="shared" si="43"/>
        <v>6558870000</v>
      </c>
      <c r="W124">
        <f t="shared" si="44"/>
        <v>1.0395766793521399E-9</v>
      </c>
      <c r="X124">
        <f t="shared" si="45"/>
        <v>0.24589000524855664</v>
      </c>
      <c r="Y124" s="9"/>
    </row>
    <row r="125" spans="1:25">
      <c r="A125" s="21">
        <v>45509</v>
      </c>
      <c r="B125" s="28">
        <v>23.53</v>
      </c>
      <c r="C125" s="29">
        <f t="shared" si="35"/>
        <v>-1.712614870509608E-2</v>
      </c>
      <c r="D125" s="24">
        <f t="shared" si="36"/>
        <v>2.5398116752140237E-2</v>
      </c>
      <c r="E125" s="28">
        <v>24.5</v>
      </c>
      <c r="F125" s="28">
        <v>23.29</v>
      </c>
      <c r="G125" s="24">
        <f t="shared" si="31"/>
        <v>5.0638208830299264E-2</v>
      </c>
      <c r="H125" s="28">
        <v>23.5</v>
      </c>
      <c r="I125" s="28">
        <v>23.48</v>
      </c>
      <c r="J125" s="24">
        <f t="shared" si="32"/>
        <v>8.5142613878244242E-4</v>
      </c>
      <c r="K125" s="25">
        <v>694895</v>
      </c>
      <c r="L125" s="31">
        <f t="shared" si="37"/>
        <v>379800000</v>
      </c>
      <c r="M125" s="24">
        <f t="shared" si="33"/>
        <v>16350879.350000001</v>
      </c>
      <c r="N125" s="24">
        <f t="shared" si="38"/>
        <v>151930000</v>
      </c>
      <c r="O125" s="24">
        <f t="shared" si="34"/>
        <v>4.5737839794642273E-3</v>
      </c>
      <c r="P125" s="10">
        <v>77084.490000000005</v>
      </c>
      <c r="Q125" s="27">
        <v>0.19489999999999999</v>
      </c>
      <c r="R125" s="24">
        <f t="shared" si="39"/>
        <v>26674000000</v>
      </c>
      <c r="S125" s="24">
        <f t="shared" si="40"/>
        <v>8542799999.999999</v>
      </c>
      <c r="T125" s="31">
        <f t="shared" si="41"/>
        <v>2292070000</v>
      </c>
      <c r="U125" s="31">
        <f t="shared" si="42"/>
        <v>1440280000</v>
      </c>
      <c r="V125" s="31">
        <f t="shared" si="43"/>
        <v>6558870000</v>
      </c>
      <c r="W125">
        <f t="shared" si="44"/>
        <v>1.0474145358485614E-9</v>
      </c>
      <c r="X125">
        <f t="shared" si="45"/>
        <v>0.24589000524855664</v>
      </c>
      <c r="Y125" s="9"/>
    </row>
    <row r="126" spans="1:25">
      <c r="A126" s="21">
        <v>45506</v>
      </c>
      <c r="B126" s="28">
        <v>23.94</v>
      </c>
      <c r="C126" s="29">
        <f t="shared" si="35"/>
        <v>1.9157088122605487E-2</v>
      </c>
      <c r="D126" s="24">
        <f t="shared" si="36"/>
        <v>2.5398116752140237E-2</v>
      </c>
      <c r="E126" s="28">
        <v>24.2</v>
      </c>
      <c r="F126" s="28">
        <v>23.61</v>
      </c>
      <c r="G126" s="24">
        <f t="shared" si="31"/>
        <v>2.4681029073415597E-2</v>
      </c>
      <c r="H126" s="28">
        <v>23.95</v>
      </c>
      <c r="I126" s="28">
        <v>23.92</v>
      </c>
      <c r="J126" s="24">
        <f t="shared" si="32"/>
        <v>1.2533946104030741E-3</v>
      </c>
      <c r="K126" s="25">
        <v>1038384</v>
      </c>
      <c r="L126" s="31">
        <f t="shared" si="37"/>
        <v>379800000</v>
      </c>
      <c r="M126" s="24">
        <f t="shared" si="33"/>
        <v>24858912.960000001</v>
      </c>
      <c r="N126" s="24">
        <f t="shared" si="38"/>
        <v>151930000</v>
      </c>
      <c r="O126" s="24">
        <f t="shared" si="34"/>
        <v>6.8346212071348647E-3</v>
      </c>
      <c r="P126" s="10">
        <v>78225.98</v>
      </c>
      <c r="Q126" s="27">
        <v>0.19489999999999999</v>
      </c>
      <c r="R126" s="24">
        <f t="shared" si="39"/>
        <v>26674000000</v>
      </c>
      <c r="S126" s="24">
        <f t="shared" si="40"/>
        <v>8542799999.999999</v>
      </c>
      <c r="T126" s="31">
        <f t="shared" si="41"/>
        <v>2292070000</v>
      </c>
      <c r="U126" s="31">
        <f t="shared" si="42"/>
        <v>1440280000</v>
      </c>
      <c r="V126" s="31">
        <f t="shared" si="43"/>
        <v>6558870000</v>
      </c>
      <c r="W126">
        <f t="shared" si="44"/>
        <v>7.7063257566534743E-10</v>
      </c>
      <c r="X126">
        <f t="shared" si="45"/>
        <v>0.24589000524855664</v>
      </c>
      <c r="Y126" s="9"/>
    </row>
    <row r="127" spans="1:25">
      <c r="A127" s="21">
        <v>45505</v>
      </c>
      <c r="B127" s="28">
        <v>23.49</v>
      </c>
      <c r="C127" s="29">
        <f t="shared" si="35"/>
        <v>2.7559055118110194E-2</v>
      </c>
      <c r="D127" s="24">
        <f t="shared" si="36"/>
        <v>2.5398116752140237E-2</v>
      </c>
      <c r="E127" s="28">
        <v>23.53</v>
      </c>
      <c r="F127" s="28">
        <v>20.57</v>
      </c>
      <c r="G127" s="24">
        <f t="shared" si="31"/>
        <v>0.13424036281179141</v>
      </c>
      <c r="H127" s="28">
        <v>23.45</v>
      </c>
      <c r="I127" s="28">
        <v>23.41</v>
      </c>
      <c r="J127" s="24">
        <f t="shared" si="32"/>
        <v>1.7072129748185723E-3</v>
      </c>
      <c r="K127" s="25">
        <v>884581</v>
      </c>
      <c r="L127" s="31">
        <f t="shared" si="37"/>
        <v>379800000</v>
      </c>
      <c r="M127" s="24">
        <f t="shared" si="33"/>
        <v>20778807.689999998</v>
      </c>
      <c r="N127" s="24">
        <f t="shared" si="38"/>
        <v>151930000</v>
      </c>
      <c r="O127" s="24">
        <f t="shared" si="34"/>
        <v>5.8222931613242943E-3</v>
      </c>
      <c r="P127" s="10">
        <v>77740.31</v>
      </c>
      <c r="Q127" s="27">
        <v>0.19489999999999999</v>
      </c>
      <c r="R127" s="24">
        <f t="shared" si="39"/>
        <v>26674000000</v>
      </c>
      <c r="S127" s="24">
        <f t="shared" si="40"/>
        <v>8542799999.999999</v>
      </c>
      <c r="T127" s="31">
        <f t="shared" si="41"/>
        <v>2292070000</v>
      </c>
      <c r="U127" s="31">
        <f t="shared" si="42"/>
        <v>1440280000</v>
      </c>
      <c r="V127" s="31">
        <f t="shared" si="43"/>
        <v>6558870000</v>
      </c>
      <c r="W127">
        <f t="shared" si="44"/>
        <v>1.3263058944124718E-9</v>
      </c>
      <c r="X127">
        <f t="shared" si="45"/>
        <v>0.24589000524855664</v>
      </c>
      <c r="Y127" s="9"/>
    </row>
    <row r="128" spans="1:25">
      <c r="A128" s="21">
        <v>45504</v>
      </c>
      <c r="B128" s="28">
        <v>22.86</v>
      </c>
      <c r="C128" s="29">
        <f t="shared" si="35"/>
        <v>-6.0869565217391555E-3</v>
      </c>
      <c r="D128" s="24">
        <f t="shared" si="36"/>
        <v>2.5398116752140237E-2</v>
      </c>
      <c r="E128" s="28">
        <v>23.8</v>
      </c>
      <c r="F128" s="28">
        <v>22.51</v>
      </c>
      <c r="G128" s="24">
        <f t="shared" si="31"/>
        <v>5.5711509393219567E-2</v>
      </c>
      <c r="H128" s="28">
        <v>22.79</v>
      </c>
      <c r="I128" s="28">
        <v>22.52</v>
      </c>
      <c r="J128" s="24">
        <f t="shared" si="32"/>
        <v>1.1917898918561005E-2</v>
      </c>
      <c r="K128" s="25">
        <v>490240</v>
      </c>
      <c r="L128" s="31">
        <f t="shared" si="37"/>
        <v>379800000</v>
      </c>
      <c r="M128" s="24">
        <f t="shared" si="33"/>
        <v>11206886.4</v>
      </c>
      <c r="N128" s="24">
        <f t="shared" si="38"/>
        <v>151930000</v>
      </c>
      <c r="O128" s="24">
        <f t="shared" si="34"/>
        <v>3.2267491607977359E-3</v>
      </c>
      <c r="P128" s="10">
        <v>77886.990000000005</v>
      </c>
      <c r="Q128" s="27">
        <v>0.19489999999999999</v>
      </c>
      <c r="R128" s="24">
        <f t="shared" si="39"/>
        <v>26674000000</v>
      </c>
      <c r="S128" s="24">
        <f t="shared" si="40"/>
        <v>8542799999.999999</v>
      </c>
      <c r="T128" s="31">
        <f t="shared" si="41"/>
        <v>2292070000</v>
      </c>
      <c r="U128" s="31">
        <f t="shared" si="42"/>
        <v>1440280000</v>
      </c>
      <c r="V128" s="31">
        <f t="shared" si="43"/>
        <v>6558870000</v>
      </c>
      <c r="W128">
        <f t="shared" si="44"/>
        <v>5.4314430471421168E-10</v>
      </c>
      <c r="X128">
        <f t="shared" si="45"/>
        <v>0.24589000524855664</v>
      </c>
      <c r="Y128" s="9"/>
    </row>
    <row r="129" spans="1:25">
      <c r="A129" s="21">
        <v>45503</v>
      </c>
      <c r="B129" s="28">
        <v>23</v>
      </c>
      <c r="C129" s="29">
        <f t="shared" si="35"/>
        <v>1.3060513713539896E-3</v>
      </c>
      <c r="D129" s="24">
        <f t="shared" si="36"/>
        <v>2.5398116752140237E-2</v>
      </c>
      <c r="E129" s="28">
        <v>23.1</v>
      </c>
      <c r="F129" s="28">
        <v>22.9</v>
      </c>
      <c r="G129" s="24">
        <f t="shared" si="31"/>
        <v>8.6956521739131667E-3</v>
      </c>
      <c r="H129" s="28">
        <v>23</v>
      </c>
      <c r="I129" s="28">
        <v>22.98</v>
      </c>
      <c r="J129" s="24">
        <f t="shared" si="32"/>
        <v>8.6994345367549244E-4</v>
      </c>
      <c r="K129" s="25">
        <v>365003</v>
      </c>
      <c r="L129" s="31">
        <f t="shared" si="37"/>
        <v>379800000</v>
      </c>
      <c r="M129" s="24">
        <f t="shared" si="33"/>
        <v>8395069</v>
      </c>
      <c r="N129" s="24">
        <f t="shared" si="38"/>
        <v>151930000</v>
      </c>
      <c r="O129" s="24">
        <f t="shared" si="34"/>
        <v>2.4024419140393602E-3</v>
      </c>
      <c r="P129" s="10">
        <v>78628.81</v>
      </c>
      <c r="Q129" s="27">
        <v>0.19489999999999999</v>
      </c>
      <c r="R129" s="24">
        <f t="shared" si="39"/>
        <v>26674000000</v>
      </c>
      <c r="S129" s="24">
        <f t="shared" si="40"/>
        <v>8542799999.999999</v>
      </c>
      <c r="T129" s="31">
        <f t="shared" si="41"/>
        <v>2292070000</v>
      </c>
      <c r="U129" s="31">
        <f t="shared" si="42"/>
        <v>1440280000</v>
      </c>
      <c r="V129" s="31">
        <f t="shared" si="43"/>
        <v>6558870000</v>
      </c>
      <c r="W129">
        <f t="shared" si="44"/>
        <v>1.5557363153941791E-10</v>
      </c>
      <c r="X129">
        <f t="shared" si="45"/>
        <v>0.24589000524855664</v>
      </c>
      <c r="Y129" s="9"/>
    </row>
    <row r="130" spans="1:25">
      <c r="A130" s="21">
        <v>45502</v>
      </c>
      <c r="B130" s="28">
        <v>22.97</v>
      </c>
      <c r="C130" s="29">
        <f t="shared" si="35"/>
        <v>-1.0340370529944075E-2</v>
      </c>
      <c r="D130" s="24">
        <f t="shared" si="36"/>
        <v>2.5398116752140237E-2</v>
      </c>
      <c r="E130" s="28">
        <v>23.14</v>
      </c>
      <c r="F130" s="28">
        <v>22.8</v>
      </c>
      <c r="G130" s="24">
        <f t="shared" si="31"/>
        <v>1.4801915542011313E-2</v>
      </c>
      <c r="H130" s="28">
        <v>22.95</v>
      </c>
      <c r="I130" s="28">
        <v>22.94</v>
      </c>
      <c r="J130" s="24">
        <f t="shared" si="32"/>
        <v>4.3582479843094399E-4</v>
      </c>
      <c r="K130" s="25">
        <v>834422</v>
      </c>
      <c r="L130" s="31">
        <f t="shared" si="37"/>
        <v>379800000</v>
      </c>
      <c r="M130" s="24">
        <f t="shared" si="33"/>
        <v>19166673.34</v>
      </c>
      <c r="N130" s="24">
        <f t="shared" si="38"/>
        <v>151930000</v>
      </c>
      <c r="O130" s="24">
        <f t="shared" si="34"/>
        <v>5.4921476995984991E-3</v>
      </c>
      <c r="P130" s="10">
        <v>78827.740000000005</v>
      </c>
      <c r="Q130" s="27">
        <v>0.19489999999999999</v>
      </c>
      <c r="R130" s="24">
        <f t="shared" si="39"/>
        <v>26674000000</v>
      </c>
      <c r="S130" s="24">
        <f t="shared" si="40"/>
        <v>8542799999.999999</v>
      </c>
      <c r="T130" s="31">
        <f t="shared" si="41"/>
        <v>2292070000</v>
      </c>
      <c r="U130" s="31">
        <f t="shared" si="42"/>
        <v>1440280000</v>
      </c>
      <c r="V130" s="31">
        <f t="shared" si="43"/>
        <v>6558870000</v>
      </c>
      <c r="W130">
        <f t="shared" si="44"/>
        <v>5.3949740502772479E-10</v>
      </c>
      <c r="X130">
        <f t="shared" si="45"/>
        <v>0.24589000524855664</v>
      </c>
      <c r="Y130" s="9"/>
    </row>
    <row r="131" spans="1:25">
      <c r="A131" s="21">
        <v>45499</v>
      </c>
      <c r="B131" s="28">
        <v>23.21</v>
      </c>
      <c r="C131" s="29">
        <f t="shared" si="35"/>
        <v>-1.4018691588784975E-2</v>
      </c>
      <c r="D131" s="24">
        <f t="shared" si="36"/>
        <v>2.5398116752140237E-2</v>
      </c>
      <c r="E131" s="28">
        <v>23.44</v>
      </c>
      <c r="F131" s="28">
        <v>23</v>
      </c>
      <c r="G131" s="24">
        <f t="shared" si="31"/>
        <v>1.8949181739879469E-2</v>
      </c>
      <c r="H131" s="28">
        <v>23.36</v>
      </c>
      <c r="I131" s="28">
        <v>23.2</v>
      </c>
      <c r="J131" s="24">
        <f t="shared" si="32"/>
        <v>6.8728522336769819E-3</v>
      </c>
      <c r="K131" s="25">
        <v>371266</v>
      </c>
      <c r="L131" s="31">
        <f t="shared" si="37"/>
        <v>379800000</v>
      </c>
      <c r="M131" s="24">
        <f t="shared" si="33"/>
        <v>8617083.8599999994</v>
      </c>
      <c r="N131" s="24">
        <f t="shared" si="38"/>
        <v>151930000</v>
      </c>
      <c r="O131" s="24">
        <f t="shared" si="34"/>
        <v>2.443664845652603E-3</v>
      </c>
      <c r="P131" s="10">
        <v>78029.509999999995</v>
      </c>
      <c r="Q131" s="27">
        <v>0.19489999999999999</v>
      </c>
      <c r="R131" s="24">
        <f t="shared" si="39"/>
        <v>26674000000</v>
      </c>
      <c r="S131" s="24">
        <f t="shared" si="40"/>
        <v>8542799999.999999</v>
      </c>
      <c r="T131" s="31">
        <f t="shared" si="41"/>
        <v>2292070000</v>
      </c>
      <c r="U131" s="31">
        <f t="shared" si="42"/>
        <v>1440280000</v>
      </c>
      <c r="V131" s="31">
        <f t="shared" si="43"/>
        <v>6558870000</v>
      </c>
      <c r="W131">
        <f t="shared" si="44"/>
        <v>1.6268486899447414E-9</v>
      </c>
      <c r="X131">
        <f t="shared" si="45"/>
        <v>0.24589000524855664</v>
      </c>
      <c r="Y131" s="9"/>
    </row>
    <row r="132" spans="1:25">
      <c r="A132" s="21">
        <v>45498</v>
      </c>
      <c r="B132" s="28">
        <v>23.54</v>
      </c>
      <c r="C132" s="29">
        <f t="shared" si="35"/>
        <v>-1.1339773204535893E-2</v>
      </c>
      <c r="D132" s="24">
        <f t="shared" si="36"/>
        <v>2.5398116752140237E-2</v>
      </c>
      <c r="E132" s="28">
        <v>23.9</v>
      </c>
      <c r="F132" s="28">
        <v>23.5</v>
      </c>
      <c r="G132" s="24">
        <f t="shared" si="31"/>
        <v>1.6877637130801627E-2</v>
      </c>
      <c r="H132" s="28">
        <v>23.57</v>
      </c>
      <c r="I132" s="28">
        <v>23.55</v>
      </c>
      <c r="J132" s="24">
        <f t="shared" si="32"/>
        <v>8.4889643463495631E-4</v>
      </c>
      <c r="K132" s="25">
        <v>282602</v>
      </c>
      <c r="L132" s="31">
        <f t="shared" si="37"/>
        <v>379800000</v>
      </c>
      <c r="M132" s="24">
        <f t="shared" si="33"/>
        <v>6652451.0800000001</v>
      </c>
      <c r="N132" s="24">
        <f t="shared" si="38"/>
        <v>151930000</v>
      </c>
      <c r="O132" s="24">
        <f t="shared" si="34"/>
        <v>1.8600803001382216E-3</v>
      </c>
      <c r="P132" s="10">
        <v>78469.33</v>
      </c>
      <c r="Q132" s="27">
        <v>0.19489999999999999</v>
      </c>
      <c r="R132" s="24">
        <f t="shared" si="39"/>
        <v>26674000000</v>
      </c>
      <c r="S132" s="24">
        <f t="shared" si="40"/>
        <v>8542799999.999999</v>
      </c>
      <c r="T132" s="31">
        <f t="shared" si="41"/>
        <v>2292070000</v>
      </c>
      <c r="U132" s="31">
        <f t="shared" si="42"/>
        <v>1440280000</v>
      </c>
      <c r="V132" s="31">
        <f t="shared" si="43"/>
        <v>6558870000</v>
      </c>
      <c r="W132">
        <f t="shared" si="44"/>
        <v>1.7046007656678465E-9</v>
      </c>
      <c r="X132">
        <f t="shared" si="45"/>
        <v>0.24589000524855664</v>
      </c>
      <c r="Y132" s="9"/>
    </row>
    <row r="133" spans="1:25">
      <c r="A133" s="21">
        <v>45497</v>
      </c>
      <c r="B133" s="28">
        <v>23.81</v>
      </c>
      <c r="C133" s="29">
        <f t="shared" si="35"/>
        <v>-1.3261500207210952E-2</v>
      </c>
      <c r="D133" s="24">
        <f t="shared" si="36"/>
        <v>2.5398116752140237E-2</v>
      </c>
      <c r="E133" s="28">
        <v>24.19</v>
      </c>
      <c r="F133" s="28">
        <v>23.65</v>
      </c>
      <c r="G133" s="24">
        <f t="shared" si="31"/>
        <v>2.2575250836120511E-2</v>
      </c>
      <c r="H133" s="28">
        <v>23.85</v>
      </c>
      <c r="I133" s="28">
        <v>23.81</v>
      </c>
      <c r="J133" s="24">
        <f t="shared" si="32"/>
        <v>1.6785564414604575E-3</v>
      </c>
      <c r="K133" s="25">
        <v>364424</v>
      </c>
      <c r="L133" s="31">
        <f t="shared" si="37"/>
        <v>379800000</v>
      </c>
      <c r="M133" s="24">
        <f t="shared" si="33"/>
        <v>8676935.4399999995</v>
      </c>
      <c r="N133" s="24">
        <f t="shared" si="38"/>
        <v>151930000</v>
      </c>
      <c r="O133" s="24">
        <f t="shared" si="34"/>
        <v>2.3986309484631081E-3</v>
      </c>
      <c r="P133" s="10">
        <v>79397.009999999995</v>
      </c>
      <c r="Q133" s="27">
        <v>0.19489999999999999</v>
      </c>
      <c r="R133" s="24">
        <f t="shared" si="39"/>
        <v>26674000000</v>
      </c>
      <c r="S133" s="24">
        <f t="shared" si="40"/>
        <v>8542799999.999999</v>
      </c>
      <c r="T133" s="31">
        <f t="shared" si="41"/>
        <v>2292070000</v>
      </c>
      <c r="U133" s="31">
        <f t="shared" si="42"/>
        <v>1440280000</v>
      </c>
      <c r="V133" s="31">
        <f t="shared" si="43"/>
        <v>6558870000</v>
      </c>
      <c r="W133">
        <f t="shared" si="44"/>
        <v>1.5283622079376625E-9</v>
      </c>
      <c r="X133">
        <f t="shared" si="45"/>
        <v>0.24589000524855664</v>
      </c>
      <c r="Y133" s="9"/>
    </row>
    <row r="134" spans="1:25">
      <c r="A134" s="21">
        <v>45496</v>
      </c>
      <c r="B134" s="28">
        <v>24.13</v>
      </c>
      <c r="C134" s="29">
        <f t="shared" si="35"/>
        <v>6.2552126772309662E-3</v>
      </c>
      <c r="D134" s="24">
        <f t="shared" si="36"/>
        <v>2.5398116752140237E-2</v>
      </c>
      <c r="E134" s="28">
        <v>24.6</v>
      </c>
      <c r="F134" s="28">
        <v>23.8</v>
      </c>
      <c r="G134" s="24">
        <f t="shared" si="31"/>
        <v>3.305785123966945E-2</v>
      </c>
      <c r="H134" s="28">
        <v>24</v>
      </c>
      <c r="I134" s="28">
        <v>23.97</v>
      </c>
      <c r="J134" s="24">
        <f t="shared" si="32"/>
        <v>1.2507817385866641E-3</v>
      </c>
      <c r="K134" s="25">
        <v>604282</v>
      </c>
      <c r="L134" s="31">
        <f t="shared" si="37"/>
        <v>379800000</v>
      </c>
      <c r="M134" s="24">
        <f t="shared" si="33"/>
        <v>14581324.66</v>
      </c>
      <c r="N134" s="24">
        <f t="shared" si="38"/>
        <v>151930000</v>
      </c>
      <c r="O134" s="24">
        <f t="shared" si="34"/>
        <v>3.9773711577700257E-3</v>
      </c>
      <c r="P134" s="10">
        <v>78987.09</v>
      </c>
      <c r="Q134" s="27">
        <v>0.19489999999999999</v>
      </c>
      <c r="R134" s="24">
        <f t="shared" si="39"/>
        <v>26674000000</v>
      </c>
      <c r="S134" s="24">
        <f t="shared" si="40"/>
        <v>8542799999.999999</v>
      </c>
      <c r="T134" s="31">
        <f t="shared" si="41"/>
        <v>2292070000</v>
      </c>
      <c r="U134" s="31">
        <f t="shared" si="42"/>
        <v>1440280000</v>
      </c>
      <c r="V134" s="31">
        <f t="shared" si="43"/>
        <v>6558870000</v>
      </c>
      <c r="W134">
        <f t="shared" si="44"/>
        <v>4.2898795706747303E-10</v>
      </c>
      <c r="X134">
        <f t="shared" si="45"/>
        <v>0.24589000524855664</v>
      </c>
      <c r="Y134" s="9"/>
    </row>
    <row r="135" spans="1:25" ht="15" thickBot="1">
      <c r="A135" s="21">
        <v>45495</v>
      </c>
      <c r="B135" s="28">
        <v>23.98</v>
      </c>
      <c r="C135" s="29">
        <f>IFERROR((B135-#REF!)/#REF!,0)</f>
        <v>0</v>
      </c>
      <c r="D135" s="24">
        <f t="shared" si="36"/>
        <v>2.5398116752140237E-2</v>
      </c>
      <c r="E135" s="28">
        <v>24.96</v>
      </c>
      <c r="F135" s="28">
        <v>23.51</v>
      </c>
      <c r="G135" s="24">
        <f>(E135-F135)/((E135+F135)/2)</f>
        <v>5.9830823189601791E-2</v>
      </c>
      <c r="H135" s="28">
        <v>24</v>
      </c>
      <c r="I135" s="28">
        <v>23.95</v>
      </c>
      <c r="J135" s="24">
        <f t="shared" si="32"/>
        <v>2.0855057351408012E-3</v>
      </c>
      <c r="K135" s="25">
        <v>829810</v>
      </c>
      <c r="L135" s="31">
        <f t="shared" si="37"/>
        <v>379800000</v>
      </c>
      <c r="M135" s="24">
        <f t="shared" si="33"/>
        <v>19898843.800000001</v>
      </c>
      <c r="N135" s="24">
        <f t="shared" si="38"/>
        <v>151930000</v>
      </c>
      <c r="O135" s="24">
        <f t="shared" si="34"/>
        <v>5.4617916145593363E-3</v>
      </c>
      <c r="P135" s="10">
        <v>78539.19</v>
      </c>
      <c r="Q135" s="27">
        <v>0.19489999999999999</v>
      </c>
      <c r="R135" s="24">
        <f t="shared" si="39"/>
        <v>26674000000</v>
      </c>
      <c r="S135" s="24">
        <f t="shared" si="40"/>
        <v>8542799999.999999</v>
      </c>
      <c r="T135" s="31">
        <f t="shared" si="41"/>
        <v>2292070000</v>
      </c>
      <c r="U135" s="31">
        <f t="shared" si="42"/>
        <v>1440280000</v>
      </c>
      <c r="V135" s="31">
        <f t="shared" si="43"/>
        <v>6558870000</v>
      </c>
      <c r="W135">
        <f t="shared" si="44"/>
        <v>0</v>
      </c>
      <c r="X135">
        <f t="shared" si="45"/>
        <v>0.24589000524855664</v>
      </c>
      <c r="Y135" s="9"/>
    </row>
    <row r="136" spans="1:25" ht="16" thickBot="1">
      <c r="A136" s="184" t="s">
        <v>33</v>
      </c>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6"/>
      <c r="Y136" s="9"/>
    </row>
    <row r="137" spans="1:25" ht="72.5">
      <c r="A137" s="11" t="s">
        <v>14</v>
      </c>
      <c r="B137" s="11" t="s">
        <v>15</v>
      </c>
      <c r="C137" s="12" t="s">
        <v>16</v>
      </c>
      <c r="D137" s="12" t="s">
        <v>17</v>
      </c>
      <c r="E137" s="13" t="s">
        <v>34</v>
      </c>
      <c r="F137" s="13" t="s">
        <v>13</v>
      </c>
      <c r="G137" s="12" t="s">
        <v>18</v>
      </c>
      <c r="H137" s="11" t="s">
        <v>12</v>
      </c>
      <c r="I137" s="13" t="s">
        <v>1</v>
      </c>
      <c r="J137" s="12" t="s">
        <v>19</v>
      </c>
      <c r="K137" s="11" t="s">
        <v>2</v>
      </c>
      <c r="L137" s="2" t="s">
        <v>26</v>
      </c>
      <c r="M137" s="12" t="s">
        <v>27</v>
      </c>
      <c r="N137" s="11" t="s">
        <v>35</v>
      </c>
      <c r="O137" s="12" t="s">
        <v>21</v>
      </c>
      <c r="P137" s="2" t="s">
        <v>5</v>
      </c>
      <c r="Q137" s="11" t="s">
        <v>6</v>
      </c>
      <c r="R137" s="11" t="s">
        <v>7</v>
      </c>
      <c r="S137" s="11" t="s">
        <v>29</v>
      </c>
      <c r="T137" s="11" t="s">
        <v>9</v>
      </c>
      <c r="U137" s="11" t="s">
        <v>10</v>
      </c>
      <c r="V137" s="11" t="s">
        <v>32</v>
      </c>
      <c r="W137" s="7" t="s">
        <v>73</v>
      </c>
      <c r="X137" s="7" t="s">
        <v>72</v>
      </c>
      <c r="Y137" s="9"/>
    </row>
    <row r="138" spans="1:25">
      <c r="A138" s="3">
        <v>45555</v>
      </c>
      <c r="B138">
        <v>32.11</v>
      </c>
      <c r="C138" s="29">
        <f t="shared" ref="C138:C179" si="46">IFERROR((B138-B139)/B139,0)</f>
        <v>7.2145545796737905E-3</v>
      </c>
      <c r="D138">
        <f>_xlfn.STDEV.S($C$138:$C$180)</f>
        <v>2.0682094027879322E-2</v>
      </c>
      <c r="E138">
        <v>32.51</v>
      </c>
      <c r="F138">
        <v>31.55</v>
      </c>
      <c r="G138">
        <f>(E138-F138)/AVERAGE(E138,F138)</f>
        <v>2.9971901342491329E-2</v>
      </c>
      <c r="H138">
        <v>32.24</v>
      </c>
      <c r="I138">
        <v>32.020000000000003</v>
      </c>
      <c r="J138">
        <f>(H138-I138)/AVERAGE(H138,I138)</f>
        <v>6.8471833177715172E-3</v>
      </c>
      <c r="K138">
        <v>1870617</v>
      </c>
      <c r="L138">
        <f>367.35*1000000</f>
        <v>367350000</v>
      </c>
      <c r="M138">
        <f t="shared" ref="M138:M180" si="47">B138*K138</f>
        <v>60065511.869999997</v>
      </c>
      <c r="N138">
        <f>113.87*1000000</f>
        <v>113870000</v>
      </c>
      <c r="O138">
        <f t="shared" ref="O138:O180" si="48">K138/N138</f>
        <v>1.6427654342671467E-2</v>
      </c>
      <c r="P138">
        <v>82074.45</v>
      </c>
      <c r="Q138" s="27">
        <v>0.1741</v>
      </c>
      <c r="R138">
        <f>31986.69*1000000</f>
        <v>31986690000</v>
      </c>
      <c r="S138">
        <f>2812.32*1000000</f>
        <v>2812320000</v>
      </c>
      <c r="T138">
        <f>1265.98*1000000</f>
        <v>1265980000</v>
      </c>
      <c r="U138">
        <f>1716.3*1000000</f>
        <v>1716300000</v>
      </c>
      <c r="V138">
        <f>123.28*1000000</f>
        <v>123280000</v>
      </c>
      <c r="W138">
        <f>IFERROR(ABS(C138)/M138,"0")</f>
        <v>1.2011143092043028E-10</v>
      </c>
      <c r="X138">
        <f>V138/R138</f>
        <v>3.8541030659940117E-3</v>
      </c>
      <c r="Y138" s="9"/>
    </row>
    <row r="139" spans="1:25">
      <c r="A139" s="3">
        <v>45554</v>
      </c>
      <c r="B139">
        <v>31.88</v>
      </c>
      <c r="C139" s="29">
        <f t="shared" si="46"/>
        <v>1.5708451146717159E-3</v>
      </c>
      <c r="D139">
        <f t="shared" ref="D139:D180" si="49">_xlfn.STDEV.S($C$138:$C$180)</f>
        <v>2.0682094027879322E-2</v>
      </c>
      <c r="E139">
        <v>33.4</v>
      </c>
      <c r="F139">
        <v>31.5</v>
      </c>
      <c r="G139">
        <f t="shared" ref="G139:G180" si="50">(E139-F139)/AVERAGE(E139,F139)</f>
        <v>5.8551617873651721E-2</v>
      </c>
      <c r="H139">
        <v>32.04</v>
      </c>
      <c r="I139">
        <v>32</v>
      </c>
      <c r="J139">
        <f t="shared" ref="J139:J180" si="51">(H139-I139)/AVERAGE(H139,I139)</f>
        <v>1.2492192379762383E-3</v>
      </c>
      <c r="K139">
        <v>6481477</v>
      </c>
      <c r="L139">
        <f t="shared" ref="L139:L180" si="52">367.35*1000000</f>
        <v>367350000</v>
      </c>
      <c r="M139">
        <f t="shared" si="47"/>
        <v>206629486.75999999</v>
      </c>
      <c r="N139">
        <f t="shared" ref="N139:N180" si="53">113.87*1000000</f>
        <v>113870000</v>
      </c>
      <c r="O139">
        <f t="shared" si="48"/>
        <v>5.6919970141389303E-2</v>
      </c>
      <c r="P139">
        <v>81459.289999999994</v>
      </c>
      <c r="Q139" s="27">
        <v>0.1741</v>
      </c>
      <c r="R139">
        <f t="shared" ref="R139:R180" si="54">31986.69*1000000</f>
        <v>31986690000</v>
      </c>
      <c r="S139">
        <f t="shared" ref="S139:S180" si="55">2812.32*1000000</f>
        <v>2812320000</v>
      </c>
      <c r="T139">
        <f t="shared" ref="T139:T180" si="56">1265.98*1000000</f>
        <v>1265980000</v>
      </c>
      <c r="U139">
        <f t="shared" ref="U139:U180" si="57">1716.3*1000000</f>
        <v>1716300000</v>
      </c>
      <c r="V139">
        <f t="shared" ref="V139:V180" si="58">123.28*1000000</f>
        <v>123280000</v>
      </c>
      <c r="W139">
        <f t="shared" ref="W139:W180" si="59">IFERROR(ABS(C139)/M139,"0")</f>
        <v>7.6022311205575969E-12</v>
      </c>
      <c r="X139">
        <f t="shared" ref="X139:X180" si="60">V139/R139</f>
        <v>3.8541030659940117E-3</v>
      </c>
      <c r="Y139" s="9"/>
    </row>
    <row r="140" spans="1:25">
      <c r="A140" s="3">
        <v>45553</v>
      </c>
      <c r="B140">
        <v>31.83</v>
      </c>
      <c r="C140" s="29">
        <f t="shared" si="46"/>
        <v>4.3264503441494483E-2</v>
      </c>
      <c r="D140">
        <f t="shared" si="49"/>
        <v>2.0682094027879322E-2</v>
      </c>
      <c r="E140">
        <v>32.61</v>
      </c>
      <c r="F140">
        <v>30.4</v>
      </c>
      <c r="G140">
        <f t="shared" si="50"/>
        <v>7.0147595619742931E-2</v>
      </c>
      <c r="H140">
        <v>31.7</v>
      </c>
      <c r="I140">
        <v>31.65</v>
      </c>
      <c r="J140">
        <f t="shared" si="51"/>
        <v>1.5785319652723193E-3</v>
      </c>
      <c r="K140">
        <v>9166709</v>
      </c>
      <c r="L140">
        <f t="shared" si="52"/>
        <v>367350000</v>
      </c>
      <c r="M140">
        <f t="shared" si="47"/>
        <v>291776347.46999997</v>
      </c>
      <c r="N140">
        <f t="shared" si="53"/>
        <v>113870000</v>
      </c>
      <c r="O140">
        <f t="shared" si="48"/>
        <v>8.0501528058312108E-2</v>
      </c>
      <c r="P140">
        <v>80461.34</v>
      </c>
      <c r="Q140" s="27">
        <v>0.1741</v>
      </c>
      <c r="R140">
        <f t="shared" si="54"/>
        <v>31986690000</v>
      </c>
      <c r="S140">
        <f t="shared" si="55"/>
        <v>2812320000</v>
      </c>
      <c r="T140">
        <f t="shared" si="56"/>
        <v>1265980000</v>
      </c>
      <c r="U140">
        <f t="shared" si="57"/>
        <v>1716300000</v>
      </c>
      <c r="V140">
        <f t="shared" si="58"/>
        <v>123280000</v>
      </c>
      <c r="W140">
        <f t="shared" si="59"/>
        <v>1.4827968002424487E-10</v>
      </c>
      <c r="X140">
        <f t="shared" si="60"/>
        <v>3.8541030659940117E-3</v>
      </c>
      <c r="Y140" s="9"/>
    </row>
    <row r="141" spans="1:25">
      <c r="A141" s="3">
        <v>45551</v>
      </c>
      <c r="B141">
        <v>30.51</v>
      </c>
      <c r="C141" s="29">
        <f t="shared" si="46"/>
        <v>3.2836831415030548E-2</v>
      </c>
      <c r="D141">
        <f t="shared" si="49"/>
        <v>2.0682094027879322E-2</v>
      </c>
      <c r="E141">
        <v>30.9</v>
      </c>
      <c r="F141">
        <v>29.15</v>
      </c>
      <c r="G141">
        <f t="shared" si="50"/>
        <v>5.8284762697751874E-2</v>
      </c>
      <c r="H141">
        <v>30.7</v>
      </c>
      <c r="I141">
        <v>30.6</v>
      </c>
      <c r="J141">
        <f t="shared" si="51"/>
        <v>3.2626427406198329E-3</v>
      </c>
      <c r="K141">
        <v>2230113</v>
      </c>
      <c r="L141">
        <f t="shared" si="52"/>
        <v>367350000</v>
      </c>
      <c r="M141">
        <f t="shared" si="47"/>
        <v>68040747.63000001</v>
      </c>
      <c r="N141">
        <f t="shared" si="53"/>
        <v>113870000</v>
      </c>
      <c r="O141">
        <f t="shared" si="48"/>
        <v>1.9584728198823221E-2</v>
      </c>
      <c r="P141">
        <v>79491.14</v>
      </c>
      <c r="Q141" s="27">
        <v>0.1741</v>
      </c>
      <c r="R141">
        <f t="shared" si="54"/>
        <v>31986690000</v>
      </c>
      <c r="S141">
        <f t="shared" si="55"/>
        <v>2812320000</v>
      </c>
      <c r="T141">
        <f t="shared" si="56"/>
        <v>1265980000</v>
      </c>
      <c r="U141">
        <f t="shared" si="57"/>
        <v>1716300000</v>
      </c>
      <c r="V141">
        <f t="shared" si="58"/>
        <v>123280000</v>
      </c>
      <c r="W141">
        <f t="shared" si="59"/>
        <v>4.8260538807707607E-10</v>
      </c>
      <c r="X141">
        <f t="shared" si="60"/>
        <v>3.8541030659940117E-3</v>
      </c>
      <c r="Y141" s="9"/>
    </row>
    <row r="142" spans="1:25">
      <c r="A142" s="3">
        <v>45548</v>
      </c>
      <c r="B142">
        <v>29.54</v>
      </c>
      <c r="C142" s="29">
        <f t="shared" si="46"/>
        <v>3.4313725490196095E-2</v>
      </c>
      <c r="D142">
        <f t="shared" si="49"/>
        <v>2.0682094027879322E-2</v>
      </c>
      <c r="E142">
        <v>30.9</v>
      </c>
      <c r="F142">
        <v>28.6</v>
      </c>
      <c r="G142">
        <f t="shared" si="50"/>
        <v>7.7310924369747805E-2</v>
      </c>
      <c r="H142">
        <v>29.65</v>
      </c>
      <c r="I142">
        <v>29.53</v>
      </c>
      <c r="J142">
        <f t="shared" si="51"/>
        <v>4.0554241297734855E-3</v>
      </c>
      <c r="K142">
        <v>2407025</v>
      </c>
      <c r="L142">
        <f t="shared" si="52"/>
        <v>367350000</v>
      </c>
      <c r="M142">
        <f t="shared" si="47"/>
        <v>71103518.5</v>
      </c>
      <c r="N142">
        <f t="shared" si="53"/>
        <v>113870000</v>
      </c>
      <c r="O142">
        <f t="shared" si="48"/>
        <v>2.1138359532800563E-2</v>
      </c>
      <c r="P142">
        <v>79333.06</v>
      </c>
      <c r="Q142" s="27">
        <v>0.1741</v>
      </c>
      <c r="R142">
        <f t="shared" si="54"/>
        <v>31986690000</v>
      </c>
      <c r="S142">
        <f t="shared" si="55"/>
        <v>2812320000</v>
      </c>
      <c r="T142">
        <f t="shared" si="56"/>
        <v>1265980000</v>
      </c>
      <c r="U142">
        <f t="shared" si="57"/>
        <v>1716300000</v>
      </c>
      <c r="V142">
        <f t="shared" si="58"/>
        <v>123280000</v>
      </c>
      <c r="W142">
        <f t="shared" si="59"/>
        <v>4.8258829118556346E-10</v>
      </c>
      <c r="X142">
        <f t="shared" si="60"/>
        <v>3.8541030659940117E-3</v>
      </c>
      <c r="Y142" s="9"/>
    </row>
    <row r="143" spans="1:25">
      <c r="A143" s="3">
        <v>45547</v>
      </c>
      <c r="B143">
        <v>28.56</v>
      </c>
      <c r="C143" s="29">
        <f t="shared" si="46"/>
        <v>8.8308018368067828E-3</v>
      </c>
      <c r="D143">
        <f t="shared" si="49"/>
        <v>2.0682094027879322E-2</v>
      </c>
      <c r="E143">
        <v>29</v>
      </c>
      <c r="F143">
        <v>28</v>
      </c>
      <c r="G143">
        <f t="shared" si="50"/>
        <v>3.5087719298245612E-2</v>
      </c>
      <c r="H143">
        <v>28.7</v>
      </c>
      <c r="I143">
        <v>28.63</v>
      </c>
      <c r="J143">
        <f t="shared" si="51"/>
        <v>2.442002442002452E-3</v>
      </c>
      <c r="K143">
        <v>1288705</v>
      </c>
      <c r="L143">
        <f t="shared" si="52"/>
        <v>367350000</v>
      </c>
      <c r="M143">
        <f t="shared" si="47"/>
        <v>36805414.799999997</v>
      </c>
      <c r="N143">
        <f t="shared" si="53"/>
        <v>113870000</v>
      </c>
      <c r="O143">
        <f t="shared" si="48"/>
        <v>1.1317335558092561E-2</v>
      </c>
      <c r="P143">
        <v>79017.62</v>
      </c>
      <c r="Q143" s="27">
        <v>0.1741</v>
      </c>
      <c r="R143">
        <f t="shared" si="54"/>
        <v>31986690000</v>
      </c>
      <c r="S143">
        <f t="shared" si="55"/>
        <v>2812320000</v>
      </c>
      <c r="T143">
        <f t="shared" si="56"/>
        <v>1265980000</v>
      </c>
      <c r="U143">
        <f t="shared" si="57"/>
        <v>1716300000</v>
      </c>
      <c r="V143">
        <f t="shared" si="58"/>
        <v>123280000</v>
      </c>
      <c r="W143">
        <f t="shared" si="59"/>
        <v>2.3993213728993984E-10</v>
      </c>
      <c r="X143">
        <f t="shared" si="60"/>
        <v>3.8541030659940117E-3</v>
      </c>
      <c r="Y143" s="9"/>
    </row>
    <row r="144" spans="1:25">
      <c r="A144" s="3">
        <v>45546</v>
      </c>
      <c r="B144">
        <v>28.31</v>
      </c>
      <c r="C144" s="29">
        <f t="shared" si="46"/>
        <v>-1.0585744530699061E-3</v>
      </c>
      <c r="D144">
        <f t="shared" si="49"/>
        <v>2.0682094027879322E-2</v>
      </c>
      <c r="E144">
        <v>28.4</v>
      </c>
      <c r="F144">
        <v>28.1</v>
      </c>
      <c r="G144">
        <f t="shared" si="50"/>
        <v>1.0619469026548572E-2</v>
      </c>
      <c r="H144">
        <v>28.11</v>
      </c>
      <c r="I144">
        <v>28.1</v>
      </c>
      <c r="J144">
        <f t="shared" si="51"/>
        <v>3.5580857498658638E-4</v>
      </c>
      <c r="K144">
        <v>664506</v>
      </c>
      <c r="L144">
        <f t="shared" si="52"/>
        <v>367350000</v>
      </c>
      <c r="M144">
        <f t="shared" si="47"/>
        <v>18812164.859999999</v>
      </c>
      <c r="N144">
        <f t="shared" si="53"/>
        <v>113870000</v>
      </c>
      <c r="O144">
        <f t="shared" si="48"/>
        <v>5.8356546939492401E-3</v>
      </c>
      <c r="P144">
        <v>78651.8</v>
      </c>
      <c r="Q144" s="27">
        <v>0.1741</v>
      </c>
      <c r="R144">
        <f t="shared" si="54"/>
        <v>31986690000</v>
      </c>
      <c r="S144">
        <f t="shared" si="55"/>
        <v>2812320000</v>
      </c>
      <c r="T144">
        <f t="shared" si="56"/>
        <v>1265980000</v>
      </c>
      <c r="U144">
        <f t="shared" si="57"/>
        <v>1716300000</v>
      </c>
      <c r="V144">
        <f t="shared" si="58"/>
        <v>123280000</v>
      </c>
      <c r="W144">
        <f t="shared" si="59"/>
        <v>5.6270740818391176E-11</v>
      </c>
      <c r="X144">
        <f t="shared" si="60"/>
        <v>3.8541030659940117E-3</v>
      </c>
      <c r="Y144" s="9"/>
    </row>
    <row r="145" spans="1:25">
      <c r="A145" s="3">
        <v>45545</v>
      </c>
      <c r="B145">
        <v>28.34</v>
      </c>
      <c r="C145" s="29">
        <f t="shared" si="46"/>
        <v>3.1858407079645968E-3</v>
      </c>
      <c r="D145">
        <f t="shared" si="49"/>
        <v>2.0682094027879322E-2</v>
      </c>
      <c r="E145">
        <v>28.43</v>
      </c>
      <c r="F145">
        <v>27.96</v>
      </c>
      <c r="G145">
        <f t="shared" si="50"/>
        <v>1.66696222734527E-2</v>
      </c>
      <c r="H145">
        <v>28.35</v>
      </c>
      <c r="I145">
        <v>28.26</v>
      </c>
      <c r="J145">
        <f t="shared" si="51"/>
        <v>3.1796502384737629E-3</v>
      </c>
      <c r="K145">
        <v>835674</v>
      </c>
      <c r="L145">
        <f t="shared" si="52"/>
        <v>367350000</v>
      </c>
      <c r="M145">
        <f t="shared" si="47"/>
        <v>23683001.16</v>
      </c>
      <c r="N145">
        <f t="shared" si="53"/>
        <v>113870000</v>
      </c>
      <c r="O145">
        <f t="shared" si="48"/>
        <v>7.3388425397382983E-3</v>
      </c>
      <c r="P145">
        <v>79286.740000000005</v>
      </c>
      <c r="Q145" s="27">
        <v>0.1741</v>
      </c>
      <c r="R145">
        <f t="shared" si="54"/>
        <v>31986690000</v>
      </c>
      <c r="S145">
        <f t="shared" si="55"/>
        <v>2812320000</v>
      </c>
      <c r="T145">
        <f t="shared" si="56"/>
        <v>1265980000</v>
      </c>
      <c r="U145">
        <f t="shared" si="57"/>
        <v>1716300000</v>
      </c>
      <c r="V145">
        <f t="shared" si="58"/>
        <v>123280000</v>
      </c>
      <c r="W145">
        <f t="shared" si="59"/>
        <v>1.3452014322177219E-10</v>
      </c>
      <c r="X145">
        <f t="shared" si="60"/>
        <v>3.8541030659940117E-3</v>
      </c>
      <c r="Y145" s="9"/>
    </row>
    <row r="146" spans="1:25">
      <c r="A146" s="3">
        <v>45544</v>
      </c>
      <c r="B146">
        <v>28.25</v>
      </c>
      <c r="C146" s="29">
        <f t="shared" si="46"/>
        <v>-1.9097222222222248E-2</v>
      </c>
      <c r="D146">
        <f t="shared" si="49"/>
        <v>2.0682094027879322E-2</v>
      </c>
      <c r="E146">
        <v>29.4</v>
      </c>
      <c r="F146">
        <v>28</v>
      </c>
      <c r="G146">
        <f t="shared" si="50"/>
        <v>4.8780487804878002E-2</v>
      </c>
      <c r="H146">
        <v>28.3</v>
      </c>
      <c r="I146">
        <v>28.2</v>
      </c>
      <c r="J146">
        <f t="shared" si="51"/>
        <v>3.5398230088496078E-3</v>
      </c>
      <c r="K146">
        <v>1200201</v>
      </c>
      <c r="L146">
        <f t="shared" si="52"/>
        <v>367350000</v>
      </c>
      <c r="M146">
        <f t="shared" si="47"/>
        <v>33905678.25</v>
      </c>
      <c r="N146">
        <f t="shared" si="53"/>
        <v>113870000</v>
      </c>
      <c r="O146">
        <f t="shared" si="48"/>
        <v>1.0540098357776412E-2</v>
      </c>
      <c r="P146">
        <v>78615</v>
      </c>
      <c r="Q146" s="27">
        <v>0.1741</v>
      </c>
      <c r="R146">
        <f t="shared" si="54"/>
        <v>31986690000</v>
      </c>
      <c r="S146">
        <f t="shared" si="55"/>
        <v>2812320000</v>
      </c>
      <c r="T146">
        <f t="shared" si="56"/>
        <v>1265980000</v>
      </c>
      <c r="U146">
        <f t="shared" si="57"/>
        <v>1716300000</v>
      </c>
      <c r="V146">
        <f t="shared" si="58"/>
        <v>123280000</v>
      </c>
      <c r="W146">
        <f t="shared" si="59"/>
        <v>5.6324554493235214E-10</v>
      </c>
      <c r="X146">
        <f t="shared" si="60"/>
        <v>3.8541030659940117E-3</v>
      </c>
      <c r="Y146" s="9"/>
    </row>
    <row r="147" spans="1:25">
      <c r="A147" s="3">
        <v>45541</v>
      </c>
      <c r="B147">
        <v>28.8</v>
      </c>
      <c r="C147" s="29">
        <f t="shared" si="46"/>
        <v>-1.3698630136986254E-2</v>
      </c>
      <c r="D147">
        <f t="shared" si="49"/>
        <v>2.0682094027879322E-2</v>
      </c>
      <c r="E147">
        <v>29.45</v>
      </c>
      <c r="F147">
        <v>28.72</v>
      </c>
      <c r="G147">
        <f t="shared" si="50"/>
        <v>2.5098848203541357E-2</v>
      </c>
      <c r="H147">
        <v>28.99</v>
      </c>
      <c r="I147">
        <v>28.8</v>
      </c>
      <c r="J147">
        <f t="shared" si="51"/>
        <v>6.5755320989789832E-3</v>
      </c>
      <c r="K147">
        <v>933221</v>
      </c>
      <c r="L147">
        <f t="shared" si="52"/>
        <v>367350000</v>
      </c>
      <c r="M147">
        <f t="shared" si="47"/>
        <v>26876764.800000001</v>
      </c>
      <c r="N147">
        <f t="shared" si="53"/>
        <v>113870000</v>
      </c>
      <c r="O147">
        <f t="shared" si="48"/>
        <v>8.1954948625625711E-3</v>
      </c>
      <c r="P147">
        <v>78897.73</v>
      </c>
      <c r="Q147" s="27">
        <v>0.1741</v>
      </c>
      <c r="R147">
        <f t="shared" si="54"/>
        <v>31986690000</v>
      </c>
      <c r="S147">
        <f t="shared" si="55"/>
        <v>2812320000</v>
      </c>
      <c r="T147">
        <f t="shared" si="56"/>
        <v>1265980000</v>
      </c>
      <c r="U147">
        <f t="shared" si="57"/>
        <v>1716300000</v>
      </c>
      <c r="V147">
        <f t="shared" si="58"/>
        <v>123280000</v>
      </c>
      <c r="W147">
        <f t="shared" si="59"/>
        <v>5.0968300087167679E-10</v>
      </c>
      <c r="X147">
        <f t="shared" si="60"/>
        <v>3.8541030659940117E-3</v>
      </c>
      <c r="Y147" s="9"/>
    </row>
    <row r="148" spans="1:25">
      <c r="A148" s="3">
        <v>45540</v>
      </c>
      <c r="B148">
        <v>29.2</v>
      </c>
      <c r="C148" s="29">
        <f t="shared" si="46"/>
        <v>3.0917210580556462E-3</v>
      </c>
      <c r="D148">
        <f t="shared" si="49"/>
        <v>2.0682094027879322E-2</v>
      </c>
      <c r="E148">
        <v>29.7</v>
      </c>
      <c r="F148">
        <v>29</v>
      </c>
      <c r="G148">
        <f t="shared" si="50"/>
        <v>2.3850085178875612E-2</v>
      </c>
      <c r="H148">
        <v>29.3</v>
      </c>
      <c r="I148">
        <v>29.28</v>
      </c>
      <c r="J148">
        <f t="shared" si="51"/>
        <v>6.8282690337997866E-4</v>
      </c>
      <c r="K148">
        <v>1406780</v>
      </c>
      <c r="L148">
        <f t="shared" si="52"/>
        <v>367350000</v>
      </c>
      <c r="M148">
        <f t="shared" si="47"/>
        <v>41077976</v>
      </c>
      <c r="N148">
        <f t="shared" si="53"/>
        <v>113870000</v>
      </c>
      <c r="O148">
        <f t="shared" si="48"/>
        <v>1.2354263633968561E-2</v>
      </c>
      <c r="P148">
        <v>78863.34</v>
      </c>
      <c r="Q148" s="27">
        <v>0.1741</v>
      </c>
      <c r="R148">
        <f t="shared" si="54"/>
        <v>31986690000</v>
      </c>
      <c r="S148">
        <f t="shared" si="55"/>
        <v>2812320000</v>
      </c>
      <c r="T148">
        <f t="shared" si="56"/>
        <v>1265980000</v>
      </c>
      <c r="U148">
        <f t="shared" si="57"/>
        <v>1716300000</v>
      </c>
      <c r="V148">
        <f t="shared" si="58"/>
        <v>123280000</v>
      </c>
      <c r="W148">
        <f t="shared" si="59"/>
        <v>7.5264688261555194E-11</v>
      </c>
      <c r="X148">
        <f t="shared" si="60"/>
        <v>3.8541030659940117E-3</v>
      </c>
      <c r="Y148" s="9"/>
    </row>
    <row r="149" spans="1:25">
      <c r="A149" s="3">
        <v>45539</v>
      </c>
      <c r="B149">
        <v>29.11</v>
      </c>
      <c r="C149" s="29">
        <f t="shared" si="46"/>
        <v>2.1045247281655483E-2</v>
      </c>
      <c r="D149">
        <f t="shared" si="49"/>
        <v>2.0682094027879322E-2</v>
      </c>
      <c r="E149">
        <v>29.6</v>
      </c>
      <c r="F149">
        <v>28.2</v>
      </c>
      <c r="G149">
        <f t="shared" si="50"/>
        <v>4.844290657439454E-2</v>
      </c>
      <c r="H149">
        <v>29.2</v>
      </c>
      <c r="I149">
        <v>29.06</v>
      </c>
      <c r="J149">
        <f t="shared" si="51"/>
        <v>4.8060418812221279E-3</v>
      </c>
      <c r="K149">
        <v>3739151</v>
      </c>
      <c r="L149">
        <f t="shared" si="52"/>
        <v>367350000</v>
      </c>
      <c r="M149">
        <f t="shared" si="47"/>
        <v>108846685.61</v>
      </c>
      <c r="N149">
        <f t="shared" si="53"/>
        <v>113870000</v>
      </c>
      <c r="O149">
        <f t="shared" si="48"/>
        <v>3.2837015895319226E-2</v>
      </c>
      <c r="P149">
        <v>78848.009999999995</v>
      </c>
      <c r="Q149" s="27">
        <v>0.1741</v>
      </c>
      <c r="R149">
        <f t="shared" si="54"/>
        <v>31986690000</v>
      </c>
      <c r="S149">
        <f t="shared" si="55"/>
        <v>2812320000</v>
      </c>
      <c r="T149">
        <f t="shared" si="56"/>
        <v>1265980000</v>
      </c>
      <c r="U149">
        <f t="shared" si="57"/>
        <v>1716300000</v>
      </c>
      <c r="V149">
        <f t="shared" si="58"/>
        <v>123280000</v>
      </c>
      <c r="W149">
        <f t="shared" si="59"/>
        <v>1.9334761700563904E-10</v>
      </c>
      <c r="X149">
        <f t="shared" si="60"/>
        <v>3.8541030659940117E-3</v>
      </c>
      <c r="Y149" s="9"/>
    </row>
    <row r="150" spans="1:25">
      <c r="A150" s="3">
        <v>45538</v>
      </c>
      <c r="B150">
        <v>28.51</v>
      </c>
      <c r="C150" s="29">
        <f t="shared" si="46"/>
        <v>-7.8241189783381765E-2</v>
      </c>
      <c r="D150">
        <f t="shared" si="49"/>
        <v>2.0682094027879322E-2</v>
      </c>
      <c r="E150">
        <v>32.75</v>
      </c>
      <c r="F150">
        <v>27.91</v>
      </c>
      <c r="G150">
        <f t="shared" si="50"/>
        <v>0.15957797560171447</v>
      </c>
      <c r="H150">
        <v>28.39</v>
      </c>
      <c r="I150">
        <v>28.32</v>
      </c>
      <c r="J150">
        <f t="shared" si="51"/>
        <v>2.4687004055722194E-3</v>
      </c>
      <c r="K150">
        <v>12126472</v>
      </c>
      <c r="L150">
        <f t="shared" si="52"/>
        <v>367350000</v>
      </c>
      <c r="M150">
        <f t="shared" si="47"/>
        <v>345725716.72000003</v>
      </c>
      <c r="N150">
        <f t="shared" si="53"/>
        <v>113870000</v>
      </c>
      <c r="O150">
        <f t="shared" si="48"/>
        <v>0.10649400193202775</v>
      </c>
      <c r="P150">
        <v>78356.320000000007</v>
      </c>
      <c r="Q150" s="27">
        <v>0.17469999999999999</v>
      </c>
      <c r="R150">
        <f t="shared" si="54"/>
        <v>31986690000</v>
      </c>
      <c r="S150">
        <f t="shared" si="55"/>
        <v>2812320000</v>
      </c>
      <c r="T150">
        <f t="shared" si="56"/>
        <v>1265980000</v>
      </c>
      <c r="U150">
        <f t="shared" si="57"/>
        <v>1716300000</v>
      </c>
      <c r="V150">
        <f t="shared" si="58"/>
        <v>123280000</v>
      </c>
      <c r="W150">
        <f t="shared" si="59"/>
        <v>2.2631000819284891E-10</v>
      </c>
      <c r="X150">
        <f t="shared" si="60"/>
        <v>3.8541030659940117E-3</v>
      </c>
      <c r="Y150" s="9"/>
    </row>
    <row r="151" spans="1:25">
      <c r="A151" s="3">
        <v>45537</v>
      </c>
      <c r="B151">
        <v>30.93</v>
      </c>
      <c r="C151" s="29">
        <f t="shared" si="46"/>
        <v>1.4763779527559032E-2</v>
      </c>
      <c r="D151">
        <f t="shared" si="49"/>
        <v>2.0682094027879322E-2</v>
      </c>
      <c r="E151">
        <v>31.65</v>
      </c>
      <c r="F151">
        <v>30.32</v>
      </c>
      <c r="G151">
        <f t="shared" si="50"/>
        <v>4.2923995481684629E-2</v>
      </c>
      <c r="H151">
        <v>31.1</v>
      </c>
      <c r="I151">
        <v>31.05</v>
      </c>
      <c r="J151">
        <f t="shared" si="51"/>
        <v>1.6090104585680034E-3</v>
      </c>
      <c r="K151">
        <v>1158609</v>
      </c>
      <c r="L151">
        <f t="shared" si="52"/>
        <v>367350000</v>
      </c>
      <c r="M151">
        <f t="shared" si="47"/>
        <v>35835776.369999997</v>
      </c>
      <c r="N151">
        <f t="shared" si="53"/>
        <v>113870000</v>
      </c>
      <c r="O151">
        <f t="shared" si="48"/>
        <v>1.0174839729516116E-2</v>
      </c>
      <c r="P151">
        <v>78283.3</v>
      </c>
      <c r="Q151" s="27">
        <v>0.17469999999999999</v>
      </c>
      <c r="R151">
        <f t="shared" si="54"/>
        <v>31986690000</v>
      </c>
      <c r="S151">
        <f t="shared" si="55"/>
        <v>2812320000</v>
      </c>
      <c r="T151">
        <f t="shared" si="56"/>
        <v>1265980000</v>
      </c>
      <c r="U151">
        <f t="shared" si="57"/>
        <v>1716300000</v>
      </c>
      <c r="V151">
        <f t="shared" si="58"/>
        <v>123280000</v>
      </c>
      <c r="W151">
        <f t="shared" si="59"/>
        <v>4.1198436375773805E-10</v>
      </c>
      <c r="X151">
        <f t="shared" si="60"/>
        <v>3.8541030659940117E-3</v>
      </c>
      <c r="Y151" s="9"/>
    </row>
    <row r="152" spans="1:25">
      <c r="A152" s="3">
        <v>45534</v>
      </c>
      <c r="B152">
        <v>30.48</v>
      </c>
      <c r="C152" s="29">
        <f t="shared" si="46"/>
        <v>1.7017017017017071E-2</v>
      </c>
      <c r="D152">
        <f t="shared" si="49"/>
        <v>2.0682094027879322E-2</v>
      </c>
      <c r="E152">
        <v>31.24</v>
      </c>
      <c r="F152">
        <v>29.8</v>
      </c>
      <c r="G152">
        <f t="shared" si="50"/>
        <v>4.7182175622542524E-2</v>
      </c>
      <c r="H152">
        <v>30.58</v>
      </c>
      <c r="I152">
        <v>30.3</v>
      </c>
      <c r="J152">
        <f t="shared" si="51"/>
        <v>9.198423127463785E-3</v>
      </c>
      <c r="K152">
        <v>1413921</v>
      </c>
      <c r="L152">
        <f t="shared" si="52"/>
        <v>367350000</v>
      </c>
      <c r="M152">
        <f t="shared" si="47"/>
        <v>43096312.079999998</v>
      </c>
      <c r="N152">
        <f t="shared" si="53"/>
        <v>113870000</v>
      </c>
      <c r="O152">
        <f t="shared" si="48"/>
        <v>1.2416975498375339E-2</v>
      </c>
      <c r="P152">
        <v>78488.22</v>
      </c>
      <c r="Q152" s="27">
        <v>0.17469999999999999</v>
      </c>
      <c r="R152">
        <f t="shared" si="54"/>
        <v>31986690000</v>
      </c>
      <c r="S152">
        <f t="shared" si="55"/>
        <v>2812320000</v>
      </c>
      <c r="T152">
        <f t="shared" si="56"/>
        <v>1265980000</v>
      </c>
      <c r="U152">
        <f t="shared" si="57"/>
        <v>1716300000</v>
      </c>
      <c r="V152">
        <f t="shared" si="58"/>
        <v>123280000</v>
      </c>
      <c r="W152">
        <f t="shared" si="59"/>
        <v>3.948601677430834E-10</v>
      </c>
      <c r="X152">
        <f t="shared" si="60"/>
        <v>3.8541030659940117E-3</v>
      </c>
      <c r="Y152" s="9"/>
    </row>
    <row r="153" spans="1:25">
      <c r="A153" s="3">
        <v>45533</v>
      </c>
      <c r="B153">
        <v>29.97</v>
      </c>
      <c r="C153" s="29">
        <f t="shared" si="46"/>
        <v>-8.6007277538869189E-3</v>
      </c>
      <c r="D153">
        <f t="shared" si="49"/>
        <v>2.0682094027879322E-2</v>
      </c>
      <c r="E153">
        <v>30.4</v>
      </c>
      <c r="F153">
        <v>29.9</v>
      </c>
      <c r="G153">
        <f t="shared" si="50"/>
        <v>1.658374792703151E-2</v>
      </c>
      <c r="H153">
        <v>30.03</v>
      </c>
      <c r="I153">
        <v>29.91</v>
      </c>
      <c r="J153">
        <f t="shared" si="51"/>
        <v>4.0040040040040369E-3</v>
      </c>
      <c r="K153">
        <v>833350</v>
      </c>
      <c r="L153">
        <f t="shared" si="52"/>
        <v>367350000</v>
      </c>
      <c r="M153">
        <f t="shared" si="47"/>
        <v>24975499.5</v>
      </c>
      <c r="N153">
        <f t="shared" si="53"/>
        <v>113870000</v>
      </c>
      <c r="O153">
        <f t="shared" si="48"/>
        <v>7.3184333011328704E-3</v>
      </c>
      <c r="P153">
        <v>78349.66</v>
      </c>
      <c r="Q153" s="27">
        <v>0.17469999999999999</v>
      </c>
      <c r="R153">
        <f t="shared" si="54"/>
        <v>31986690000</v>
      </c>
      <c r="S153">
        <f t="shared" si="55"/>
        <v>2812320000</v>
      </c>
      <c r="T153">
        <f t="shared" si="56"/>
        <v>1265980000</v>
      </c>
      <c r="U153">
        <f t="shared" si="57"/>
        <v>1716300000</v>
      </c>
      <c r="V153">
        <f t="shared" si="58"/>
        <v>123280000</v>
      </c>
      <c r="W153">
        <f t="shared" si="59"/>
        <v>3.4436659630718975E-10</v>
      </c>
      <c r="X153">
        <f t="shared" si="60"/>
        <v>3.8541030659940117E-3</v>
      </c>
      <c r="Y153" s="9"/>
    </row>
    <row r="154" spans="1:25">
      <c r="A154" s="3">
        <v>45532</v>
      </c>
      <c r="B154">
        <v>30.23</v>
      </c>
      <c r="C154" s="29">
        <f t="shared" si="46"/>
        <v>0</v>
      </c>
      <c r="D154">
        <f t="shared" si="49"/>
        <v>2.0682094027879322E-2</v>
      </c>
      <c r="E154">
        <v>30.55</v>
      </c>
      <c r="F154">
        <v>30</v>
      </c>
      <c r="G154">
        <f t="shared" si="50"/>
        <v>1.8166804293971949E-2</v>
      </c>
      <c r="H154">
        <v>30.25</v>
      </c>
      <c r="I154">
        <v>30.11</v>
      </c>
      <c r="J154">
        <f t="shared" si="51"/>
        <v>4.6388336646786136E-3</v>
      </c>
      <c r="K154">
        <v>737541</v>
      </c>
      <c r="L154">
        <f t="shared" si="52"/>
        <v>367350000</v>
      </c>
      <c r="M154">
        <f t="shared" si="47"/>
        <v>22295864.43</v>
      </c>
      <c r="N154">
        <f t="shared" si="53"/>
        <v>113870000</v>
      </c>
      <c r="O154">
        <f t="shared" si="48"/>
        <v>6.4770439975410559E-3</v>
      </c>
      <c r="P154">
        <v>77992.789999999994</v>
      </c>
      <c r="Q154" s="27">
        <v>0.17469999999999999</v>
      </c>
      <c r="R154">
        <f t="shared" si="54"/>
        <v>31986690000</v>
      </c>
      <c r="S154">
        <f t="shared" si="55"/>
        <v>2812320000</v>
      </c>
      <c r="T154">
        <f t="shared" si="56"/>
        <v>1265980000</v>
      </c>
      <c r="U154">
        <f t="shared" si="57"/>
        <v>1716300000</v>
      </c>
      <c r="V154">
        <f t="shared" si="58"/>
        <v>123280000</v>
      </c>
      <c r="W154">
        <f t="shared" si="59"/>
        <v>0</v>
      </c>
      <c r="X154">
        <f t="shared" si="60"/>
        <v>3.8541030659940117E-3</v>
      </c>
      <c r="Y154" s="9"/>
    </row>
    <row r="155" spans="1:25">
      <c r="A155" s="3">
        <v>45531</v>
      </c>
      <c r="B155">
        <v>30.23</v>
      </c>
      <c r="C155" s="29">
        <f t="shared" si="46"/>
        <v>1.5451797111185786E-2</v>
      </c>
      <c r="D155">
        <f t="shared" si="49"/>
        <v>2.0682094027879322E-2</v>
      </c>
      <c r="E155">
        <v>31</v>
      </c>
      <c r="F155">
        <v>29.6</v>
      </c>
      <c r="G155">
        <f t="shared" si="50"/>
        <v>4.620462046204616E-2</v>
      </c>
      <c r="H155">
        <v>30.5</v>
      </c>
      <c r="I155">
        <v>30.27</v>
      </c>
      <c r="J155">
        <f t="shared" si="51"/>
        <v>7.5695244363995539E-3</v>
      </c>
      <c r="K155">
        <v>1469686</v>
      </c>
      <c r="L155">
        <f t="shared" si="52"/>
        <v>367350000</v>
      </c>
      <c r="M155">
        <f t="shared" si="47"/>
        <v>44428607.780000001</v>
      </c>
      <c r="N155">
        <f t="shared" si="53"/>
        <v>113870000</v>
      </c>
      <c r="O155">
        <f t="shared" si="48"/>
        <v>1.2906700623518046E-2</v>
      </c>
      <c r="P155">
        <v>78084.240000000005</v>
      </c>
      <c r="Q155" s="27">
        <v>0.17469999999999999</v>
      </c>
      <c r="R155">
        <f t="shared" si="54"/>
        <v>31986690000</v>
      </c>
      <c r="S155">
        <f t="shared" si="55"/>
        <v>2812320000</v>
      </c>
      <c r="T155">
        <f t="shared" si="56"/>
        <v>1265980000</v>
      </c>
      <c r="U155">
        <f t="shared" si="57"/>
        <v>1716300000</v>
      </c>
      <c r="V155">
        <f t="shared" si="58"/>
        <v>123280000</v>
      </c>
      <c r="W155">
        <f t="shared" si="59"/>
        <v>3.4778936102835915E-10</v>
      </c>
      <c r="X155">
        <f t="shared" si="60"/>
        <v>3.8541030659940117E-3</v>
      </c>
      <c r="Y155" s="9"/>
    </row>
    <row r="156" spans="1:25">
      <c r="A156" s="3">
        <v>45530</v>
      </c>
      <c r="B156">
        <v>29.77</v>
      </c>
      <c r="C156" s="29">
        <f t="shared" si="46"/>
        <v>5.4035798716649827E-3</v>
      </c>
      <c r="D156">
        <f t="shared" si="49"/>
        <v>2.0682094027879322E-2</v>
      </c>
      <c r="E156">
        <v>30.79</v>
      </c>
      <c r="F156">
        <v>29.35</v>
      </c>
      <c r="G156">
        <f t="shared" si="50"/>
        <v>4.7888260724974985E-2</v>
      </c>
      <c r="H156">
        <v>29.78</v>
      </c>
      <c r="I156">
        <v>29.65</v>
      </c>
      <c r="J156">
        <f t="shared" si="51"/>
        <v>4.374894834258878E-3</v>
      </c>
      <c r="K156">
        <v>959365</v>
      </c>
      <c r="L156">
        <f t="shared" si="52"/>
        <v>367350000</v>
      </c>
      <c r="M156">
        <f t="shared" si="47"/>
        <v>28560296.050000001</v>
      </c>
      <c r="N156">
        <f t="shared" si="53"/>
        <v>113870000</v>
      </c>
      <c r="O156">
        <f t="shared" si="48"/>
        <v>8.4250900149293057E-3</v>
      </c>
      <c r="P156">
        <v>78571.06</v>
      </c>
      <c r="Q156" s="27">
        <v>0.17469999999999999</v>
      </c>
      <c r="R156">
        <f t="shared" si="54"/>
        <v>31986690000</v>
      </c>
      <c r="S156">
        <f t="shared" si="55"/>
        <v>2812320000</v>
      </c>
      <c r="T156">
        <f t="shared" si="56"/>
        <v>1265980000</v>
      </c>
      <c r="U156">
        <f t="shared" si="57"/>
        <v>1716300000</v>
      </c>
      <c r="V156">
        <f t="shared" si="58"/>
        <v>123280000</v>
      </c>
      <c r="W156">
        <f t="shared" si="59"/>
        <v>1.8919901468125653E-10</v>
      </c>
      <c r="X156">
        <f t="shared" si="60"/>
        <v>3.8541030659940117E-3</v>
      </c>
      <c r="Y156" s="9"/>
    </row>
    <row r="157" spans="1:25">
      <c r="A157" s="3">
        <v>45527</v>
      </c>
      <c r="B157">
        <v>29.61</v>
      </c>
      <c r="C157" s="29">
        <f t="shared" si="46"/>
        <v>6.4581917063221521E-3</v>
      </c>
      <c r="D157">
        <f t="shared" si="49"/>
        <v>2.0682094027879322E-2</v>
      </c>
      <c r="E157">
        <v>29.7</v>
      </c>
      <c r="F157">
        <v>29.2</v>
      </c>
      <c r="G157">
        <f t="shared" si="50"/>
        <v>1.6977928692699491E-2</v>
      </c>
      <c r="H157">
        <v>29.7</v>
      </c>
      <c r="I157">
        <v>29.5</v>
      </c>
      <c r="J157">
        <f t="shared" si="51"/>
        <v>6.7567567567567328E-3</v>
      </c>
      <c r="K157">
        <v>394601</v>
      </c>
      <c r="L157">
        <f t="shared" si="52"/>
        <v>367350000</v>
      </c>
      <c r="M157">
        <f t="shared" si="47"/>
        <v>11684135.609999999</v>
      </c>
      <c r="N157">
        <f t="shared" si="53"/>
        <v>113870000</v>
      </c>
      <c r="O157">
        <f t="shared" si="48"/>
        <v>3.4653640115921663E-3</v>
      </c>
      <c r="P157">
        <v>78801.429999999993</v>
      </c>
      <c r="Q157" s="27">
        <v>0.17469999999999999</v>
      </c>
      <c r="R157">
        <f t="shared" si="54"/>
        <v>31986690000</v>
      </c>
      <c r="S157">
        <f t="shared" si="55"/>
        <v>2812320000</v>
      </c>
      <c r="T157">
        <f t="shared" si="56"/>
        <v>1265980000</v>
      </c>
      <c r="U157">
        <f t="shared" si="57"/>
        <v>1716300000</v>
      </c>
      <c r="V157">
        <f t="shared" si="58"/>
        <v>123280000</v>
      </c>
      <c r="W157">
        <f t="shared" si="59"/>
        <v>5.5273166299052847E-10</v>
      </c>
      <c r="X157">
        <f t="shared" si="60"/>
        <v>3.8541030659940117E-3</v>
      </c>
      <c r="Y157" s="9"/>
    </row>
    <row r="158" spans="1:25">
      <c r="A158" s="3">
        <v>45526</v>
      </c>
      <c r="B158">
        <v>29.42</v>
      </c>
      <c r="C158" s="29">
        <f t="shared" si="46"/>
        <v>-3.7250253979004208E-3</v>
      </c>
      <c r="D158">
        <f t="shared" si="49"/>
        <v>2.0682094027879322E-2</v>
      </c>
      <c r="E158">
        <v>29.69</v>
      </c>
      <c r="F158">
        <v>29</v>
      </c>
      <c r="G158">
        <f t="shared" si="50"/>
        <v>2.3513375362071948E-2</v>
      </c>
      <c r="H158">
        <v>29.4</v>
      </c>
      <c r="I158">
        <v>29.38</v>
      </c>
      <c r="J158">
        <f t="shared" si="51"/>
        <v>6.8050357264374183E-4</v>
      </c>
      <c r="K158">
        <v>336015</v>
      </c>
      <c r="L158">
        <f t="shared" si="52"/>
        <v>367350000</v>
      </c>
      <c r="M158">
        <f t="shared" si="47"/>
        <v>9885561.3000000007</v>
      </c>
      <c r="N158">
        <f t="shared" si="53"/>
        <v>113870000</v>
      </c>
      <c r="O158">
        <f t="shared" si="48"/>
        <v>2.9508650215157636E-3</v>
      </c>
      <c r="P158">
        <v>78793.41</v>
      </c>
      <c r="Q158" s="27">
        <v>0.17469999999999999</v>
      </c>
      <c r="R158">
        <f t="shared" si="54"/>
        <v>31986690000</v>
      </c>
      <c r="S158">
        <f t="shared" si="55"/>
        <v>2812320000</v>
      </c>
      <c r="T158">
        <f t="shared" si="56"/>
        <v>1265980000</v>
      </c>
      <c r="U158">
        <f t="shared" si="57"/>
        <v>1716300000</v>
      </c>
      <c r="V158">
        <f t="shared" si="58"/>
        <v>123280000</v>
      </c>
      <c r="W158">
        <f t="shared" si="59"/>
        <v>3.7681475890503261E-10</v>
      </c>
      <c r="X158">
        <f t="shared" si="60"/>
        <v>3.8541030659940117E-3</v>
      </c>
      <c r="Y158" s="9"/>
    </row>
    <row r="159" spans="1:25">
      <c r="A159" s="3">
        <v>45525</v>
      </c>
      <c r="B159">
        <v>29.53</v>
      </c>
      <c r="C159" s="29">
        <f t="shared" si="46"/>
        <v>4.7635250085063139E-3</v>
      </c>
      <c r="D159">
        <f t="shared" si="49"/>
        <v>2.0682094027879322E-2</v>
      </c>
      <c r="E159">
        <v>29.88</v>
      </c>
      <c r="F159">
        <v>29.01</v>
      </c>
      <c r="G159">
        <f t="shared" si="50"/>
        <v>2.9546612328069193E-2</v>
      </c>
      <c r="H159">
        <v>29.5</v>
      </c>
      <c r="I159">
        <v>29.44</v>
      </c>
      <c r="J159">
        <f t="shared" si="51"/>
        <v>2.0359687818119689E-3</v>
      </c>
      <c r="K159">
        <v>975375</v>
      </c>
      <c r="L159">
        <f t="shared" si="52"/>
        <v>367350000</v>
      </c>
      <c r="M159">
        <f t="shared" si="47"/>
        <v>28802823.75</v>
      </c>
      <c r="N159">
        <f t="shared" si="53"/>
        <v>113870000</v>
      </c>
      <c r="O159">
        <f t="shared" si="48"/>
        <v>8.5656889435320981E-3</v>
      </c>
      <c r="P159">
        <v>78260.86</v>
      </c>
      <c r="Q159" s="27">
        <v>0.17469999999999999</v>
      </c>
      <c r="R159">
        <f t="shared" si="54"/>
        <v>31986690000</v>
      </c>
      <c r="S159">
        <f t="shared" si="55"/>
        <v>2812320000</v>
      </c>
      <c r="T159">
        <f t="shared" si="56"/>
        <v>1265980000</v>
      </c>
      <c r="U159">
        <f t="shared" si="57"/>
        <v>1716300000</v>
      </c>
      <c r="V159">
        <f t="shared" si="58"/>
        <v>123280000</v>
      </c>
      <c r="W159">
        <f t="shared" si="59"/>
        <v>1.6538395852616062E-10</v>
      </c>
      <c r="X159">
        <f t="shared" si="60"/>
        <v>3.8541030659940117E-3</v>
      </c>
      <c r="Y159" s="9"/>
    </row>
    <row r="160" spans="1:25">
      <c r="A160" s="3">
        <v>45524</v>
      </c>
      <c r="B160">
        <v>29.39</v>
      </c>
      <c r="C160" s="29">
        <f t="shared" si="46"/>
        <v>-1.3591573224600458E-3</v>
      </c>
      <c r="D160">
        <f t="shared" si="49"/>
        <v>2.0682094027879322E-2</v>
      </c>
      <c r="E160">
        <v>29.88</v>
      </c>
      <c r="F160">
        <v>29.03</v>
      </c>
      <c r="G160">
        <f t="shared" si="50"/>
        <v>2.8857579358343165E-2</v>
      </c>
      <c r="H160">
        <v>29.36</v>
      </c>
      <c r="I160">
        <v>29.31</v>
      </c>
      <c r="J160">
        <f t="shared" si="51"/>
        <v>1.7044486108744063E-3</v>
      </c>
      <c r="K160">
        <v>943892</v>
      </c>
      <c r="L160">
        <f t="shared" si="52"/>
        <v>367350000</v>
      </c>
      <c r="M160">
        <f t="shared" si="47"/>
        <v>27740985.879999999</v>
      </c>
      <c r="N160">
        <f t="shared" si="53"/>
        <v>113870000</v>
      </c>
      <c r="O160">
        <f t="shared" si="48"/>
        <v>8.2892069904276812E-3</v>
      </c>
      <c r="P160">
        <v>77745.52</v>
      </c>
      <c r="Q160" s="27">
        <v>0.189</v>
      </c>
      <c r="R160">
        <f t="shared" si="54"/>
        <v>31986690000</v>
      </c>
      <c r="S160">
        <f t="shared" si="55"/>
        <v>2812320000</v>
      </c>
      <c r="T160">
        <f t="shared" si="56"/>
        <v>1265980000</v>
      </c>
      <c r="U160">
        <f t="shared" si="57"/>
        <v>1716300000</v>
      </c>
      <c r="V160">
        <f t="shared" si="58"/>
        <v>123280000</v>
      </c>
      <c r="W160">
        <f t="shared" si="59"/>
        <v>4.8994557307349953E-11</v>
      </c>
      <c r="X160">
        <f t="shared" si="60"/>
        <v>3.8541030659940117E-3</v>
      </c>
      <c r="Y160" s="9"/>
    </row>
    <row r="161" spans="1:25">
      <c r="A161" s="3">
        <v>45523</v>
      </c>
      <c r="B161">
        <v>29.43</v>
      </c>
      <c r="C161" s="29">
        <f t="shared" si="46"/>
        <v>3.9194915254237267E-2</v>
      </c>
      <c r="D161">
        <f t="shared" si="49"/>
        <v>2.0682094027879322E-2</v>
      </c>
      <c r="E161">
        <v>29.55</v>
      </c>
      <c r="F161">
        <v>28.35</v>
      </c>
      <c r="G161">
        <f t="shared" si="50"/>
        <v>4.1450777202072513E-2</v>
      </c>
      <c r="H161">
        <v>29.39</v>
      </c>
      <c r="I161">
        <v>29.33</v>
      </c>
      <c r="J161">
        <f t="shared" si="51"/>
        <v>2.0435967302453091E-3</v>
      </c>
      <c r="K161">
        <v>1144239</v>
      </c>
      <c r="L161">
        <f t="shared" si="52"/>
        <v>367350000</v>
      </c>
      <c r="M161">
        <f t="shared" si="47"/>
        <v>33674953.770000003</v>
      </c>
      <c r="N161">
        <f t="shared" si="53"/>
        <v>113870000</v>
      </c>
      <c r="O161">
        <f t="shared" si="48"/>
        <v>1.0048643189602177E-2</v>
      </c>
      <c r="P161">
        <v>77830.34</v>
      </c>
      <c r="Q161" s="27">
        <v>0.189</v>
      </c>
      <c r="R161">
        <f t="shared" si="54"/>
        <v>31986690000</v>
      </c>
      <c r="S161">
        <f t="shared" si="55"/>
        <v>2812320000</v>
      </c>
      <c r="T161">
        <f t="shared" si="56"/>
        <v>1265980000</v>
      </c>
      <c r="U161">
        <f t="shared" si="57"/>
        <v>1716300000</v>
      </c>
      <c r="V161">
        <f t="shared" si="58"/>
        <v>123280000</v>
      </c>
      <c r="W161">
        <f t="shared" si="59"/>
        <v>1.1639189031093735E-9</v>
      </c>
      <c r="X161">
        <f t="shared" si="60"/>
        <v>3.8541030659940117E-3</v>
      </c>
      <c r="Y161" s="9"/>
    </row>
    <row r="162" spans="1:25">
      <c r="A162" s="3">
        <v>45520</v>
      </c>
      <c r="B162">
        <v>28.32</v>
      </c>
      <c r="C162" s="29">
        <f t="shared" si="46"/>
        <v>1.0346057795219377E-2</v>
      </c>
      <c r="D162">
        <f t="shared" si="49"/>
        <v>2.0682094027879322E-2</v>
      </c>
      <c r="E162">
        <v>28.4</v>
      </c>
      <c r="F162">
        <v>27.8</v>
      </c>
      <c r="G162">
        <f t="shared" si="50"/>
        <v>2.1352313167259711E-2</v>
      </c>
      <c r="H162">
        <v>28.3</v>
      </c>
      <c r="I162">
        <v>28.25</v>
      </c>
      <c r="J162">
        <f t="shared" si="51"/>
        <v>1.7683465959328281E-3</v>
      </c>
      <c r="K162">
        <v>484590</v>
      </c>
      <c r="L162">
        <f t="shared" si="52"/>
        <v>367350000</v>
      </c>
      <c r="M162">
        <f t="shared" si="47"/>
        <v>13723588.800000001</v>
      </c>
      <c r="N162">
        <f t="shared" si="53"/>
        <v>113870000</v>
      </c>
      <c r="O162">
        <f t="shared" si="48"/>
        <v>4.2556423992271891E-3</v>
      </c>
      <c r="P162">
        <v>78045.31</v>
      </c>
      <c r="Q162" s="27">
        <v>0.189</v>
      </c>
      <c r="R162">
        <f t="shared" si="54"/>
        <v>31986690000</v>
      </c>
      <c r="S162">
        <f t="shared" si="55"/>
        <v>2812320000</v>
      </c>
      <c r="T162">
        <f t="shared" si="56"/>
        <v>1265980000</v>
      </c>
      <c r="U162">
        <f t="shared" si="57"/>
        <v>1716300000</v>
      </c>
      <c r="V162">
        <f t="shared" si="58"/>
        <v>123280000</v>
      </c>
      <c r="W162">
        <f t="shared" si="59"/>
        <v>7.5388864720424849E-10</v>
      </c>
      <c r="X162">
        <f t="shared" si="60"/>
        <v>3.8541030659940117E-3</v>
      </c>
      <c r="Y162" s="9"/>
    </row>
    <row r="163" spans="1:25">
      <c r="A163" s="3">
        <v>45519</v>
      </c>
      <c r="B163">
        <v>28.03</v>
      </c>
      <c r="C163" s="29">
        <f t="shared" si="46"/>
        <v>5.3802008608322145E-3</v>
      </c>
      <c r="D163">
        <f t="shared" si="49"/>
        <v>2.0682094027879322E-2</v>
      </c>
      <c r="E163">
        <v>28.22</v>
      </c>
      <c r="F163">
        <v>27.5</v>
      </c>
      <c r="G163">
        <f t="shared" si="50"/>
        <v>2.5843503230437864E-2</v>
      </c>
      <c r="H163">
        <v>28.1</v>
      </c>
      <c r="I163">
        <v>27.92</v>
      </c>
      <c r="J163">
        <f t="shared" si="51"/>
        <v>6.4262763298821744E-3</v>
      </c>
      <c r="K163">
        <v>579709</v>
      </c>
      <c r="L163">
        <f t="shared" si="52"/>
        <v>367350000</v>
      </c>
      <c r="M163">
        <f t="shared" si="47"/>
        <v>16249243.270000001</v>
      </c>
      <c r="N163">
        <f t="shared" si="53"/>
        <v>113870000</v>
      </c>
      <c r="O163">
        <f t="shared" si="48"/>
        <v>5.0909721612364981E-3</v>
      </c>
      <c r="P163">
        <v>78105.98</v>
      </c>
      <c r="Q163" s="27">
        <v>0.189</v>
      </c>
      <c r="R163">
        <f t="shared" si="54"/>
        <v>31986690000</v>
      </c>
      <c r="S163">
        <f t="shared" si="55"/>
        <v>2812320000</v>
      </c>
      <c r="T163">
        <f t="shared" si="56"/>
        <v>1265980000</v>
      </c>
      <c r="U163">
        <f t="shared" si="57"/>
        <v>1716300000</v>
      </c>
      <c r="V163">
        <f t="shared" si="58"/>
        <v>123280000</v>
      </c>
      <c r="W163">
        <f t="shared" si="59"/>
        <v>3.311047026273128E-10</v>
      </c>
      <c r="X163">
        <f t="shared" si="60"/>
        <v>3.8541030659940117E-3</v>
      </c>
      <c r="Y163" s="9"/>
    </row>
    <row r="164" spans="1:25">
      <c r="A164" s="3">
        <v>45517</v>
      </c>
      <c r="B164">
        <v>27.88</v>
      </c>
      <c r="C164" s="29">
        <f t="shared" si="46"/>
        <v>1.7147026632615792E-2</v>
      </c>
      <c r="D164">
        <f t="shared" si="49"/>
        <v>2.0682094027879322E-2</v>
      </c>
      <c r="E164">
        <v>28.25</v>
      </c>
      <c r="F164">
        <v>27.26</v>
      </c>
      <c r="G164">
        <f t="shared" si="50"/>
        <v>3.5669248784002822E-2</v>
      </c>
      <c r="H164">
        <v>27.99</v>
      </c>
      <c r="I164">
        <v>27.8</v>
      </c>
      <c r="J164">
        <f t="shared" si="51"/>
        <v>6.8112564975801298E-3</v>
      </c>
      <c r="K164">
        <v>516594</v>
      </c>
      <c r="L164">
        <f t="shared" si="52"/>
        <v>367350000</v>
      </c>
      <c r="M164">
        <f t="shared" si="47"/>
        <v>14402640.719999999</v>
      </c>
      <c r="N164">
        <f t="shared" si="53"/>
        <v>113870000</v>
      </c>
      <c r="O164">
        <f t="shared" si="48"/>
        <v>4.5366997453236144E-3</v>
      </c>
      <c r="P164">
        <v>77877.42</v>
      </c>
      <c r="Q164" s="27">
        <v>0.189</v>
      </c>
      <c r="R164">
        <f t="shared" si="54"/>
        <v>31986690000</v>
      </c>
      <c r="S164">
        <f t="shared" si="55"/>
        <v>2812320000</v>
      </c>
      <c r="T164">
        <f t="shared" si="56"/>
        <v>1265980000</v>
      </c>
      <c r="U164">
        <f t="shared" si="57"/>
        <v>1716300000</v>
      </c>
      <c r="V164">
        <f t="shared" si="58"/>
        <v>123280000</v>
      </c>
      <c r="W164">
        <f t="shared" si="59"/>
        <v>1.1905474118232252E-9</v>
      </c>
      <c r="X164">
        <f t="shared" si="60"/>
        <v>3.8541030659940117E-3</v>
      </c>
      <c r="Y164" s="9"/>
    </row>
    <row r="165" spans="1:25">
      <c r="A165" s="3">
        <v>45516</v>
      </c>
      <c r="B165">
        <v>27.41</v>
      </c>
      <c r="C165" s="29">
        <f t="shared" si="46"/>
        <v>-2.5473071324599813E-3</v>
      </c>
      <c r="D165">
        <f t="shared" si="49"/>
        <v>2.0682094027879322E-2</v>
      </c>
      <c r="E165">
        <v>27.7</v>
      </c>
      <c r="F165">
        <v>27.2</v>
      </c>
      <c r="G165">
        <f t="shared" si="50"/>
        <v>1.8214936247723135E-2</v>
      </c>
      <c r="H165">
        <v>27.5</v>
      </c>
      <c r="I165">
        <v>27.45</v>
      </c>
      <c r="J165">
        <f t="shared" si="51"/>
        <v>1.8198362147406992E-3</v>
      </c>
      <c r="K165">
        <v>461555</v>
      </c>
      <c r="L165">
        <f t="shared" si="52"/>
        <v>367350000</v>
      </c>
      <c r="M165">
        <f t="shared" si="47"/>
        <v>12651222.550000001</v>
      </c>
      <c r="N165">
        <f t="shared" si="53"/>
        <v>113870000</v>
      </c>
      <c r="O165">
        <f t="shared" si="48"/>
        <v>4.0533503117590238E-3</v>
      </c>
      <c r="P165">
        <v>77980.289999999994</v>
      </c>
      <c r="Q165" s="27">
        <v>0.189</v>
      </c>
      <c r="R165">
        <f t="shared" si="54"/>
        <v>31986690000</v>
      </c>
      <c r="S165">
        <f t="shared" si="55"/>
        <v>2812320000</v>
      </c>
      <c r="T165">
        <f t="shared" si="56"/>
        <v>1265980000</v>
      </c>
      <c r="U165">
        <f t="shared" si="57"/>
        <v>1716300000</v>
      </c>
      <c r="V165">
        <f t="shared" si="58"/>
        <v>123280000</v>
      </c>
      <c r="W165">
        <f t="shared" si="59"/>
        <v>2.013486935663764E-10</v>
      </c>
      <c r="X165">
        <f t="shared" si="60"/>
        <v>3.8541030659940117E-3</v>
      </c>
      <c r="Y165" s="9"/>
    </row>
    <row r="166" spans="1:25">
      <c r="A166" s="3">
        <v>45513</v>
      </c>
      <c r="B166">
        <v>27.48</v>
      </c>
      <c r="C166" s="29">
        <f t="shared" si="46"/>
        <v>8.4403669724770793E-3</v>
      </c>
      <c r="D166">
        <f t="shared" si="49"/>
        <v>2.0682094027879322E-2</v>
      </c>
      <c r="E166">
        <v>27.74</v>
      </c>
      <c r="F166">
        <v>27.05</v>
      </c>
      <c r="G166">
        <f t="shared" si="50"/>
        <v>2.5187077933929467E-2</v>
      </c>
      <c r="H166">
        <v>27.49</v>
      </c>
      <c r="I166">
        <v>27.45</v>
      </c>
      <c r="J166">
        <f t="shared" si="51"/>
        <v>1.4561339643246868E-3</v>
      </c>
      <c r="K166">
        <v>676088</v>
      </c>
      <c r="L166">
        <f t="shared" si="52"/>
        <v>367350000</v>
      </c>
      <c r="M166">
        <f t="shared" si="47"/>
        <v>18578898.240000002</v>
      </c>
      <c r="N166">
        <f t="shared" si="53"/>
        <v>113870000</v>
      </c>
      <c r="O166">
        <f t="shared" si="48"/>
        <v>5.9373671730921229E-3</v>
      </c>
      <c r="P166">
        <v>78569.59</v>
      </c>
      <c r="Q166" s="27">
        <v>0.189</v>
      </c>
      <c r="R166">
        <f t="shared" si="54"/>
        <v>31986690000</v>
      </c>
      <c r="S166">
        <f t="shared" si="55"/>
        <v>2812320000</v>
      </c>
      <c r="T166">
        <f t="shared" si="56"/>
        <v>1265980000</v>
      </c>
      <c r="U166">
        <f t="shared" si="57"/>
        <v>1716300000</v>
      </c>
      <c r="V166">
        <f t="shared" si="58"/>
        <v>123280000</v>
      </c>
      <c r="W166">
        <f t="shared" si="59"/>
        <v>4.5429857376069457E-10</v>
      </c>
      <c r="X166">
        <f t="shared" si="60"/>
        <v>3.8541030659940117E-3</v>
      </c>
      <c r="Y166" s="9"/>
    </row>
    <row r="167" spans="1:25">
      <c r="A167" s="3">
        <v>45512</v>
      </c>
      <c r="B167">
        <v>27.25</v>
      </c>
      <c r="C167" s="29">
        <f t="shared" si="46"/>
        <v>-4.7479912344776847E-3</v>
      </c>
      <c r="D167">
        <f t="shared" si="49"/>
        <v>2.0682094027879322E-2</v>
      </c>
      <c r="E167">
        <v>27.6</v>
      </c>
      <c r="F167">
        <v>27.1</v>
      </c>
      <c r="G167">
        <f t="shared" si="50"/>
        <v>1.8281535648994516E-2</v>
      </c>
      <c r="H167">
        <v>27.39</v>
      </c>
      <c r="I167">
        <v>27.36</v>
      </c>
      <c r="J167">
        <f t="shared" si="51"/>
        <v>1.0958904109589457E-3</v>
      </c>
      <c r="K167">
        <v>219510</v>
      </c>
      <c r="L167">
        <f t="shared" si="52"/>
        <v>367350000</v>
      </c>
      <c r="M167">
        <f t="shared" si="47"/>
        <v>5981647.5</v>
      </c>
      <c r="N167">
        <f t="shared" si="53"/>
        <v>113870000</v>
      </c>
      <c r="O167">
        <f t="shared" si="48"/>
        <v>1.9277245982260473E-3</v>
      </c>
      <c r="P167">
        <v>77874.22</v>
      </c>
      <c r="Q167" s="27">
        <v>0.189</v>
      </c>
      <c r="R167">
        <f t="shared" si="54"/>
        <v>31986690000</v>
      </c>
      <c r="S167">
        <f t="shared" si="55"/>
        <v>2812320000</v>
      </c>
      <c r="T167">
        <f t="shared" si="56"/>
        <v>1265980000</v>
      </c>
      <c r="U167">
        <f t="shared" si="57"/>
        <v>1716300000</v>
      </c>
      <c r="V167">
        <f t="shared" si="58"/>
        <v>123280000</v>
      </c>
      <c r="W167">
        <f t="shared" si="59"/>
        <v>7.9375978515579278E-10</v>
      </c>
      <c r="X167">
        <f t="shared" si="60"/>
        <v>3.8541030659940117E-3</v>
      </c>
      <c r="Y167" s="9"/>
    </row>
    <row r="168" spans="1:25">
      <c r="A168" s="3">
        <v>45511</v>
      </c>
      <c r="B168">
        <v>27.38</v>
      </c>
      <c r="C168" s="29">
        <f t="shared" si="46"/>
        <v>-1.4587892049599818E-3</v>
      </c>
      <c r="D168">
        <f t="shared" si="49"/>
        <v>2.0682094027879322E-2</v>
      </c>
      <c r="E168">
        <v>27.65</v>
      </c>
      <c r="F168">
        <v>27.13</v>
      </c>
      <c r="G168">
        <f t="shared" si="50"/>
        <v>1.8985031033223788E-2</v>
      </c>
      <c r="H168">
        <v>27.36</v>
      </c>
      <c r="I168">
        <v>27.35</v>
      </c>
      <c r="J168">
        <f t="shared" si="51"/>
        <v>3.6556388228835718E-4</v>
      </c>
      <c r="K168">
        <v>261400</v>
      </c>
      <c r="L168">
        <f t="shared" si="52"/>
        <v>367350000</v>
      </c>
      <c r="M168">
        <f t="shared" si="47"/>
        <v>7157132</v>
      </c>
      <c r="N168">
        <f t="shared" si="53"/>
        <v>113870000</v>
      </c>
      <c r="O168">
        <f t="shared" si="48"/>
        <v>2.2956002458944412E-3</v>
      </c>
      <c r="P168">
        <v>77114.490000000005</v>
      </c>
      <c r="Q168" s="27">
        <v>0.189</v>
      </c>
      <c r="R168">
        <f t="shared" si="54"/>
        <v>31986690000</v>
      </c>
      <c r="S168">
        <f t="shared" si="55"/>
        <v>2812320000</v>
      </c>
      <c r="T168">
        <f t="shared" si="56"/>
        <v>1265980000</v>
      </c>
      <c r="U168">
        <f t="shared" si="57"/>
        <v>1716300000</v>
      </c>
      <c r="V168">
        <f t="shared" si="58"/>
        <v>123280000</v>
      </c>
      <c r="W168">
        <f t="shared" si="59"/>
        <v>2.0382315220118641E-10</v>
      </c>
      <c r="X168">
        <f t="shared" si="60"/>
        <v>3.8541030659940117E-3</v>
      </c>
      <c r="Y168" s="9"/>
    </row>
    <row r="169" spans="1:25">
      <c r="A169" s="3">
        <v>45510</v>
      </c>
      <c r="B169">
        <v>27.42</v>
      </c>
      <c r="C169" s="29">
        <f t="shared" si="46"/>
        <v>1.8268176835952031E-3</v>
      </c>
      <c r="D169">
        <f t="shared" si="49"/>
        <v>2.0682094027879322E-2</v>
      </c>
      <c r="E169">
        <v>27.7</v>
      </c>
      <c r="F169">
        <v>27</v>
      </c>
      <c r="G169">
        <f t="shared" si="50"/>
        <v>2.5594149908592295E-2</v>
      </c>
      <c r="H169">
        <v>27.45</v>
      </c>
      <c r="I169">
        <v>27.3</v>
      </c>
      <c r="J169">
        <f t="shared" si="51"/>
        <v>5.4794520547944685E-3</v>
      </c>
      <c r="K169">
        <v>276457</v>
      </c>
      <c r="L169">
        <f t="shared" si="52"/>
        <v>367350000</v>
      </c>
      <c r="M169">
        <f t="shared" si="47"/>
        <v>7580450.9400000004</v>
      </c>
      <c r="N169">
        <f t="shared" si="53"/>
        <v>113870000</v>
      </c>
      <c r="O169">
        <f t="shared" si="48"/>
        <v>2.4278299815579168E-3</v>
      </c>
      <c r="P169">
        <v>77191.34</v>
      </c>
      <c r="Q169" s="27">
        <v>0.19489999999999999</v>
      </c>
      <c r="R169">
        <f t="shared" si="54"/>
        <v>31986690000</v>
      </c>
      <c r="S169">
        <f t="shared" si="55"/>
        <v>2812320000</v>
      </c>
      <c r="T169">
        <f t="shared" si="56"/>
        <v>1265980000</v>
      </c>
      <c r="U169">
        <f t="shared" si="57"/>
        <v>1716300000</v>
      </c>
      <c r="V169">
        <f t="shared" si="58"/>
        <v>123280000</v>
      </c>
      <c r="W169">
        <f t="shared" si="59"/>
        <v>2.4099063473329505E-10</v>
      </c>
      <c r="X169">
        <f t="shared" si="60"/>
        <v>3.8541030659940117E-3</v>
      </c>
      <c r="Y169" s="9"/>
    </row>
    <row r="170" spans="1:25">
      <c r="A170" s="3">
        <v>45509</v>
      </c>
      <c r="B170">
        <v>27.37</v>
      </c>
      <c r="C170" s="29">
        <f t="shared" si="46"/>
        <v>-2.1801286633309488E-2</v>
      </c>
      <c r="D170">
        <f t="shared" si="49"/>
        <v>2.0682094027879322E-2</v>
      </c>
      <c r="E170">
        <v>28.4</v>
      </c>
      <c r="F170">
        <v>27.2</v>
      </c>
      <c r="G170">
        <f t="shared" si="50"/>
        <v>4.3165467625899262E-2</v>
      </c>
      <c r="H170">
        <v>27.25</v>
      </c>
      <c r="I170">
        <v>27.21</v>
      </c>
      <c r="J170">
        <f t="shared" si="51"/>
        <v>1.4689680499448824E-3</v>
      </c>
      <c r="K170">
        <v>1169077</v>
      </c>
      <c r="L170">
        <f t="shared" si="52"/>
        <v>367350000</v>
      </c>
      <c r="M170">
        <f t="shared" si="47"/>
        <v>31997637.490000002</v>
      </c>
      <c r="N170">
        <f t="shared" si="53"/>
        <v>113870000</v>
      </c>
      <c r="O170">
        <f t="shared" si="48"/>
        <v>1.0266769122683763E-2</v>
      </c>
      <c r="P170">
        <v>77084.490000000005</v>
      </c>
      <c r="Q170" s="27">
        <v>0.19489999999999999</v>
      </c>
      <c r="R170">
        <f t="shared" si="54"/>
        <v>31986690000</v>
      </c>
      <c r="S170">
        <f t="shared" si="55"/>
        <v>2812320000</v>
      </c>
      <c r="T170">
        <f t="shared" si="56"/>
        <v>1265980000</v>
      </c>
      <c r="U170">
        <f t="shared" si="57"/>
        <v>1716300000</v>
      </c>
      <c r="V170">
        <f t="shared" si="58"/>
        <v>123280000</v>
      </c>
      <c r="W170">
        <f t="shared" si="59"/>
        <v>6.8134050959615041E-10</v>
      </c>
      <c r="X170">
        <f t="shared" si="60"/>
        <v>3.8541030659940117E-3</v>
      </c>
      <c r="Y170" s="9"/>
    </row>
    <row r="171" spans="1:25">
      <c r="A171" s="3">
        <v>45506</v>
      </c>
      <c r="B171">
        <v>27.98</v>
      </c>
      <c r="C171" s="29">
        <f t="shared" si="46"/>
        <v>6.4748201438848815E-3</v>
      </c>
      <c r="D171">
        <f t="shared" si="49"/>
        <v>2.0682094027879322E-2</v>
      </c>
      <c r="E171">
        <v>28.49</v>
      </c>
      <c r="F171">
        <v>27.82</v>
      </c>
      <c r="G171">
        <f t="shared" si="50"/>
        <v>2.3796838927366299E-2</v>
      </c>
      <c r="H171">
        <v>28.19</v>
      </c>
      <c r="I171">
        <v>28.1</v>
      </c>
      <c r="J171">
        <f t="shared" si="51"/>
        <v>3.1977260614673955E-3</v>
      </c>
      <c r="K171">
        <v>520802</v>
      </c>
      <c r="L171">
        <f t="shared" si="52"/>
        <v>367350000</v>
      </c>
      <c r="M171">
        <f t="shared" si="47"/>
        <v>14572039.960000001</v>
      </c>
      <c r="N171">
        <f t="shared" si="53"/>
        <v>113870000</v>
      </c>
      <c r="O171">
        <f t="shared" si="48"/>
        <v>4.5736541670325813E-3</v>
      </c>
      <c r="P171">
        <v>78225.98</v>
      </c>
      <c r="Q171" s="27">
        <v>0.19489999999999999</v>
      </c>
      <c r="R171">
        <f t="shared" si="54"/>
        <v>31986690000</v>
      </c>
      <c r="S171">
        <f t="shared" si="55"/>
        <v>2812320000</v>
      </c>
      <c r="T171">
        <f t="shared" si="56"/>
        <v>1265980000</v>
      </c>
      <c r="U171">
        <f t="shared" si="57"/>
        <v>1716300000</v>
      </c>
      <c r="V171">
        <f t="shared" si="58"/>
        <v>123280000</v>
      </c>
      <c r="W171">
        <f t="shared" si="59"/>
        <v>4.4433175874195728E-10</v>
      </c>
      <c r="X171">
        <f t="shared" si="60"/>
        <v>3.8541030659940117E-3</v>
      </c>
      <c r="Y171" s="9"/>
    </row>
    <row r="172" spans="1:25">
      <c r="A172" s="3">
        <v>45505</v>
      </c>
      <c r="B172">
        <v>27.8</v>
      </c>
      <c r="C172" s="29">
        <f t="shared" si="46"/>
        <v>3.9725532683278957E-3</v>
      </c>
      <c r="D172">
        <f t="shared" si="49"/>
        <v>2.0682094027879322E-2</v>
      </c>
      <c r="E172">
        <v>28.3</v>
      </c>
      <c r="F172">
        <v>27.36</v>
      </c>
      <c r="G172">
        <f t="shared" si="50"/>
        <v>3.3776500179662286E-2</v>
      </c>
      <c r="H172">
        <v>27.87</v>
      </c>
      <c r="I172">
        <v>27.8</v>
      </c>
      <c r="J172">
        <f t="shared" si="51"/>
        <v>2.5148194718879208E-3</v>
      </c>
      <c r="K172">
        <v>931529</v>
      </c>
      <c r="L172">
        <f t="shared" si="52"/>
        <v>367350000</v>
      </c>
      <c r="M172">
        <f t="shared" si="47"/>
        <v>25896506.199999999</v>
      </c>
      <c r="N172">
        <f t="shared" si="53"/>
        <v>113870000</v>
      </c>
      <c r="O172">
        <f t="shared" si="48"/>
        <v>8.1806358127689462E-3</v>
      </c>
      <c r="P172">
        <v>77740.31</v>
      </c>
      <c r="Q172" s="27">
        <v>0.19489999999999999</v>
      </c>
      <c r="R172">
        <f t="shared" si="54"/>
        <v>31986690000</v>
      </c>
      <c r="S172">
        <f t="shared" si="55"/>
        <v>2812320000</v>
      </c>
      <c r="T172">
        <f t="shared" si="56"/>
        <v>1265980000</v>
      </c>
      <c r="U172">
        <f t="shared" si="57"/>
        <v>1716300000</v>
      </c>
      <c r="V172">
        <f t="shared" si="58"/>
        <v>123280000</v>
      </c>
      <c r="W172">
        <f t="shared" si="59"/>
        <v>1.5340112823126294E-10</v>
      </c>
      <c r="X172">
        <f t="shared" si="60"/>
        <v>3.8541030659940117E-3</v>
      </c>
      <c r="Y172" s="9"/>
    </row>
    <row r="173" spans="1:25">
      <c r="A173" s="3">
        <v>45504</v>
      </c>
      <c r="B173">
        <v>27.69</v>
      </c>
      <c r="C173" s="29">
        <f t="shared" si="46"/>
        <v>4.372408594044478E-2</v>
      </c>
      <c r="D173">
        <f t="shared" si="49"/>
        <v>2.0682094027879322E-2</v>
      </c>
      <c r="E173">
        <v>28.55</v>
      </c>
      <c r="F173">
        <v>26.6</v>
      </c>
      <c r="G173">
        <f t="shared" si="50"/>
        <v>7.0716228467815015E-2</v>
      </c>
      <c r="H173">
        <v>27.7</v>
      </c>
      <c r="I173">
        <v>27.65</v>
      </c>
      <c r="J173">
        <f t="shared" si="51"/>
        <v>1.8066847335140278E-3</v>
      </c>
      <c r="K173">
        <v>3332385</v>
      </c>
      <c r="L173">
        <f t="shared" si="52"/>
        <v>367350000</v>
      </c>
      <c r="M173">
        <f t="shared" si="47"/>
        <v>92273740.650000006</v>
      </c>
      <c r="N173">
        <f t="shared" si="53"/>
        <v>113870000</v>
      </c>
      <c r="O173">
        <f t="shared" si="48"/>
        <v>2.9264819531044175E-2</v>
      </c>
      <c r="P173">
        <v>77886.990000000005</v>
      </c>
      <c r="Q173" s="27">
        <v>0.19489999999999999</v>
      </c>
      <c r="R173">
        <f t="shared" si="54"/>
        <v>31986690000</v>
      </c>
      <c r="S173">
        <f t="shared" si="55"/>
        <v>2812320000</v>
      </c>
      <c r="T173">
        <f t="shared" si="56"/>
        <v>1265980000</v>
      </c>
      <c r="U173">
        <f t="shared" si="57"/>
        <v>1716300000</v>
      </c>
      <c r="V173">
        <f t="shared" si="58"/>
        <v>123280000</v>
      </c>
      <c r="W173">
        <f t="shared" si="59"/>
        <v>4.7385188497226897E-10</v>
      </c>
      <c r="X173">
        <f t="shared" si="60"/>
        <v>3.8541030659940117E-3</v>
      </c>
      <c r="Y173" s="9"/>
    </row>
    <row r="174" spans="1:25">
      <c r="A174" s="3">
        <v>45503</v>
      </c>
      <c r="B174">
        <v>26.53</v>
      </c>
      <c r="C174" s="29">
        <f t="shared" si="46"/>
        <v>0</v>
      </c>
      <c r="D174">
        <f t="shared" si="49"/>
        <v>2.0682094027879322E-2</v>
      </c>
      <c r="E174">
        <v>27.4</v>
      </c>
      <c r="F174">
        <v>26.4</v>
      </c>
      <c r="G174">
        <f t="shared" si="50"/>
        <v>3.717472118959108E-2</v>
      </c>
      <c r="H174">
        <v>26.5</v>
      </c>
      <c r="I174">
        <v>26.45</v>
      </c>
      <c r="J174">
        <f t="shared" si="51"/>
        <v>1.8885741265344932E-3</v>
      </c>
      <c r="K174">
        <v>1087095</v>
      </c>
      <c r="L174">
        <f t="shared" si="52"/>
        <v>367350000</v>
      </c>
      <c r="M174">
        <f t="shared" si="47"/>
        <v>28840630.350000001</v>
      </c>
      <c r="N174">
        <f t="shared" si="53"/>
        <v>113870000</v>
      </c>
      <c r="O174">
        <f t="shared" si="48"/>
        <v>9.5468077632387804E-3</v>
      </c>
      <c r="P174">
        <v>78628.81</v>
      </c>
      <c r="Q174" s="27">
        <v>0.19489999999999999</v>
      </c>
      <c r="R174">
        <f t="shared" si="54"/>
        <v>31986690000</v>
      </c>
      <c r="S174">
        <f t="shared" si="55"/>
        <v>2812320000</v>
      </c>
      <c r="T174">
        <f t="shared" si="56"/>
        <v>1265980000</v>
      </c>
      <c r="U174">
        <f t="shared" si="57"/>
        <v>1716300000</v>
      </c>
      <c r="V174">
        <f t="shared" si="58"/>
        <v>123280000</v>
      </c>
      <c r="W174">
        <f t="shared" si="59"/>
        <v>0</v>
      </c>
      <c r="X174">
        <f t="shared" si="60"/>
        <v>3.8541030659940117E-3</v>
      </c>
      <c r="Y174" s="9"/>
    </row>
    <row r="175" spans="1:25">
      <c r="A175" s="3">
        <v>45502</v>
      </c>
      <c r="B175">
        <v>26.53</v>
      </c>
      <c r="C175" s="29">
        <f t="shared" si="46"/>
        <v>1.64750957854406E-2</v>
      </c>
      <c r="D175">
        <f t="shared" si="49"/>
        <v>2.0682094027879322E-2</v>
      </c>
      <c r="E175">
        <v>27.15</v>
      </c>
      <c r="F175">
        <v>26</v>
      </c>
      <c r="G175">
        <f t="shared" si="50"/>
        <v>4.3273753527751591E-2</v>
      </c>
      <c r="H175">
        <v>26.79</v>
      </c>
      <c r="I175">
        <v>26.45</v>
      </c>
      <c r="J175">
        <f t="shared" si="51"/>
        <v>1.2772351615326819E-2</v>
      </c>
      <c r="K175">
        <v>2015605</v>
      </c>
      <c r="L175">
        <f t="shared" si="52"/>
        <v>367350000</v>
      </c>
      <c r="M175">
        <f t="shared" si="47"/>
        <v>53474000.650000006</v>
      </c>
      <c r="N175">
        <f t="shared" si="53"/>
        <v>113870000</v>
      </c>
      <c r="O175">
        <f t="shared" si="48"/>
        <v>1.7700930886098181E-2</v>
      </c>
      <c r="P175">
        <v>78827.740000000005</v>
      </c>
      <c r="Q175" s="27">
        <v>0.19489999999999999</v>
      </c>
      <c r="R175">
        <f t="shared" si="54"/>
        <v>31986690000</v>
      </c>
      <c r="S175">
        <f t="shared" si="55"/>
        <v>2812320000</v>
      </c>
      <c r="T175">
        <f t="shared" si="56"/>
        <v>1265980000</v>
      </c>
      <c r="U175">
        <f t="shared" si="57"/>
        <v>1716300000</v>
      </c>
      <c r="V175">
        <f t="shared" si="58"/>
        <v>123280000</v>
      </c>
      <c r="W175">
        <f t="shared" si="59"/>
        <v>3.0809544049778515E-10</v>
      </c>
      <c r="X175">
        <f t="shared" si="60"/>
        <v>3.8541030659940117E-3</v>
      </c>
      <c r="Y175" s="9"/>
    </row>
    <row r="176" spans="1:25">
      <c r="A176" s="3">
        <v>45499</v>
      </c>
      <c r="B176">
        <v>26.1</v>
      </c>
      <c r="C176" s="29">
        <f t="shared" si="46"/>
        <v>-2.063789868667907E-2</v>
      </c>
      <c r="D176">
        <f t="shared" si="49"/>
        <v>2.0682094027879322E-2</v>
      </c>
      <c r="E176">
        <v>26.9</v>
      </c>
      <c r="F176">
        <v>25.61</v>
      </c>
      <c r="G176">
        <f t="shared" si="50"/>
        <v>4.913349838126068E-2</v>
      </c>
      <c r="H176">
        <v>25.9</v>
      </c>
      <c r="I176">
        <v>25.85</v>
      </c>
      <c r="J176">
        <f t="shared" si="51"/>
        <v>1.9323671497583443E-3</v>
      </c>
      <c r="K176">
        <v>1376924</v>
      </c>
      <c r="L176">
        <f t="shared" si="52"/>
        <v>367350000</v>
      </c>
      <c r="M176">
        <f t="shared" si="47"/>
        <v>35937716.399999999</v>
      </c>
      <c r="N176">
        <f t="shared" si="53"/>
        <v>113870000</v>
      </c>
      <c r="O176">
        <f t="shared" si="48"/>
        <v>1.2092069904276807E-2</v>
      </c>
      <c r="P176">
        <v>78029.509999999995</v>
      </c>
      <c r="Q176" s="27">
        <v>0.19489999999999999</v>
      </c>
      <c r="R176">
        <f t="shared" si="54"/>
        <v>31986690000</v>
      </c>
      <c r="S176">
        <f t="shared" si="55"/>
        <v>2812320000</v>
      </c>
      <c r="T176">
        <f t="shared" si="56"/>
        <v>1265980000</v>
      </c>
      <c r="U176">
        <f t="shared" si="57"/>
        <v>1716300000</v>
      </c>
      <c r="V176">
        <f t="shared" si="58"/>
        <v>123280000</v>
      </c>
      <c r="W176">
        <f t="shared" si="59"/>
        <v>5.7426850546015973E-10</v>
      </c>
      <c r="X176">
        <f t="shared" si="60"/>
        <v>3.8541030659940117E-3</v>
      </c>
      <c r="Y176" s="9"/>
    </row>
    <row r="177" spans="1:25">
      <c r="A177" s="3">
        <v>45498</v>
      </c>
      <c r="B177">
        <v>26.65</v>
      </c>
      <c r="C177" s="29">
        <f t="shared" si="46"/>
        <v>-8.9252510226850868E-3</v>
      </c>
      <c r="D177">
        <f t="shared" si="49"/>
        <v>2.0682094027879322E-2</v>
      </c>
      <c r="E177">
        <v>27.5</v>
      </c>
      <c r="F177">
        <v>26.49</v>
      </c>
      <c r="G177">
        <f t="shared" si="50"/>
        <v>3.7414335988146016E-2</v>
      </c>
      <c r="H177">
        <v>26.9</v>
      </c>
      <c r="I177">
        <v>26.5</v>
      </c>
      <c r="J177">
        <f t="shared" si="51"/>
        <v>1.4981273408239647E-2</v>
      </c>
      <c r="K177">
        <v>1891916</v>
      </c>
      <c r="L177">
        <f t="shared" si="52"/>
        <v>367350000</v>
      </c>
      <c r="M177">
        <f t="shared" si="47"/>
        <v>50419561.399999999</v>
      </c>
      <c r="N177">
        <f t="shared" si="53"/>
        <v>113870000</v>
      </c>
      <c r="O177">
        <f t="shared" si="48"/>
        <v>1.661470097479582E-2</v>
      </c>
      <c r="P177">
        <v>78469.33</v>
      </c>
      <c r="Q177" s="27">
        <v>0.19489999999999999</v>
      </c>
      <c r="R177">
        <f t="shared" si="54"/>
        <v>31986690000</v>
      </c>
      <c r="S177">
        <f t="shared" si="55"/>
        <v>2812320000</v>
      </c>
      <c r="T177">
        <f t="shared" si="56"/>
        <v>1265980000</v>
      </c>
      <c r="U177">
        <f t="shared" si="57"/>
        <v>1716300000</v>
      </c>
      <c r="V177">
        <f t="shared" si="58"/>
        <v>123280000</v>
      </c>
      <c r="W177">
        <f t="shared" si="59"/>
        <v>1.7701960855782231E-10</v>
      </c>
      <c r="X177">
        <f t="shared" si="60"/>
        <v>3.8541030659940117E-3</v>
      </c>
      <c r="Y177" s="9"/>
    </row>
    <row r="178" spans="1:25">
      <c r="A178" s="3">
        <v>45497</v>
      </c>
      <c r="B178">
        <v>26.89</v>
      </c>
      <c r="C178" s="29">
        <f t="shared" si="46"/>
        <v>-2.9942279942279881E-2</v>
      </c>
      <c r="D178">
        <f t="shared" si="49"/>
        <v>2.0682094027879322E-2</v>
      </c>
      <c r="E178">
        <v>27.97</v>
      </c>
      <c r="F178">
        <v>26.7</v>
      </c>
      <c r="G178">
        <f t="shared" si="50"/>
        <v>4.6460581671849258E-2</v>
      </c>
      <c r="H178">
        <v>26.89</v>
      </c>
      <c r="I178">
        <v>26.85</v>
      </c>
      <c r="J178">
        <f t="shared" si="51"/>
        <v>1.4886490509861982E-3</v>
      </c>
      <c r="K178">
        <v>1663501</v>
      </c>
      <c r="L178">
        <f t="shared" si="52"/>
        <v>367350000</v>
      </c>
      <c r="M178">
        <f t="shared" si="47"/>
        <v>44731541.890000001</v>
      </c>
      <c r="N178">
        <f t="shared" si="53"/>
        <v>113870000</v>
      </c>
      <c r="O178">
        <f t="shared" si="48"/>
        <v>1.4608773162378151E-2</v>
      </c>
      <c r="P178">
        <v>79397.009999999995</v>
      </c>
      <c r="Q178" s="27">
        <v>0.19489999999999999</v>
      </c>
      <c r="R178">
        <f t="shared" si="54"/>
        <v>31986690000</v>
      </c>
      <c r="S178">
        <f t="shared" si="55"/>
        <v>2812320000</v>
      </c>
      <c r="T178">
        <f t="shared" si="56"/>
        <v>1265980000</v>
      </c>
      <c r="U178">
        <f t="shared" si="57"/>
        <v>1716300000</v>
      </c>
      <c r="V178">
        <f t="shared" si="58"/>
        <v>123280000</v>
      </c>
      <c r="W178">
        <f t="shared" si="59"/>
        <v>6.6937732698576286E-10</v>
      </c>
      <c r="X178">
        <f t="shared" si="60"/>
        <v>3.8541030659940117E-3</v>
      </c>
      <c r="Y178" s="9"/>
    </row>
    <row r="179" spans="1:25">
      <c r="A179" s="3">
        <v>45496</v>
      </c>
      <c r="B179">
        <v>27.72</v>
      </c>
      <c r="C179" s="29">
        <f t="shared" si="46"/>
        <v>-1.8005041411595503E-3</v>
      </c>
      <c r="D179">
        <f t="shared" si="49"/>
        <v>2.0682094027879322E-2</v>
      </c>
      <c r="E179">
        <v>28.89</v>
      </c>
      <c r="F179">
        <v>27.45</v>
      </c>
      <c r="G179">
        <f t="shared" si="50"/>
        <v>5.1118210862619848E-2</v>
      </c>
      <c r="H179">
        <v>27.71</v>
      </c>
      <c r="I179">
        <v>27.7</v>
      </c>
      <c r="J179">
        <f t="shared" si="51"/>
        <v>3.6094567767556626E-4</v>
      </c>
      <c r="K179">
        <v>740934</v>
      </c>
      <c r="L179">
        <f t="shared" si="52"/>
        <v>367350000</v>
      </c>
      <c r="M179">
        <f t="shared" si="47"/>
        <v>20538690.48</v>
      </c>
      <c r="N179">
        <f t="shared" si="53"/>
        <v>113870000</v>
      </c>
      <c r="O179">
        <f t="shared" si="48"/>
        <v>6.5068411346272063E-3</v>
      </c>
      <c r="P179">
        <v>78987.09</v>
      </c>
      <c r="Q179" s="27">
        <v>0.19489999999999999</v>
      </c>
      <c r="R179">
        <f t="shared" si="54"/>
        <v>31986690000</v>
      </c>
      <c r="S179">
        <f t="shared" si="55"/>
        <v>2812320000</v>
      </c>
      <c r="T179">
        <f t="shared" si="56"/>
        <v>1265980000</v>
      </c>
      <c r="U179">
        <f t="shared" si="57"/>
        <v>1716300000</v>
      </c>
      <c r="V179">
        <f t="shared" si="58"/>
        <v>123280000</v>
      </c>
      <c r="W179">
        <f t="shared" si="59"/>
        <v>8.7664018449123158E-11</v>
      </c>
      <c r="X179">
        <f t="shared" si="60"/>
        <v>3.8541030659940117E-3</v>
      </c>
      <c r="Y179" s="9"/>
    </row>
    <row r="180" spans="1:25" ht="15" thickBot="1">
      <c r="A180" s="3">
        <v>45495</v>
      </c>
      <c r="B180">
        <v>27.77</v>
      </c>
      <c r="C180" s="29">
        <f>IFERROR((B180-#REF!)/#REF!,0)</f>
        <v>0</v>
      </c>
      <c r="D180">
        <f t="shared" si="49"/>
        <v>2.0682094027879322E-2</v>
      </c>
      <c r="E180">
        <v>29.5</v>
      </c>
      <c r="F180">
        <v>27.5</v>
      </c>
      <c r="G180">
        <f t="shared" si="50"/>
        <v>7.0175438596491224E-2</v>
      </c>
      <c r="H180">
        <v>27.9</v>
      </c>
      <c r="I180">
        <v>27.69</v>
      </c>
      <c r="J180">
        <f t="shared" si="51"/>
        <v>7.5553157042632588E-3</v>
      </c>
      <c r="K180">
        <v>1519512</v>
      </c>
      <c r="L180">
        <f t="shared" si="52"/>
        <v>367350000</v>
      </c>
      <c r="M180">
        <f t="shared" si="47"/>
        <v>42196848.240000002</v>
      </c>
      <c r="N180">
        <f t="shared" si="53"/>
        <v>113870000</v>
      </c>
      <c r="O180">
        <f t="shared" si="48"/>
        <v>1.3344269781329587E-2</v>
      </c>
      <c r="P180">
        <v>78539.19</v>
      </c>
      <c r="Q180" s="27">
        <v>0.19489999999999999</v>
      </c>
      <c r="R180">
        <f t="shared" si="54"/>
        <v>31986690000</v>
      </c>
      <c r="S180">
        <f t="shared" si="55"/>
        <v>2812320000</v>
      </c>
      <c r="T180">
        <f t="shared" si="56"/>
        <v>1265980000</v>
      </c>
      <c r="U180">
        <f t="shared" si="57"/>
        <v>1716300000</v>
      </c>
      <c r="V180">
        <f t="shared" si="58"/>
        <v>123280000</v>
      </c>
      <c r="W180">
        <f t="shared" si="59"/>
        <v>0</v>
      </c>
      <c r="X180">
        <f t="shared" si="60"/>
        <v>3.8541030659940117E-3</v>
      </c>
      <c r="Y180" s="9"/>
    </row>
    <row r="181" spans="1:25" ht="16" thickBot="1">
      <c r="A181" s="184" t="s">
        <v>38</v>
      </c>
      <c r="B181" s="185"/>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6"/>
      <c r="Y181" s="9"/>
    </row>
    <row r="182" spans="1:25" ht="43.5">
      <c r="A182" s="11" t="s">
        <v>14</v>
      </c>
      <c r="B182" s="11" t="s">
        <v>36</v>
      </c>
      <c r="C182" s="12" t="s">
        <v>16</v>
      </c>
      <c r="D182" s="12" t="s">
        <v>17</v>
      </c>
      <c r="E182" s="13" t="s">
        <v>34</v>
      </c>
      <c r="F182" s="13" t="s">
        <v>13</v>
      </c>
      <c r="G182" s="12" t="s">
        <v>18</v>
      </c>
      <c r="H182" s="11" t="s">
        <v>12</v>
      </c>
      <c r="I182" s="13" t="s">
        <v>1</v>
      </c>
      <c r="J182" s="12" t="s">
        <v>19</v>
      </c>
      <c r="K182" s="11" t="s">
        <v>2</v>
      </c>
      <c r="L182" s="11" t="s">
        <v>37</v>
      </c>
      <c r="M182" s="7" t="s">
        <v>20</v>
      </c>
      <c r="N182" s="11" t="s">
        <v>35</v>
      </c>
      <c r="O182" s="12" t="s">
        <v>21</v>
      </c>
      <c r="P182" s="2" t="s">
        <v>5</v>
      </c>
      <c r="Q182" s="11" t="s">
        <v>6</v>
      </c>
      <c r="R182" s="11" t="s">
        <v>7</v>
      </c>
      <c r="S182" s="11" t="s">
        <v>29</v>
      </c>
      <c r="T182" s="11" t="s">
        <v>9</v>
      </c>
      <c r="U182" s="11" t="s">
        <v>10</v>
      </c>
      <c r="V182" s="11" t="s">
        <v>32</v>
      </c>
      <c r="W182" s="7" t="s">
        <v>73</v>
      </c>
      <c r="X182" s="7" t="s">
        <v>72</v>
      </c>
      <c r="Y182" s="9"/>
    </row>
    <row r="183" spans="1:25">
      <c r="A183" s="21">
        <v>45555</v>
      </c>
      <c r="B183" s="24">
        <v>42</v>
      </c>
      <c r="C183" s="29">
        <f t="shared" ref="C183:C224" si="61">IFERROR((B183-B184)/B184,0)</f>
        <v>1.0830324909747361E-2</v>
      </c>
      <c r="D183" s="24">
        <f>_xlfn.STDEV.S($C$183:$C$225)</f>
        <v>2.1942934760113955E-2</v>
      </c>
      <c r="E183" s="24">
        <v>42.1</v>
      </c>
      <c r="F183" s="24">
        <v>41.37</v>
      </c>
      <c r="G183" s="24">
        <f>(E183-F183)/AVERAGE(E183,F183)</f>
        <v>1.7491314244638886E-2</v>
      </c>
      <c r="H183" s="24">
        <v>42.08</v>
      </c>
      <c r="I183" s="24">
        <v>42</v>
      </c>
      <c r="J183" s="24">
        <f>(H183-I183)/AVERAGE(H183,I183)</f>
        <v>1.9029495718363059E-3</v>
      </c>
      <c r="K183" s="24">
        <v>853921</v>
      </c>
      <c r="L183" s="24">
        <f>354.09*1000000</f>
        <v>354090000</v>
      </c>
      <c r="M183" s="24">
        <f t="shared" ref="M183:M225" si="62">K183*B183</f>
        <v>35864682</v>
      </c>
      <c r="N183" s="24">
        <f>173.45*1000000</f>
        <v>173450000</v>
      </c>
      <c r="O183" s="24">
        <f t="shared" ref="O183:O225" si="63">K183/N183</f>
        <v>4.9231536465840298E-3</v>
      </c>
      <c r="P183" s="24">
        <v>82074.45</v>
      </c>
      <c r="Q183" s="27">
        <v>0.1741</v>
      </c>
      <c r="R183" s="24">
        <f>37896.81*1000000</f>
        <v>37896810000</v>
      </c>
      <c r="S183" s="24">
        <f>5279.88*1000000</f>
        <v>5279880000</v>
      </c>
      <c r="T183" s="24">
        <f>1903.74*1000000</f>
        <v>1903740000</v>
      </c>
      <c r="U183" s="24">
        <f>6296.54*1000000</f>
        <v>6296540000</v>
      </c>
      <c r="V183" s="24">
        <f>2959.95*1000000</f>
        <v>2959950000</v>
      </c>
      <c r="W183">
        <f>IFERROR(ABS(C183)/M183,"0")</f>
        <v>3.0197744147703195E-10</v>
      </c>
      <c r="X183">
        <f>V183/R183</f>
        <v>7.8105518643917529E-2</v>
      </c>
      <c r="Y183" s="9"/>
    </row>
    <row r="184" spans="1:25">
      <c r="A184" s="21">
        <v>45554</v>
      </c>
      <c r="B184" s="24">
        <v>41.55</v>
      </c>
      <c r="C184" s="29">
        <f t="shared" si="61"/>
        <v>-2.4009603841536956E-3</v>
      </c>
      <c r="D184" s="24">
        <f t="shared" ref="D184:D225" si="64">_xlfn.STDEV.S($C$183:$C$225)</f>
        <v>2.1942934760113955E-2</v>
      </c>
      <c r="E184" s="24">
        <v>42</v>
      </c>
      <c r="F184" s="24">
        <v>41</v>
      </c>
      <c r="G184" s="24">
        <f t="shared" ref="G184:G225" si="65">(E184-F184)/AVERAGE(E184,F184)</f>
        <v>2.4096385542168676E-2</v>
      </c>
      <c r="H184" s="24">
        <v>41.59</v>
      </c>
      <c r="I184" s="24">
        <v>41.5</v>
      </c>
      <c r="J184" s="24">
        <f t="shared" ref="J184:J225" si="66">(H184-I184)/AVERAGE(H184,I184)</f>
        <v>2.1663256709592827E-3</v>
      </c>
      <c r="K184" s="24">
        <v>1744605</v>
      </c>
      <c r="L184" s="24">
        <f t="shared" ref="L184:L225" si="67">354.09*1000000</f>
        <v>354090000</v>
      </c>
      <c r="M184" s="24">
        <f t="shared" si="62"/>
        <v>72488337.75</v>
      </c>
      <c r="N184" s="24">
        <f t="shared" ref="N184:N225" si="68">173.45*1000000</f>
        <v>173450000</v>
      </c>
      <c r="O184" s="24">
        <f t="shared" si="63"/>
        <v>1.0058258864226002E-2</v>
      </c>
      <c r="P184" s="24">
        <v>81459.289999999994</v>
      </c>
      <c r="Q184" s="27">
        <v>0.1741</v>
      </c>
      <c r="R184" s="24">
        <f t="shared" ref="R184:R225" si="69">37896.81*1000000</f>
        <v>37896810000</v>
      </c>
      <c r="S184" s="24">
        <f t="shared" ref="S184:S225" si="70">5279.88*1000000</f>
        <v>5279880000</v>
      </c>
      <c r="T184" s="24">
        <f t="shared" ref="T184:T225" si="71">1903.74*1000000</f>
        <v>1903740000</v>
      </c>
      <c r="U184" s="24">
        <f t="shared" ref="U184:U225" si="72">6296.54*1000000</f>
        <v>6296540000</v>
      </c>
      <c r="V184" s="24">
        <f t="shared" ref="V184:V225" si="73">2959.95*1000000</f>
        <v>2959950000</v>
      </c>
      <c r="W184">
        <f t="shared" ref="W184:W225" si="74">IFERROR(ABS(C184)/M184,"0")</f>
        <v>3.3122022916764921E-11</v>
      </c>
      <c r="X184">
        <f t="shared" ref="X184:X225" si="75">V184/R184</f>
        <v>7.8105518643917529E-2</v>
      </c>
      <c r="Y184" s="9"/>
    </row>
    <row r="185" spans="1:25">
      <c r="A185" s="21">
        <v>45553</v>
      </c>
      <c r="B185" s="24">
        <v>41.65</v>
      </c>
      <c r="C185" s="29">
        <f t="shared" si="61"/>
        <v>1.5853658536585331E-2</v>
      </c>
      <c r="D185" s="24">
        <f t="shared" si="64"/>
        <v>2.1942934760113955E-2</v>
      </c>
      <c r="E185" s="24">
        <v>42</v>
      </c>
      <c r="F185" s="24">
        <v>40.99</v>
      </c>
      <c r="G185" s="24">
        <f t="shared" si="65"/>
        <v>2.434028196168208E-2</v>
      </c>
      <c r="H185" s="24">
        <v>41.5</v>
      </c>
      <c r="I185" s="24">
        <v>41.46</v>
      </c>
      <c r="J185" s="24">
        <f t="shared" si="66"/>
        <v>9.6432015429120401E-4</v>
      </c>
      <c r="K185" s="24">
        <v>1595703</v>
      </c>
      <c r="L185" s="24">
        <f t="shared" si="67"/>
        <v>354090000</v>
      </c>
      <c r="M185" s="24">
        <f t="shared" si="62"/>
        <v>66461029.949999996</v>
      </c>
      <c r="N185" s="24">
        <f t="shared" si="68"/>
        <v>173450000</v>
      </c>
      <c r="O185" s="24">
        <f t="shared" si="63"/>
        <v>9.1997866820409339E-3</v>
      </c>
      <c r="P185" s="24">
        <v>80461.34</v>
      </c>
      <c r="Q185" s="27">
        <v>0.1741</v>
      </c>
      <c r="R185" s="24">
        <f t="shared" si="69"/>
        <v>37896810000</v>
      </c>
      <c r="S185" s="24">
        <f t="shared" si="70"/>
        <v>5279880000</v>
      </c>
      <c r="T185" s="24">
        <f t="shared" si="71"/>
        <v>1903740000</v>
      </c>
      <c r="U185" s="24">
        <f t="shared" si="72"/>
        <v>6296540000</v>
      </c>
      <c r="V185" s="24">
        <f t="shared" si="73"/>
        <v>2959950000</v>
      </c>
      <c r="W185">
        <f t="shared" si="74"/>
        <v>2.3854066884777993E-10</v>
      </c>
      <c r="X185">
        <f t="shared" si="75"/>
        <v>7.8105518643917529E-2</v>
      </c>
      <c r="Y185" s="9"/>
    </row>
    <row r="186" spans="1:25">
      <c r="A186" s="21">
        <v>45551</v>
      </c>
      <c r="B186" s="24">
        <v>41</v>
      </c>
      <c r="C186" s="29">
        <f t="shared" si="61"/>
        <v>8.1140890090975731E-3</v>
      </c>
      <c r="D186" s="24">
        <f t="shared" si="64"/>
        <v>2.1942934760113955E-2</v>
      </c>
      <c r="E186" s="24">
        <v>41.1</v>
      </c>
      <c r="F186" s="24">
        <v>40.11</v>
      </c>
      <c r="G186" s="24">
        <f t="shared" si="65"/>
        <v>2.4381233838197312E-2</v>
      </c>
      <c r="H186" s="24">
        <v>41</v>
      </c>
      <c r="I186" s="24">
        <v>40.9</v>
      </c>
      <c r="J186" s="24">
        <f t="shared" si="66"/>
        <v>2.4420024420024767E-3</v>
      </c>
      <c r="K186" s="24">
        <v>485545</v>
      </c>
      <c r="L186" s="24">
        <f t="shared" si="67"/>
        <v>354090000</v>
      </c>
      <c r="M186" s="24">
        <f t="shared" si="62"/>
        <v>19907345</v>
      </c>
      <c r="N186" s="24">
        <f t="shared" si="68"/>
        <v>173450000</v>
      </c>
      <c r="O186" s="24">
        <f t="shared" si="63"/>
        <v>2.7993369847218218E-3</v>
      </c>
      <c r="P186" s="24">
        <v>79491.14</v>
      </c>
      <c r="Q186" s="27">
        <v>0.1741</v>
      </c>
      <c r="R186" s="24">
        <f t="shared" si="69"/>
        <v>37896810000</v>
      </c>
      <c r="S186" s="24">
        <f t="shared" si="70"/>
        <v>5279880000</v>
      </c>
      <c r="T186" s="24">
        <f t="shared" si="71"/>
        <v>1903740000</v>
      </c>
      <c r="U186" s="24">
        <f t="shared" si="72"/>
        <v>6296540000</v>
      </c>
      <c r="V186" s="24">
        <f t="shared" si="73"/>
        <v>2959950000</v>
      </c>
      <c r="W186">
        <f t="shared" si="74"/>
        <v>4.0759272565465527E-10</v>
      </c>
      <c r="X186">
        <f t="shared" si="75"/>
        <v>7.8105518643917529E-2</v>
      </c>
      <c r="Y186" s="9"/>
    </row>
    <row r="187" spans="1:25">
      <c r="A187" s="21">
        <v>45548</v>
      </c>
      <c r="B187" s="24">
        <v>40.67</v>
      </c>
      <c r="C187" s="29">
        <f t="shared" si="61"/>
        <v>1.5227159261108323E-2</v>
      </c>
      <c r="D187" s="24">
        <f t="shared" si="64"/>
        <v>2.1942934760113955E-2</v>
      </c>
      <c r="E187" s="24">
        <v>41.5</v>
      </c>
      <c r="F187" s="24">
        <v>40.4</v>
      </c>
      <c r="G187" s="24">
        <f t="shared" si="65"/>
        <v>2.6862026862026895E-2</v>
      </c>
      <c r="H187" s="24">
        <v>40.75</v>
      </c>
      <c r="I187" s="24">
        <v>40.619999999999997</v>
      </c>
      <c r="J187" s="24">
        <f t="shared" si="66"/>
        <v>3.1952808160256251E-3</v>
      </c>
      <c r="K187" s="24">
        <v>1776816</v>
      </c>
      <c r="L187" s="24">
        <f t="shared" si="67"/>
        <v>354090000</v>
      </c>
      <c r="M187" s="24">
        <f t="shared" si="62"/>
        <v>72263106.719999999</v>
      </c>
      <c r="N187" s="24">
        <f t="shared" si="68"/>
        <v>173450000</v>
      </c>
      <c r="O187" s="24">
        <f t="shared" si="63"/>
        <v>1.0243966560968579E-2</v>
      </c>
      <c r="P187" s="24">
        <v>79333.06</v>
      </c>
      <c r="Q187" s="27">
        <v>0.1741</v>
      </c>
      <c r="R187" s="24">
        <f t="shared" si="69"/>
        <v>37896810000</v>
      </c>
      <c r="S187" s="24">
        <f t="shared" si="70"/>
        <v>5279880000</v>
      </c>
      <c r="T187" s="24">
        <f t="shared" si="71"/>
        <v>1903740000</v>
      </c>
      <c r="U187" s="24">
        <f t="shared" si="72"/>
        <v>6296540000</v>
      </c>
      <c r="V187" s="24">
        <f t="shared" si="73"/>
        <v>2959950000</v>
      </c>
      <c r="W187">
        <f t="shared" si="74"/>
        <v>2.1071830360282527E-10</v>
      </c>
      <c r="X187">
        <f t="shared" si="75"/>
        <v>7.8105518643917529E-2</v>
      </c>
      <c r="Y187" s="9"/>
    </row>
    <row r="188" spans="1:25">
      <c r="A188" s="21">
        <v>45547</v>
      </c>
      <c r="B188" s="24">
        <v>40.06</v>
      </c>
      <c r="C188" s="29">
        <f t="shared" si="61"/>
        <v>-5.9553349875929255E-3</v>
      </c>
      <c r="D188" s="24">
        <f t="shared" si="64"/>
        <v>2.1942934760113955E-2</v>
      </c>
      <c r="E188" s="24">
        <v>41</v>
      </c>
      <c r="F188" s="24">
        <v>40</v>
      </c>
      <c r="G188" s="24">
        <f t="shared" si="65"/>
        <v>2.4691358024691357E-2</v>
      </c>
      <c r="H188" s="24">
        <v>40.26</v>
      </c>
      <c r="I188" s="24">
        <v>40.24</v>
      </c>
      <c r="J188" s="24">
        <f t="shared" si="66"/>
        <v>4.9689440993778934E-4</v>
      </c>
      <c r="K188" s="24">
        <v>1055027</v>
      </c>
      <c r="L188" s="24">
        <f t="shared" si="67"/>
        <v>354090000</v>
      </c>
      <c r="M188" s="24">
        <f t="shared" si="62"/>
        <v>42264381.620000005</v>
      </c>
      <c r="N188" s="24">
        <f t="shared" si="68"/>
        <v>173450000</v>
      </c>
      <c r="O188" s="24">
        <f t="shared" si="63"/>
        <v>6.0826001729605075E-3</v>
      </c>
      <c r="P188" s="24">
        <v>79017.62</v>
      </c>
      <c r="Q188" s="27">
        <v>0.1741</v>
      </c>
      <c r="R188" s="24">
        <f t="shared" si="69"/>
        <v>37896810000</v>
      </c>
      <c r="S188" s="24">
        <f t="shared" si="70"/>
        <v>5279880000</v>
      </c>
      <c r="T188" s="24">
        <f t="shared" si="71"/>
        <v>1903740000</v>
      </c>
      <c r="U188" s="24">
        <f t="shared" si="72"/>
        <v>6296540000</v>
      </c>
      <c r="V188" s="24">
        <f t="shared" si="73"/>
        <v>2959950000</v>
      </c>
      <c r="W188">
        <f t="shared" si="74"/>
        <v>1.4090671055210212E-10</v>
      </c>
      <c r="X188">
        <f t="shared" si="75"/>
        <v>7.8105518643917529E-2</v>
      </c>
      <c r="Y188" s="9"/>
    </row>
    <row r="189" spans="1:25">
      <c r="A189" s="21">
        <v>45546</v>
      </c>
      <c r="B189" s="24">
        <v>40.299999999999997</v>
      </c>
      <c r="C189" s="29">
        <f t="shared" si="61"/>
        <v>1.2422360248446499E-3</v>
      </c>
      <c r="D189" s="24">
        <f t="shared" si="64"/>
        <v>2.1942934760113955E-2</v>
      </c>
      <c r="E189" s="24">
        <v>40.74</v>
      </c>
      <c r="F189" s="24">
        <v>40.21</v>
      </c>
      <c r="G189" s="24">
        <f t="shared" si="65"/>
        <v>1.3094502779493542E-2</v>
      </c>
      <c r="H189" s="24">
        <v>40.380000000000003</v>
      </c>
      <c r="I189" s="24">
        <v>40.35</v>
      </c>
      <c r="J189" s="24">
        <f t="shared" si="66"/>
        <v>7.4321813452251045E-4</v>
      </c>
      <c r="K189" s="24">
        <v>721306</v>
      </c>
      <c r="L189" s="24">
        <f t="shared" si="67"/>
        <v>354090000</v>
      </c>
      <c r="M189" s="24">
        <f t="shared" si="62"/>
        <v>29068631.799999997</v>
      </c>
      <c r="N189" s="24">
        <f t="shared" si="68"/>
        <v>173450000</v>
      </c>
      <c r="O189" s="24">
        <f t="shared" si="63"/>
        <v>4.1585817238397231E-3</v>
      </c>
      <c r="P189" s="24">
        <v>78651.8</v>
      </c>
      <c r="Q189" s="27">
        <v>0.1741</v>
      </c>
      <c r="R189" s="24">
        <f t="shared" si="69"/>
        <v>37896810000</v>
      </c>
      <c r="S189" s="24">
        <f t="shared" si="70"/>
        <v>5279880000</v>
      </c>
      <c r="T189" s="24">
        <f t="shared" si="71"/>
        <v>1903740000</v>
      </c>
      <c r="U189" s="24">
        <f t="shared" si="72"/>
        <v>6296540000</v>
      </c>
      <c r="V189" s="24">
        <f t="shared" si="73"/>
        <v>2959950000</v>
      </c>
      <c r="W189">
        <f t="shared" si="74"/>
        <v>4.2734588727517953E-11</v>
      </c>
      <c r="X189">
        <f t="shared" si="75"/>
        <v>7.8105518643917529E-2</v>
      </c>
      <c r="Y189" s="9"/>
    </row>
    <row r="190" spans="1:25">
      <c r="A190" s="21">
        <v>45545</v>
      </c>
      <c r="B190" s="24">
        <v>40.25</v>
      </c>
      <c r="C190" s="29">
        <f t="shared" si="61"/>
        <v>-1.488464400893135E-3</v>
      </c>
      <c r="D190" s="24">
        <f t="shared" si="64"/>
        <v>2.1942934760113955E-2</v>
      </c>
      <c r="E190" s="24">
        <v>40.65</v>
      </c>
      <c r="F190" s="24">
        <v>40.1</v>
      </c>
      <c r="G190" s="24">
        <f t="shared" si="65"/>
        <v>1.3622291021671756E-2</v>
      </c>
      <c r="H190" s="24">
        <v>40.229999999999997</v>
      </c>
      <c r="I190" s="24">
        <v>40.22</v>
      </c>
      <c r="J190" s="24">
        <f t="shared" si="66"/>
        <v>2.4860161591045397E-4</v>
      </c>
      <c r="K190" s="24">
        <v>508321</v>
      </c>
      <c r="L190" s="24">
        <f t="shared" si="67"/>
        <v>354090000</v>
      </c>
      <c r="M190" s="24">
        <f t="shared" si="62"/>
        <v>20459920.25</v>
      </c>
      <c r="N190" s="24">
        <f t="shared" si="68"/>
        <v>173450000</v>
      </c>
      <c r="O190" s="24">
        <f t="shared" si="63"/>
        <v>2.9306486019025657E-3</v>
      </c>
      <c r="P190" s="24">
        <v>79286.740000000005</v>
      </c>
      <c r="Q190" s="27">
        <v>0.1741</v>
      </c>
      <c r="R190" s="24">
        <f t="shared" si="69"/>
        <v>37896810000</v>
      </c>
      <c r="S190" s="24">
        <f t="shared" si="70"/>
        <v>5279880000</v>
      </c>
      <c r="T190" s="24">
        <f t="shared" si="71"/>
        <v>1903740000</v>
      </c>
      <c r="U190" s="24">
        <f t="shared" si="72"/>
        <v>6296540000</v>
      </c>
      <c r="V190" s="24">
        <f t="shared" si="73"/>
        <v>2959950000</v>
      </c>
      <c r="W190">
        <f t="shared" si="74"/>
        <v>7.2750254287679108E-11</v>
      </c>
      <c r="X190">
        <f t="shared" si="75"/>
        <v>7.8105518643917529E-2</v>
      </c>
      <c r="Y190" s="9"/>
    </row>
    <row r="191" spans="1:25">
      <c r="A191" s="21">
        <v>45544</v>
      </c>
      <c r="B191" s="24">
        <v>40.31</v>
      </c>
      <c r="C191" s="29">
        <f t="shared" si="61"/>
        <v>-1.6349438750609922E-2</v>
      </c>
      <c r="D191" s="24">
        <f t="shared" si="64"/>
        <v>2.1942934760113955E-2</v>
      </c>
      <c r="E191" s="24">
        <v>41</v>
      </c>
      <c r="F191" s="24">
        <v>40.22</v>
      </c>
      <c r="G191" s="24">
        <f t="shared" si="65"/>
        <v>1.9207091849298231E-2</v>
      </c>
      <c r="H191" s="24">
        <v>40.29</v>
      </c>
      <c r="I191" s="24">
        <v>40.25</v>
      </c>
      <c r="J191" s="24">
        <f t="shared" si="66"/>
        <v>9.9329525701512657E-4</v>
      </c>
      <c r="K191" s="24">
        <v>1084829</v>
      </c>
      <c r="L191" s="24">
        <f t="shared" si="67"/>
        <v>354090000</v>
      </c>
      <c r="M191" s="24">
        <f t="shared" si="62"/>
        <v>43729456.990000002</v>
      </c>
      <c r="N191" s="24">
        <f t="shared" si="68"/>
        <v>173450000</v>
      </c>
      <c r="O191" s="24">
        <f t="shared" si="63"/>
        <v>6.2544191409628132E-3</v>
      </c>
      <c r="P191" s="24">
        <v>78615</v>
      </c>
      <c r="Q191" s="27">
        <v>0.1741</v>
      </c>
      <c r="R191" s="24">
        <f t="shared" si="69"/>
        <v>37896810000</v>
      </c>
      <c r="S191" s="24">
        <f t="shared" si="70"/>
        <v>5279880000</v>
      </c>
      <c r="T191" s="24">
        <f t="shared" si="71"/>
        <v>1903740000</v>
      </c>
      <c r="U191" s="24">
        <f t="shared" si="72"/>
        <v>6296540000</v>
      </c>
      <c r="V191" s="24">
        <f t="shared" si="73"/>
        <v>2959950000</v>
      </c>
      <c r="W191">
        <f t="shared" si="74"/>
        <v>3.7387701279594422E-10</v>
      </c>
      <c r="X191">
        <f t="shared" si="75"/>
        <v>7.8105518643917529E-2</v>
      </c>
      <c r="Y191" s="9"/>
    </row>
    <row r="192" spans="1:25">
      <c r="A192" s="21">
        <v>45541</v>
      </c>
      <c r="B192" s="24">
        <v>40.98</v>
      </c>
      <c r="C192" s="29">
        <f t="shared" si="61"/>
        <v>4.8828124999990286E-4</v>
      </c>
      <c r="D192" s="24">
        <f t="shared" si="64"/>
        <v>2.1942934760113955E-2</v>
      </c>
      <c r="E192" s="24">
        <v>41</v>
      </c>
      <c r="F192" s="24">
        <v>40.6</v>
      </c>
      <c r="G192" s="24">
        <f t="shared" si="65"/>
        <v>9.8039215686274161E-3</v>
      </c>
      <c r="H192" s="24">
        <v>40.9</v>
      </c>
      <c r="I192" s="24">
        <v>40.89</v>
      </c>
      <c r="J192" s="24">
        <f t="shared" si="66"/>
        <v>2.4452867098662454E-4</v>
      </c>
      <c r="K192" s="24">
        <v>524593</v>
      </c>
      <c r="L192" s="24">
        <f t="shared" si="67"/>
        <v>354090000</v>
      </c>
      <c r="M192" s="24">
        <f t="shared" si="62"/>
        <v>21497821.139999997</v>
      </c>
      <c r="N192" s="24">
        <f t="shared" si="68"/>
        <v>173450000</v>
      </c>
      <c r="O192" s="24">
        <f t="shared" si="63"/>
        <v>3.0244623810896511E-3</v>
      </c>
      <c r="P192" s="24">
        <v>78897.73</v>
      </c>
      <c r="Q192" s="27">
        <v>0.1741</v>
      </c>
      <c r="R192" s="24">
        <f t="shared" si="69"/>
        <v>37896810000</v>
      </c>
      <c r="S192" s="24">
        <f t="shared" si="70"/>
        <v>5279880000</v>
      </c>
      <c r="T192" s="24">
        <f t="shared" si="71"/>
        <v>1903740000</v>
      </c>
      <c r="U192" s="24">
        <f t="shared" si="72"/>
        <v>6296540000</v>
      </c>
      <c r="V192" s="24">
        <f t="shared" si="73"/>
        <v>2959950000</v>
      </c>
      <c r="W192">
        <f t="shared" si="74"/>
        <v>2.2713057608028036E-11</v>
      </c>
      <c r="X192">
        <f t="shared" si="75"/>
        <v>7.8105518643917529E-2</v>
      </c>
      <c r="Y192" s="9"/>
    </row>
    <row r="193" spans="1:25">
      <c r="A193" s="21">
        <v>45540</v>
      </c>
      <c r="B193" s="24">
        <v>40.96</v>
      </c>
      <c r="C193" s="29">
        <f t="shared" si="61"/>
        <v>-8.2324455205810242E-3</v>
      </c>
      <c r="D193" s="24">
        <f t="shared" si="64"/>
        <v>2.1942934760113955E-2</v>
      </c>
      <c r="E193" s="24">
        <v>41.5</v>
      </c>
      <c r="F193" s="24">
        <v>40.76</v>
      </c>
      <c r="G193" s="24">
        <f t="shared" si="65"/>
        <v>1.7991733527838612E-2</v>
      </c>
      <c r="H193" s="24">
        <v>40.950000000000003</v>
      </c>
      <c r="I193" s="24">
        <v>40.93</v>
      </c>
      <c r="J193" s="24">
        <f t="shared" si="66"/>
        <v>4.88519785051371E-4</v>
      </c>
      <c r="K193" s="24">
        <v>996469</v>
      </c>
      <c r="L193" s="24">
        <f t="shared" si="67"/>
        <v>354090000</v>
      </c>
      <c r="M193" s="24">
        <f t="shared" si="62"/>
        <v>40815370.240000002</v>
      </c>
      <c r="N193" s="24">
        <f t="shared" si="68"/>
        <v>173450000</v>
      </c>
      <c r="O193" s="24">
        <f t="shared" si="63"/>
        <v>5.7449927933121937E-3</v>
      </c>
      <c r="P193" s="24">
        <v>78863.34</v>
      </c>
      <c r="Q193" s="27">
        <v>0.1741</v>
      </c>
      <c r="R193" s="24">
        <f t="shared" si="69"/>
        <v>37896810000</v>
      </c>
      <c r="S193" s="24">
        <f t="shared" si="70"/>
        <v>5279880000</v>
      </c>
      <c r="T193" s="24">
        <f t="shared" si="71"/>
        <v>1903740000</v>
      </c>
      <c r="U193" s="24">
        <f t="shared" si="72"/>
        <v>6296540000</v>
      </c>
      <c r="V193" s="24">
        <f t="shared" si="73"/>
        <v>2959950000</v>
      </c>
      <c r="W193">
        <f t="shared" si="74"/>
        <v>2.0169964089932566E-10</v>
      </c>
      <c r="X193">
        <f t="shared" si="75"/>
        <v>7.8105518643917529E-2</v>
      </c>
      <c r="Y193" s="9"/>
    </row>
    <row r="194" spans="1:25">
      <c r="A194" s="21">
        <v>45539</v>
      </c>
      <c r="B194" s="24">
        <v>41.3</v>
      </c>
      <c r="C194" s="29">
        <f t="shared" si="61"/>
        <v>-1.7835909631391204E-2</v>
      </c>
      <c r="D194" s="24">
        <f t="shared" si="64"/>
        <v>2.1942934760113955E-2</v>
      </c>
      <c r="E194" s="24">
        <v>42.5</v>
      </c>
      <c r="F194" s="24">
        <v>41.2</v>
      </c>
      <c r="G194" s="24">
        <f t="shared" si="65"/>
        <v>3.1063321385901961E-2</v>
      </c>
      <c r="H194" s="24">
        <v>41.4</v>
      </c>
      <c r="I194" s="24">
        <v>41.3</v>
      </c>
      <c r="J194" s="24">
        <f t="shared" si="66"/>
        <v>2.4183796856106755E-3</v>
      </c>
      <c r="K194" s="24">
        <v>1419488</v>
      </c>
      <c r="L194" s="24">
        <f t="shared" si="67"/>
        <v>354090000</v>
      </c>
      <c r="M194" s="24">
        <f t="shared" si="62"/>
        <v>58624854.399999999</v>
      </c>
      <c r="N194" s="24">
        <f t="shared" si="68"/>
        <v>173450000</v>
      </c>
      <c r="O194" s="24">
        <f t="shared" si="63"/>
        <v>8.1838454886134331E-3</v>
      </c>
      <c r="P194" s="24">
        <v>78848.009999999995</v>
      </c>
      <c r="Q194" s="27">
        <v>0.1741</v>
      </c>
      <c r="R194" s="24">
        <f t="shared" si="69"/>
        <v>37896810000</v>
      </c>
      <c r="S194" s="24">
        <f t="shared" si="70"/>
        <v>5279880000</v>
      </c>
      <c r="T194" s="24">
        <f t="shared" si="71"/>
        <v>1903740000</v>
      </c>
      <c r="U194" s="24">
        <f t="shared" si="72"/>
        <v>6296540000</v>
      </c>
      <c r="V194" s="24">
        <f t="shared" si="73"/>
        <v>2959950000</v>
      </c>
      <c r="W194">
        <f t="shared" si="74"/>
        <v>3.042380201014402E-10</v>
      </c>
      <c r="X194">
        <f t="shared" si="75"/>
        <v>7.8105518643917529E-2</v>
      </c>
      <c r="Y194" s="9"/>
    </row>
    <row r="195" spans="1:25">
      <c r="A195" s="21">
        <v>45538</v>
      </c>
      <c r="B195" s="24">
        <v>42.05</v>
      </c>
      <c r="C195" s="29">
        <f t="shared" si="61"/>
        <v>6.6176470588235281E-2</v>
      </c>
      <c r="D195" s="24">
        <f t="shared" si="64"/>
        <v>2.1942934760113955E-2</v>
      </c>
      <c r="E195" s="24">
        <v>43.38</v>
      </c>
      <c r="F195" s="24">
        <v>39.44</v>
      </c>
      <c r="G195" s="24">
        <f t="shared" si="65"/>
        <v>9.514609997585137E-2</v>
      </c>
      <c r="H195" s="24">
        <v>42.22</v>
      </c>
      <c r="I195" s="24">
        <v>42.03</v>
      </c>
      <c r="J195" s="24">
        <f t="shared" si="66"/>
        <v>4.510385756676504E-3</v>
      </c>
      <c r="K195" s="24">
        <v>5460327</v>
      </c>
      <c r="L195" s="24">
        <f t="shared" si="67"/>
        <v>354090000</v>
      </c>
      <c r="M195" s="24">
        <f t="shared" si="62"/>
        <v>229606750.34999999</v>
      </c>
      <c r="N195" s="24">
        <f t="shared" si="68"/>
        <v>173450000</v>
      </c>
      <c r="O195" s="24">
        <f t="shared" si="63"/>
        <v>3.1480697607379649E-2</v>
      </c>
      <c r="P195" s="24">
        <v>78356.320000000007</v>
      </c>
      <c r="Q195" s="27">
        <v>0.17469999999999999</v>
      </c>
      <c r="R195" s="24">
        <f t="shared" si="69"/>
        <v>37896810000</v>
      </c>
      <c r="S195" s="24">
        <f t="shared" si="70"/>
        <v>5279880000</v>
      </c>
      <c r="T195" s="24">
        <f t="shared" si="71"/>
        <v>1903740000</v>
      </c>
      <c r="U195" s="24">
        <f t="shared" si="72"/>
        <v>6296540000</v>
      </c>
      <c r="V195" s="24">
        <f t="shared" si="73"/>
        <v>2959950000</v>
      </c>
      <c r="W195">
        <f t="shared" si="74"/>
        <v>2.8821657241069561E-10</v>
      </c>
      <c r="X195">
        <f t="shared" si="75"/>
        <v>7.8105518643917529E-2</v>
      </c>
      <c r="Y195" s="9"/>
    </row>
    <row r="196" spans="1:25">
      <c r="A196" s="21">
        <v>45537</v>
      </c>
      <c r="B196" s="24">
        <v>39.44</v>
      </c>
      <c r="C196" s="29">
        <f t="shared" si="61"/>
        <v>1.3360739979444912E-2</v>
      </c>
      <c r="D196" s="24">
        <f t="shared" si="64"/>
        <v>2.1942934760113955E-2</v>
      </c>
      <c r="E196" s="24">
        <v>39.700000000000003</v>
      </c>
      <c r="F196" s="24">
        <v>38.85</v>
      </c>
      <c r="G196" s="24">
        <f t="shared" si="65"/>
        <v>2.1642266072565277E-2</v>
      </c>
      <c r="H196" s="24">
        <v>39.450000000000003</v>
      </c>
      <c r="I196" s="24">
        <v>39.44</v>
      </c>
      <c r="J196" s="24">
        <f t="shared" si="66"/>
        <v>2.5351755609088897E-4</v>
      </c>
      <c r="K196" s="24">
        <v>458642</v>
      </c>
      <c r="L196" s="24">
        <f t="shared" si="67"/>
        <v>354090000</v>
      </c>
      <c r="M196" s="24">
        <f t="shared" si="62"/>
        <v>18088840.48</v>
      </c>
      <c r="N196" s="24">
        <f t="shared" si="68"/>
        <v>173450000</v>
      </c>
      <c r="O196" s="24">
        <f t="shared" si="63"/>
        <v>2.6442317670798501E-3</v>
      </c>
      <c r="P196" s="24">
        <v>78283.3</v>
      </c>
      <c r="Q196" s="27">
        <v>0.17469999999999999</v>
      </c>
      <c r="R196" s="24">
        <f t="shared" si="69"/>
        <v>37896810000</v>
      </c>
      <c r="S196" s="24">
        <f t="shared" si="70"/>
        <v>5279880000</v>
      </c>
      <c r="T196" s="24">
        <f t="shared" si="71"/>
        <v>1903740000</v>
      </c>
      <c r="U196" s="24">
        <f t="shared" si="72"/>
        <v>6296540000</v>
      </c>
      <c r="V196" s="24">
        <f t="shared" si="73"/>
        <v>2959950000</v>
      </c>
      <c r="W196">
        <f t="shared" si="74"/>
        <v>7.3861782319421014E-10</v>
      </c>
      <c r="X196">
        <f t="shared" si="75"/>
        <v>7.8105518643917529E-2</v>
      </c>
      <c r="Y196" s="9"/>
    </row>
    <row r="197" spans="1:25">
      <c r="A197" s="21">
        <v>45534</v>
      </c>
      <c r="B197" s="24">
        <v>38.92</v>
      </c>
      <c r="C197" s="29">
        <f t="shared" si="61"/>
        <v>2.2327291830837967E-2</v>
      </c>
      <c r="D197" s="24">
        <f t="shared" si="64"/>
        <v>2.1942934760113955E-2</v>
      </c>
      <c r="E197" s="24">
        <v>39.25</v>
      </c>
      <c r="F197" s="24">
        <v>37.9</v>
      </c>
      <c r="G197" s="24">
        <f t="shared" si="65"/>
        <v>3.4996759559300102E-2</v>
      </c>
      <c r="H197" s="24">
        <v>39.06</v>
      </c>
      <c r="I197" s="24">
        <v>39</v>
      </c>
      <c r="J197" s="24">
        <f t="shared" si="66"/>
        <v>1.5372790161414878E-3</v>
      </c>
      <c r="K197" s="24">
        <v>754259</v>
      </c>
      <c r="L197" s="24">
        <f t="shared" si="67"/>
        <v>354090000</v>
      </c>
      <c r="M197" s="24">
        <f t="shared" si="62"/>
        <v>29355760.280000001</v>
      </c>
      <c r="N197" s="24">
        <f t="shared" si="68"/>
        <v>173450000</v>
      </c>
      <c r="O197" s="24">
        <f t="shared" si="63"/>
        <v>4.3485673104641104E-3</v>
      </c>
      <c r="P197" s="24">
        <v>78488.22</v>
      </c>
      <c r="Q197" s="27">
        <v>0.17469999999999999</v>
      </c>
      <c r="R197" s="24">
        <f t="shared" si="69"/>
        <v>37896810000</v>
      </c>
      <c r="S197" s="24">
        <f t="shared" si="70"/>
        <v>5279880000</v>
      </c>
      <c r="T197" s="24">
        <f t="shared" si="71"/>
        <v>1903740000</v>
      </c>
      <c r="U197" s="24">
        <f t="shared" si="72"/>
        <v>6296540000</v>
      </c>
      <c r="V197" s="24">
        <f t="shared" si="73"/>
        <v>2959950000</v>
      </c>
      <c r="W197">
        <f t="shared" si="74"/>
        <v>7.6057617373478454E-10</v>
      </c>
      <c r="X197">
        <f t="shared" si="75"/>
        <v>7.8105518643917529E-2</v>
      </c>
      <c r="Y197" s="9"/>
    </row>
    <row r="198" spans="1:25">
      <c r="A198" s="21">
        <v>45533</v>
      </c>
      <c r="B198" s="24">
        <v>38.07</v>
      </c>
      <c r="C198" s="29">
        <f t="shared" si="61"/>
        <v>-9.3676814988290259E-3</v>
      </c>
      <c r="D198" s="24">
        <f t="shared" si="64"/>
        <v>2.1942934760113955E-2</v>
      </c>
      <c r="E198" s="24">
        <v>38.950000000000003</v>
      </c>
      <c r="F198" s="24">
        <v>38.020000000000003</v>
      </c>
      <c r="G198" s="24">
        <f t="shared" si="65"/>
        <v>2.4165259191892937E-2</v>
      </c>
      <c r="H198" s="24">
        <v>38.369999999999997</v>
      </c>
      <c r="I198" s="24">
        <v>38.299999999999997</v>
      </c>
      <c r="J198" s="24">
        <f t="shared" si="66"/>
        <v>1.8260075648884907E-3</v>
      </c>
      <c r="K198" s="24">
        <v>272973</v>
      </c>
      <c r="L198" s="24">
        <f t="shared" si="67"/>
        <v>354090000</v>
      </c>
      <c r="M198" s="24">
        <f t="shared" si="62"/>
        <v>10392082.109999999</v>
      </c>
      <c r="N198" s="24">
        <f t="shared" si="68"/>
        <v>173450000</v>
      </c>
      <c r="O198" s="24">
        <f t="shared" si="63"/>
        <v>1.5737849524358604E-3</v>
      </c>
      <c r="P198" s="24">
        <v>78349.66</v>
      </c>
      <c r="Q198" s="27">
        <v>0.17469999999999999</v>
      </c>
      <c r="R198" s="24">
        <f t="shared" si="69"/>
        <v>37896810000</v>
      </c>
      <c r="S198" s="24">
        <f t="shared" si="70"/>
        <v>5279880000</v>
      </c>
      <c r="T198" s="24">
        <f t="shared" si="71"/>
        <v>1903740000</v>
      </c>
      <c r="U198" s="24">
        <f t="shared" si="72"/>
        <v>6296540000</v>
      </c>
      <c r="V198" s="24">
        <f t="shared" si="73"/>
        <v>2959950000</v>
      </c>
      <c r="W198">
        <f t="shared" si="74"/>
        <v>9.0142489249721933E-10</v>
      </c>
      <c r="X198">
        <f t="shared" si="75"/>
        <v>7.8105518643917529E-2</v>
      </c>
      <c r="Y198" s="9"/>
    </row>
    <row r="199" spans="1:25">
      <c r="A199" s="21">
        <v>45532</v>
      </c>
      <c r="B199" s="24">
        <v>38.43</v>
      </c>
      <c r="C199" s="29">
        <f t="shared" si="61"/>
        <v>9.7214923804518506E-3</v>
      </c>
      <c r="D199" s="24">
        <f t="shared" si="64"/>
        <v>2.1942934760113955E-2</v>
      </c>
      <c r="E199" s="24">
        <v>38.69</v>
      </c>
      <c r="F199" s="24">
        <v>38</v>
      </c>
      <c r="G199" s="24">
        <f t="shared" si="65"/>
        <v>1.7994523405919879E-2</v>
      </c>
      <c r="H199" s="24">
        <v>38.6</v>
      </c>
      <c r="I199" s="24">
        <v>38.5</v>
      </c>
      <c r="J199" s="24">
        <f t="shared" si="66"/>
        <v>2.5940337224384289E-3</v>
      </c>
      <c r="K199" s="24">
        <v>382278</v>
      </c>
      <c r="L199" s="24">
        <f t="shared" si="67"/>
        <v>354090000</v>
      </c>
      <c r="M199" s="24">
        <f t="shared" si="62"/>
        <v>14690943.539999999</v>
      </c>
      <c r="N199" s="24">
        <f t="shared" si="68"/>
        <v>173450000</v>
      </c>
      <c r="O199" s="24">
        <f t="shared" si="63"/>
        <v>2.2039665609685788E-3</v>
      </c>
      <c r="P199" s="24">
        <v>77992.789999999994</v>
      </c>
      <c r="Q199" s="27">
        <v>0.17469999999999999</v>
      </c>
      <c r="R199" s="24">
        <f t="shared" si="69"/>
        <v>37896810000</v>
      </c>
      <c r="S199" s="24">
        <f t="shared" si="70"/>
        <v>5279880000</v>
      </c>
      <c r="T199" s="24">
        <f t="shared" si="71"/>
        <v>1903740000</v>
      </c>
      <c r="U199" s="24">
        <f t="shared" si="72"/>
        <v>6296540000</v>
      </c>
      <c r="V199" s="24">
        <f t="shared" si="73"/>
        <v>2959950000</v>
      </c>
      <c r="W199">
        <f t="shared" si="74"/>
        <v>6.6173369695299035E-10</v>
      </c>
      <c r="X199">
        <f t="shared" si="75"/>
        <v>7.8105518643917529E-2</v>
      </c>
      <c r="Y199" s="9"/>
    </row>
    <row r="200" spans="1:25">
      <c r="A200" s="21">
        <v>45531</v>
      </c>
      <c r="B200" s="24">
        <v>38.06</v>
      </c>
      <c r="C200" s="29">
        <f t="shared" si="61"/>
        <v>-1.2710765239947987E-2</v>
      </c>
      <c r="D200" s="24">
        <f t="shared" si="64"/>
        <v>2.1942934760113955E-2</v>
      </c>
      <c r="E200" s="24">
        <v>39.049999999999997</v>
      </c>
      <c r="F200" s="24">
        <v>37.99</v>
      </c>
      <c r="G200" s="24">
        <f t="shared" si="65"/>
        <v>2.7518172377985338E-2</v>
      </c>
      <c r="H200" s="24">
        <v>38.35</v>
      </c>
      <c r="I200" s="24">
        <v>38</v>
      </c>
      <c r="J200" s="24">
        <f t="shared" si="66"/>
        <v>9.168303863785237E-3</v>
      </c>
      <c r="K200" s="24">
        <v>278784</v>
      </c>
      <c r="L200" s="24">
        <f t="shared" si="67"/>
        <v>354090000</v>
      </c>
      <c r="M200" s="24">
        <f t="shared" si="62"/>
        <v>10610519.040000001</v>
      </c>
      <c r="N200" s="24">
        <f t="shared" si="68"/>
        <v>173450000</v>
      </c>
      <c r="O200" s="24">
        <f t="shared" si="63"/>
        <v>1.6072874027097145E-3</v>
      </c>
      <c r="P200" s="24">
        <v>78084.240000000005</v>
      </c>
      <c r="Q200" s="27">
        <v>0.17469999999999999</v>
      </c>
      <c r="R200" s="24">
        <f t="shared" si="69"/>
        <v>37896810000</v>
      </c>
      <c r="S200" s="24">
        <f t="shared" si="70"/>
        <v>5279880000</v>
      </c>
      <c r="T200" s="24">
        <f t="shared" si="71"/>
        <v>1903740000</v>
      </c>
      <c r="U200" s="24">
        <f t="shared" si="72"/>
        <v>6296540000</v>
      </c>
      <c r="V200" s="24">
        <f t="shared" si="73"/>
        <v>2959950000</v>
      </c>
      <c r="W200">
        <f t="shared" si="74"/>
        <v>1.1979400057650701E-9</v>
      </c>
      <c r="X200">
        <f t="shared" si="75"/>
        <v>7.8105518643917529E-2</v>
      </c>
      <c r="Y200" s="9"/>
    </row>
    <row r="201" spans="1:25">
      <c r="A201" s="21">
        <v>45530</v>
      </c>
      <c r="B201" s="24">
        <v>38.549999999999997</v>
      </c>
      <c r="C201" s="29">
        <f t="shared" si="61"/>
        <v>1.4206787687450649E-2</v>
      </c>
      <c r="D201" s="24">
        <f t="shared" si="64"/>
        <v>2.1942934760113955E-2</v>
      </c>
      <c r="E201" s="24">
        <v>39.25</v>
      </c>
      <c r="F201" s="24">
        <v>38.01</v>
      </c>
      <c r="G201" s="24">
        <f t="shared" si="65"/>
        <v>3.2099404607817815E-2</v>
      </c>
      <c r="H201" s="24">
        <v>38.700000000000003</v>
      </c>
      <c r="I201" s="24">
        <v>38.65</v>
      </c>
      <c r="J201" s="24">
        <f t="shared" si="66"/>
        <v>1.2928248222366973E-3</v>
      </c>
      <c r="K201" s="24">
        <v>372082</v>
      </c>
      <c r="L201" s="24">
        <f t="shared" si="67"/>
        <v>354090000</v>
      </c>
      <c r="M201" s="24">
        <f t="shared" si="62"/>
        <v>14343761.1</v>
      </c>
      <c r="N201" s="24">
        <f t="shared" si="68"/>
        <v>173450000</v>
      </c>
      <c r="O201" s="24">
        <f t="shared" si="63"/>
        <v>2.1451830498702795E-3</v>
      </c>
      <c r="P201" s="24">
        <v>78571.06</v>
      </c>
      <c r="Q201" s="27">
        <v>0.17469999999999999</v>
      </c>
      <c r="R201" s="24">
        <f t="shared" si="69"/>
        <v>37896810000</v>
      </c>
      <c r="S201" s="24">
        <f t="shared" si="70"/>
        <v>5279880000</v>
      </c>
      <c r="T201" s="24">
        <f t="shared" si="71"/>
        <v>1903740000</v>
      </c>
      <c r="U201" s="24">
        <f t="shared" si="72"/>
        <v>6296540000</v>
      </c>
      <c r="V201" s="24">
        <f t="shared" si="73"/>
        <v>2959950000</v>
      </c>
      <c r="W201">
        <f t="shared" si="74"/>
        <v>9.9045066272406403E-10</v>
      </c>
      <c r="X201">
        <f t="shared" si="75"/>
        <v>7.8105518643917529E-2</v>
      </c>
      <c r="Y201" s="9"/>
    </row>
    <row r="202" spans="1:25">
      <c r="A202" s="21">
        <v>45527</v>
      </c>
      <c r="B202" s="24">
        <v>38.01</v>
      </c>
      <c r="C202" s="29">
        <f t="shared" si="61"/>
        <v>-2.8856243441762706E-3</v>
      </c>
      <c r="D202" s="24">
        <f t="shared" si="64"/>
        <v>2.1942934760113955E-2</v>
      </c>
      <c r="E202" s="24">
        <v>38.5</v>
      </c>
      <c r="F202" s="24">
        <v>37.909999999999997</v>
      </c>
      <c r="G202" s="24">
        <f t="shared" si="65"/>
        <v>1.5443004842298219E-2</v>
      </c>
      <c r="H202" s="24">
        <v>38.29</v>
      </c>
      <c r="I202" s="24">
        <v>38.01</v>
      </c>
      <c r="J202" s="24">
        <f t="shared" si="66"/>
        <v>7.3394495412844336E-3</v>
      </c>
      <c r="K202" s="24">
        <v>217145</v>
      </c>
      <c r="L202" s="24">
        <f t="shared" si="67"/>
        <v>354090000</v>
      </c>
      <c r="M202" s="24">
        <f t="shared" si="62"/>
        <v>8253681.4499999993</v>
      </c>
      <c r="N202" s="24">
        <f t="shared" si="68"/>
        <v>173450000</v>
      </c>
      <c r="O202" s="24">
        <f t="shared" si="63"/>
        <v>1.2519169789564717E-3</v>
      </c>
      <c r="P202" s="24">
        <v>78801.429999999993</v>
      </c>
      <c r="Q202" s="27">
        <v>0.17469999999999999</v>
      </c>
      <c r="R202" s="24">
        <f t="shared" si="69"/>
        <v>37896810000</v>
      </c>
      <c r="S202" s="24">
        <f t="shared" si="70"/>
        <v>5279880000</v>
      </c>
      <c r="T202" s="24">
        <f t="shared" si="71"/>
        <v>1903740000</v>
      </c>
      <c r="U202" s="24">
        <f t="shared" si="72"/>
        <v>6296540000</v>
      </c>
      <c r="V202" s="24">
        <f t="shared" si="73"/>
        <v>2959950000</v>
      </c>
      <c r="W202">
        <f t="shared" si="74"/>
        <v>3.496166361225718E-10</v>
      </c>
      <c r="X202">
        <f t="shared" si="75"/>
        <v>7.8105518643917529E-2</v>
      </c>
      <c r="Y202" s="9"/>
    </row>
    <row r="203" spans="1:25">
      <c r="A203" s="21">
        <v>45526</v>
      </c>
      <c r="B203" s="24">
        <v>38.119999999999997</v>
      </c>
      <c r="C203" s="29">
        <f t="shared" si="61"/>
        <v>-9.0979984403431625E-3</v>
      </c>
      <c r="D203" s="24">
        <f t="shared" si="64"/>
        <v>2.1942934760113955E-2</v>
      </c>
      <c r="E203" s="24">
        <v>38.75</v>
      </c>
      <c r="F203" s="24">
        <v>38</v>
      </c>
      <c r="G203" s="24">
        <f t="shared" si="65"/>
        <v>1.9543973941368076E-2</v>
      </c>
      <c r="H203" s="24">
        <v>38.450000000000003</v>
      </c>
      <c r="I203" s="24">
        <v>38.1</v>
      </c>
      <c r="J203" s="24">
        <f t="shared" si="66"/>
        <v>9.1443500979752155E-3</v>
      </c>
      <c r="K203" s="24">
        <v>240844</v>
      </c>
      <c r="L203" s="24">
        <f t="shared" si="67"/>
        <v>354090000</v>
      </c>
      <c r="M203" s="24">
        <f t="shared" si="62"/>
        <v>9180973.2799999993</v>
      </c>
      <c r="N203" s="24">
        <f t="shared" si="68"/>
        <v>173450000</v>
      </c>
      <c r="O203" s="24">
        <f t="shared" si="63"/>
        <v>1.3885500144133756E-3</v>
      </c>
      <c r="P203" s="24">
        <v>78793.41</v>
      </c>
      <c r="Q203" s="27">
        <v>0.17469999999999999</v>
      </c>
      <c r="R203" s="24">
        <f t="shared" si="69"/>
        <v>37896810000</v>
      </c>
      <c r="S203" s="24">
        <f t="shared" si="70"/>
        <v>5279880000</v>
      </c>
      <c r="T203" s="24">
        <f t="shared" si="71"/>
        <v>1903740000</v>
      </c>
      <c r="U203" s="24">
        <f t="shared" si="72"/>
        <v>6296540000</v>
      </c>
      <c r="V203" s="24">
        <f t="shared" si="73"/>
        <v>2959950000</v>
      </c>
      <c r="W203">
        <f t="shared" si="74"/>
        <v>9.9096230463521861E-10</v>
      </c>
      <c r="X203">
        <f t="shared" si="75"/>
        <v>7.8105518643917529E-2</v>
      </c>
      <c r="Y203" s="9"/>
    </row>
    <row r="204" spans="1:25">
      <c r="A204" s="21">
        <v>45525</v>
      </c>
      <c r="B204" s="24">
        <v>38.47</v>
      </c>
      <c r="C204" s="29">
        <f t="shared" si="61"/>
        <v>5.7516339869280748E-3</v>
      </c>
      <c r="D204" s="24">
        <f t="shared" si="64"/>
        <v>2.1942934760113955E-2</v>
      </c>
      <c r="E204" s="24">
        <v>38.799999999999997</v>
      </c>
      <c r="F204" s="24">
        <v>38</v>
      </c>
      <c r="G204" s="24">
        <f t="shared" si="65"/>
        <v>2.0833333333333259E-2</v>
      </c>
      <c r="H204" s="24">
        <v>38.47</v>
      </c>
      <c r="I204" s="24">
        <v>38.18</v>
      </c>
      <c r="J204" s="24">
        <f t="shared" si="66"/>
        <v>7.5668623613828869E-3</v>
      </c>
      <c r="K204" s="24">
        <v>509463</v>
      </c>
      <c r="L204" s="24">
        <f t="shared" si="67"/>
        <v>354090000</v>
      </c>
      <c r="M204" s="24">
        <f t="shared" si="62"/>
        <v>19599041.609999999</v>
      </c>
      <c r="N204" s="24">
        <f t="shared" si="68"/>
        <v>173450000</v>
      </c>
      <c r="O204" s="24">
        <f t="shared" si="63"/>
        <v>2.9372326318823868E-3</v>
      </c>
      <c r="P204" s="24">
        <v>78260.86</v>
      </c>
      <c r="Q204" s="27">
        <v>0.17469999999999999</v>
      </c>
      <c r="R204" s="24">
        <f t="shared" si="69"/>
        <v>37896810000</v>
      </c>
      <c r="S204" s="24">
        <f t="shared" si="70"/>
        <v>5279880000</v>
      </c>
      <c r="T204" s="24">
        <f t="shared" si="71"/>
        <v>1903740000</v>
      </c>
      <c r="U204" s="24">
        <f t="shared" si="72"/>
        <v>6296540000</v>
      </c>
      <c r="V204" s="24">
        <f t="shared" si="73"/>
        <v>2959950000</v>
      </c>
      <c r="W204">
        <f t="shared" si="74"/>
        <v>2.9346506331173989E-10</v>
      </c>
      <c r="X204">
        <f t="shared" si="75"/>
        <v>7.8105518643917529E-2</v>
      </c>
      <c r="Y204" s="9"/>
    </row>
    <row r="205" spans="1:25">
      <c r="A205" s="21">
        <v>45524</v>
      </c>
      <c r="B205" s="24">
        <v>38.25</v>
      </c>
      <c r="C205" s="29">
        <f t="shared" si="61"/>
        <v>-1.8727552591072266E-2</v>
      </c>
      <c r="D205" s="24">
        <f t="shared" si="64"/>
        <v>2.1942934760113955E-2</v>
      </c>
      <c r="E205" s="24">
        <v>39.479999999999997</v>
      </c>
      <c r="F205" s="24">
        <v>37.950000000000003</v>
      </c>
      <c r="G205" s="24">
        <f t="shared" si="65"/>
        <v>3.9519566059666639E-2</v>
      </c>
      <c r="H205" s="24">
        <v>38.58</v>
      </c>
      <c r="I205" s="24">
        <v>38.299999999999997</v>
      </c>
      <c r="J205" s="24">
        <f t="shared" si="66"/>
        <v>7.2840790842872306E-3</v>
      </c>
      <c r="K205" s="24">
        <v>584645</v>
      </c>
      <c r="L205" s="24">
        <f t="shared" si="67"/>
        <v>354090000</v>
      </c>
      <c r="M205" s="24">
        <f t="shared" si="62"/>
        <v>22362671.25</v>
      </c>
      <c r="N205" s="24">
        <f t="shared" si="68"/>
        <v>173450000</v>
      </c>
      <c r="O205" s="24">
        <f t="shared" si="63"/>
        <v>3.3706831940040357E-3</v>
      </c>
      <c r="P205" s="24">
        <v>77745.52</v>
      </c>
      <c r="Q205" s="27">
        <v>0.189</v>
      </c>
      <c r="R205" s="24">
        <f t="shared" si="69"/>
        <v>37896810000</v>
      </c>
      <c r="S205" s="24">
        <f t="shared" si="70"/>
        <v>5279880000</v>
      </c>
      <c r="T205" s="24">
        <f t="shared" si="71"/>
        <v>1903740000</v>
      </c>
      <c r="U205" s="24">
        <f t="shared" si="72"/>
        <v>6296540000</v>
      </c>
      <c r="V205" s="24">
        <f t="shared" si="73"/>
        <v>2959950000</v>
      </c>
      <c r="W205">
        <f t="shared" si="74"/>
        <v>8.3744702865371086E-10</v>
      </c>
      <c r="X205">
        <f t="shared" si="75"/>
        <v>7.8105518643917529E-2</v>
      </c>
      <c r="Y205" s="9"/>
    </row>
    <row r="206" spans="1:25">
      <c r="A206" s="21">
        <v>45523</v>
      </c>
      <c r="B206" s="24">
        <v>38.979999999999997</v>
      </c>
      <c r="C206" s="29">
        <f t="shared" si="61"/>
        <v>3.2036007413290803E-2</v>
      </c>
      <c r="D206" s="24">
        <f t="shared" si="64"/>
        <v>2.1942934760113955E-2</v>
      </c>
      <c r="E206" s="24">
        <v>39</v>
      </c>
      <c r="F206" s="24">
        <v>37.31</v>
      </c>
      <c r="G206" s="24">
        <f t="shared" si="65"/>
        <v>4.4293015332197552E-2</v>
      </c>
      <c r="H206" s="24">
        <v>38.75</v>
      </c>
      <c r="I206" s="24">
        <v>38.56</v>
      </c>
      <c r="J206" s="24">
        <f t="shared" si="66"/>
        <v>4.9152761609105606E-3</v>
      </c>
      <c r="K206" s="24">
        <v>1289906</v>
      </c>
      <c r="L206" s="24">
        <f t="shared" si="67"/>
        <v>354090000</v>
      </c>
      <c r="M206" s="24">
        <f t="shared" si="62"/>
        <v>50280535.879999995</v>
      </c>
      <c r="N206" s="24">
        <f t="shared" si="68"/>
        <v>173450000</v>
      </c>
      <c r="O206" s="24">
        <f t="shared" si="63"/>
        <v>7.4367598731622945E-3</v>
      </c>
      <c r="P206" s="24">
        <v>77830.34</v>
      </c>
      <c r="Q206" s="27">
        <v>0.189</v>
      </c>
      <c r="R206" s="24">
        <f t="shared" si="69"/>
        <v>37896810000</v>
      </c>
      <c r="S206" s="24">
        <f t="shared" si="70"/>
        <v>5279880000</v>
      </c>
      <c r="T206" s="24">
        <f t="shared" si="71"/>
        <v>1903740000</v>
      </c>
      <c r="U206" s="24">
        <f t="shared" si="72"/>
        <v>6296540000</v>
      </c>
      <c r="V206" s="24">
        <f t="shared" si="73"/>
        <v>2959950000</v>
      </c>
      <c r="W206">
        <f t="shared" si="74"/>
        <v>6.3714530588433351E-10</v>
      </c>
      <c r="X206">
        <f t="shared" si="75"/>
        <v>7.8105518643917529E-2</v>
      </c>
      <c r="Y206" s="9"/>
    </row>
    <row r="207" spans="1:25">
      <c r="A207" s="21">
        <v>45520</v>
      </c>
      <c r="B207" s="24">
        <v>37.770000000000003</v>
      </c>
      <c r="C207" s="29">
        <f t="shared" si="61"/>
        <v>5.8279630148501134E-2</v>
      </c>
      <c r="D207" s="24">
        <f t="shared" si="64"/>
        <v>2.1942934760113955E-2</v>
      </c>
      <c r="E207" s="24">
        <v>38.1</v>
      </c>
      <c r="F207" s="24">
        <v>35.6</v>
      </c>
      <c r="G207" s="24">
        <f t="shared" si="65"/>
        <v>6.7842605156037988E-2</v>
      </c>
      <c r="H207" s="24">
        <v>37.479999999999997</v>
      </c>
      <c r="I207" s="24">
        <v>37.450000000000003</v>
      </c>
      <c r="J207" s="24">
        <f t="shared" si="66"/>
        <v>8.0074736420643344E-4</v>
      </c>
      <c r="K207" s="24">
        <v>1825835</v>
      </c>
      <c r="L207" s="24">
        <f t="shared" si="67"/>
        <v>354090000</v>
      </c>
      <c r="M207" s="24">
        <f t="shared" si="62"/>
        <v>68961787.950000003</v>
      </c>
      <c r="N207" s="24">
        <f t="shared" si="68"/>
        <v>173450000</v>
      </c>
      <c r="O207" s="24">
        <f t="shared" si="63"/>
        <v>1.0526578264629577E-2</v>
      </c>
      <c r="P207" s="24">
        <v>78045.31</v>
      </c>
      <c r="Q207" s="27">
        <v>0.189</v>
      </c>
      <c r="R207" s="24">
        <f t="shared" si="69"/>
        <v>37896810000</v>
      </c>
      <c r="S207" s="24">
        <f t="shared" si="70"/>
        <v>5279880000</v>
      </c>
      <c r="T207" s="24">
        <f t="shared" si="71"/>
        <v>1903740000</v>
      </c>
      <c r="U207" s="24">
        <f t="shared" si="72"/>
        <v>6296540000</v>
      </c>
      <c r="V207" s="24">
        <f t="shared" si="73"/>
        <v>2959950000</v>
      </c>
      <c r="W207">
        <f t="shared" si="74"/>
        <v>8.4510033572151796E-10</v>
      </c>
      <c r="X207">
        <f t="shared" si="75"/>
        <v>7.8105518643917529E-2</v>
      </c>
      <c r="Y207" s="9"/>
    </row>
    <row r="208" spans="1:25">
      <c r="A208" s="21">
        <v>45519</v>
      </c>
      <c r="B208" s="24">
        <v>35.69</v>
      </c>
      <c r="C208" s="29">
        <f t="shared" si="61"/>
        <v>2.2929206076239529E-2</v>
      </c>
      <c r="D208" s="24">
        <f t="shared" si="64"/>
        <v>2.1942934760113955E-2</v>
      </c>
      <c r="E208" s="24">
        <v>35.75</v>
      </c>
      <c r="F208" s="24">
        <v>35</v>
      </c>
      <c r="G208" s="24">
        <f t="shared" si="65"/>
        <v>2.1201413427561839E-2</v>
      </c>
      <c r="H208" s="24">
        <v>35.75</v>
      </c>
      <c r="I208" s="24">
        <v>35.700000000000003</v>
      </c>
      <c r="J208" s="24">
        <f t="shared" si="66"/>
        <v>1.3995801259621317E-3</v>
      </c>
      <c r="K208" s="24">
        <v>336531</v>
      </c>
      <c r="L208" s="24">
        <f t="shared" si="67"/>
        <v>354090000</v>
      </c>
      <c r="M208" s="24">
        <f t="shared" si="62"/>
        <v>12010791.389999999</v>
      </c>
      <c r="N208" s="24">
        <f t="shared" si="68"/>
        <v>173450000</v>
      </c>
      <c r="O208" s="24">
        <f t="shared" si="63"/>
        <v>1.940219083309311E-3</v>
      </c>
      <c r="P208" s="24">
        <v>78105.98</v>
      </c>
      <c r="Q208" s="27">
        <v>0.189</v>
      </c>
      <c r="R208" s="24">
        <f t="shared" si="69"/>
        <v>37896810000</v>
      </c>
      <c r="S208" s="24">
        <f t="shared" si="70"/>
        <v>5279880000</v>
      </c>
      <c r="T208" s="24">
        <f t="shared" si="71"/>
        <v>1903740000</v>
      </c>
      <c r="U208" s="24">
        <f t="shared" si="72"/>
        <v>6296540000</v>
      </c>
      <c r="V208" s="24">
        <f t="shared" si="73"/>
        <v>2959950000</v>
      </c>
      <c r="W208">
        <f t="shared" si="74"/>
        <v>1.9090503974059557E-9</v>
      </c>
      <c r="X208">
        <f t="shared" si="75"/>
        <v>7.8105518643917529E-2</v>
      </c>
      <c r="Y208" s="9"/>
    </row>
    <row r="209" spans="1:25">
      <c r="A209" s="21">
        <v>45517</v>
      </c>
      <c r="B209" s="24">
        <v>34.89</v>
      </c>
      <c r="C209" s="29">
        <f t="shared" si="61"/>
        <v>-2.2876751501286329E-3</v>
      </c>
      <c r="D209" s="24">
        <f t="shared" si="64"/>
        <v>2.1942934760113955E-2</v>
      </c>
      <c r="E209" s="24">
        <v>35</v>
      </c>
      <c r="F209" s="24">
        <v>34.35</v>
      </c>
      <c r="G209" s="24">
        <f t="shared" si="65"/>
        <v>1.8745493871665426E-2</v>
      </c>
      <c r="H209" s="24">
        <v>34.99</v>
      </c>
      <c r="I209" s="24">
        <v>34.85</v>
      </c>
      <c r="J209" s="24">
        <f t="shared" si="66"/>
        <v>4.0091638029782521E-3</v>
      </c>
      <c r="K209" s="24">
        <v>175860</v>
      </c>
      <c r="L209" s="24">
        <f t="shared" si="67"/>
        <v>354090000</v>
      </c>
      <c r="M209" s="24">
        <f t="shared" si="62"/>
        <v>6135755.4000000004</v>
      </c>
      <c r="N209" s="24">
        <f t="shared" si="68"/>
        <v>173450000</v>
      </c>
      <c r="O209" s="24">
        <f t="shared" si="63"/>
        <v>1.0138944940905161E-3</v>
      </c>
      <c r="P209" s="24">
        <v>77877.42</v>
      </c>
      <c r="Q209" s="27">
        <v>0.189</v>
      </c>
      <c r="R209" s="24">
        <f t="shared" si="69"/>
        <v>37896810000</v>
      </c>
      <c r="S209" s="24">
        <f t="shared" si="70"/>
        <v>5279880000</v>
      </c>
      <c r="T209" s="24">
        <f t="shared" si="71"/>
        <v>1903740000</v>
      </c>
      <c r="U209" s="24">
        <f t="shared" si="72"/>
        <v>6296540000</v>
      </c>
      <c r="V209" s="24">
        <f t="shared" si="73"/>
        <v>2959950000</v>
      </c>
      <c r="W209">
        <f t="shared" si="74"/>
        <v>3.7284327698731811E-10</v>
      </c>
      <c r="X209">
        <f t="shared" si="75"/>
        <v>7.8105518643917529E-2</v>
      </c>
      <c r="Y209" s="9"/>
    </row>
    <row r="210" spans="1:25">
      <c r="A210" s="21">
        <v>45516</v>
      </c>
      <c r="B210" s="24">
        <v>34.97</v>
      </c>
      <c r="C210" s="29">
        <f t="shared" si="61"/>
        <v>-2.8587764436815354E-4</v>
      </c>
      <c r="D210" s="24">
        <f t="shared" si="64"/>
        <v>2.1942934760113955E-2</v>
      </c>
      <c r="E210" s="24">
        <v>35.1</v>
      </c>
      <c r="F210" s="24">
        <v>34.15</v>
      </c>
      <c r="G210" s="24">
        <f t="shared" si="65"/>
        <v>2.7436823104693222E-2</v>
      </c>
      <c r="H210" s="24">
        <v>34.950000000000003</v>
      </c>
      <c r="I210" s="24">
        <v>34.9</v>
      </c>
      <c r="J210" s="24">
        <f t="shared" si="66"/>
        <v>1.4316392269149397E-3</v>
      </c>
      <c r="K210" s="24">
        <v>466197</v>
      </c>
      <c r="L210" s="24">
        <f t="shared" si="67"/>
        <v>354090000</v>
      </c>
      <c r="M210" s="24">
        <f t="shared" si="62"/>
        <v>16302909.09</v>
      </c>
      <c r="N210" s="24">
        <f t="shared" si="68"/>
        <v>173450000</v>
      </c>
      <c r="O210" s="24">
        <f t="shared" si="63"/>
        <v>2.6877889881810322E-3</v>
      </c>
      <c r="P210" s="24">
        <v>77980.289999999994</v>
      </c>
      <c r="Q210" s="27">
        <v>0.189</v>
      </c>
      <c r="R210" s="24">
        <f t="shared" si="69"/>
        <v>37896810000</v>
      </c>
      <c r="S210" s="24">
        <f t="shared" si="70"/>
        <v>5279880000</v>
      </c>
      <c r="T210" s="24">
        <f t="shared" si="71"/>
        <v>1903740000</v>
      </c>
      <c r="U210" s="24">
        <f t="shared" si="72"/>
        <v>6296540000</v>
      </c>
      <c r="V210" s="24">
        <f t="shared" si="73"/>
        <v>2959950000</v>
      </c>
      <c r="W210">
        <f t="shared" si="74"/>
        <v>1.7535376219665439E-11</v>
      </c>
      <c r="X210">
        <f t="shared" si="75"/>
        <v>7.8105518643917529E-2</v>
      </c>
      <c r="Y210" s="9"/>
    </row>
    <row r="211" spans="1:25">
      <c r="A211" s="21">
        <v>45513</v>
      </c>
      <c r="B211" s="24">
        <v>34.979999999999997</v>
      </c>
      <c r="C211" s="29">
        <f t="shared" si="61"/>
        <v>-3.7026488180006427E-3</v>
      </c>
      <c r="D211" s="24">
        <f t="shared" si="64"/>
        <v>2.1942934760113955E-2</v>
      </c>
      <c r="E211" s="24">
        <v>35.49</v>
      </c>
      <c r="F211" s="24">
        <v>34.6</v>
      </c>
      <c r="G211" s="24">
        <f t="shared" si="65"/>
        <v>2.5395919532030263E-2</v>
      </c>
      <c r="H211" s="24">
        <v>35</v>
      </c>
      <c r="I211" s="24">
        <v>34.92</v>
      </c>
      <c r="J211" s="24">
        <f t="shared" si="66"/>
        <v>2.2883295194507519E-3</v>
      </c>
      <c r="K211" s="24">
        <v>324886</v>
      </c>
      <c r="L211" s="24">
        <f t="shared" si="67"/>
        <v>354090000</v>
      </c>
      <c r="M211" s="24">
        <f t="shared" si="62"/>
        <v>11364512.279999999</v>
      </c>
      <c r="N211" s="24">
        <f t="shared" si="68"/>
        <v>173450000</v>
      </c>
      <c r="O211" s="24">
        <f t="shared" si="63"/>
        <v>1.8730815797059672E-3</v>
      </c>
      <c r="P211" s="24">
        <v>78569.59</v>
      </c>
      <c r="Q211" s="27">
        <v>0.189</v>
      </c>
      <c r="R211" s="24">
        <f t="shared" si="69"/>
        <v>37896810000</v>
      </c>
      <c r="S211" s="24">
        <f t="shared" si="70"/>
        <v>5279880000</v>
      </c>
      <c r="T211" s="24">
        <f t="shared" si="71"/>
        <v>1903740000</v>
      </c>
      <c r="U211" s="24">
        <f t="shared" si="72"/>
        <v>6296540000</v>
      </c>
      <c r="V211" s="24">
        <f t="shared" si="73"/>
        <v>2959950000</v>
      </c>
      <c r="W211">
        <f t="shared" si="74"/>
        <v>3.2580798249624868E-10</v>
      </c>
      <c r="X211">
        <f t="shared" si="75"/>
        <v>7.8105518643917529E-2</v>
      </c>
      <c r="Y211" s="9"/>
    </row>
    <row r="212" spans="1:25">
      <c r="A212" s="21">
        <v>45512</v>
      </c>
      <c r="B212" s="24">
        <v>35.11</v>
      </c>
      <c r="C212" s="29">
        <f t="shared" si="61"/>
        <v>-2.847380410022213E-4</v>
      </c>
      <c r="D212" s="24">
        <f t="shared" si="64"/>
        <v>2.1942934760113955E-2</v>
      </c>
      <c r="E212" s="24">
        <v>35.4</v>
      </c>
      <c r="F212" s="24">
        <v>34.799999999999997</v>
      </c>
      <c r="G212" s="24">
        <f t="shared" si="65"/>
        <v>1.7094017094017137E-2</v>
      </c>
      <c r="H212" s="24">
        <v>35.299999999999997</v>
      </c>
      <c r="I212" s="24">
        <v>35.11</v>
      </c>
      <c r="J212" s="24">
        <f t="shared" si="66"/>
        <v>5.3969606589972371E-3</v>
      </c>
      <c r="K212" s="24">
        <v>237180</v>
      </c>
      <c r="L212" s="24">
        <f t="shared" si="67"/>
        <v>354090000</v>
      </c>
      <c r="M212" s="24">
        <f t="shared" si="62"/>
        <v>8327389.7999999998</v>
      </c>
      <c r="N212" s="24">
        <f t="shared" si="68"/>
        <v>173450000</v>
      </c>
      <c r="O212" s="24">
        <f t="shared" si="63"/>
        <v>1.3674257711155952E-3</v>
      </c>
      <c r="P212" s="24">
        <v>77874.22</v>
      </c>
      <c r="Q212" s="27">
        <v>0.189</v>
      </c>
      <c r="R212" s="24">
        <f t="shared" si="69"/>
        <v>37896810000</v>
      </c>
      <c r="S212" s="24">
        <f t="shared" si="70"/>
        <v>5279880000</v>
      </c>
      <c r="T212" s="24">
        <f t="shared" si="71"/>
        <v>1903740000</v>
      </c>
      <c r="U212" s="24">
        <f t="shared" si="72"/>
        <v>6296540000</v>
      </c>
      <c r="V212" s="24">
        <f t="shared" si="73"/>
        <v>2959950000</v>
      </c>
      <c r="W212">
        <f t="shared" si="74"/>
        <v>3.4192952154373905E-11</v>
      </c>
      <c r="X212">
        <f t="shared" si="75"/>
        <v>7.8105518643917529E-2</v>
      </c>
      <c r="Y212" s="9"/>
    </row>
    <row r="213" spans="1:25">
      <c r="A213" s="21">
        <v>45511</v>
      </c>
      <c r="B213" s="24">
        <v>35.119999999999997</v>
      </c>
      <c r="C213" s="29">
        <f t="shared" si="61"/>
        <v>4.8640915593703747E-3</v>
      </c>
      <c r="D213" s="24">
        <f t="shared" si="64"/>
        <v>2.1942934760113955E-2</v>
      </c>
      <c r="E213" s="24">
        <v>35.299999999999997</v>
      </c>
      <c r="F213" s="24">
        <v>34.5</v>
      </c>
      <c r="G213" s="24">
        <f t="shared" si="65"/>
        <v>2.2922636103151782E-2</v>
      </c>
      <c r="H213" s="24">
        <v>35.25</v>
      </c>
      <c r="I213" s="24">
        <v>35.17</v>
      </c>
      <c r="J213" s="24">
        <f t="shared" si="66"/>
        <v>2.2720817949445694E-3</v>
      </c>
      <c r="K213" s="24">
        <v>200055</v>
      </c>
      <c r="L213" s="24">
        <f t="shared" si="67"/>
        <v>354090000</v>
      </c>
      <c r="M213" s="24">
        <f t="shared" si="62"/>
        <v>7025931.5999999996</v>
      </c>
      <c r="N213" s="24">
        <f t="shared" si="68"/>
        <v>173450000</v>
      </c>
      <c r="O213" s="24">
        <f t="shared" si="63"/>
        <v>1.1533871432689536E-3</v>
      </c>
      <c r="P213" s="24">
        <v>77114.490000000005</v>
      </c>
      <c r="Q213" s="27">
        <v>0.189</v>
      </c>
      <c r="R213" s="24">
        <f t="shared" si="69"/>
        <v>37896810000</v>
      </c>
      <c r="S213" s="24">
        <f t="shared" si="70"/>
        <v>5279880000</v>
      </c>
      <c r="T213" s="24">
        <f t="shared" si="71"/>
        <v>1903740000</v>
      </c>
      <c r="U213" s="24">
        <f t="shared" si="72"/>
        <v>6296540000</v>
      </c>
      <c r="V213" s="24">
        <f t="shared" si="73"/>
        <v>2959950000</v>
      </c>
      <c r="W213">
        <f t="shared" si="74"/>
        <v>6.923055669045191E-10</v>
      </c>
      <c r="X213">
        <f t="shared" si="75"/>
        <v>7.8105518643917529E-2</v>
      </c>
      <c r="Y213" s="9"/>
    </row>
    <row r="214" spans="1:25">
      <c r="A214" s="21">
        <v>45510</v>
      </c>
      <c r="B214" s="24">
        <v>34.950000000000003</v>
      </c>
      <c r="C214" s="29">
        <f t="shared" si="61"/>
        <v>2.9758397171479233E-2</v>
      </c>
      <c r="D214" s="24">
        <f t="shared" si="64"/>
        <v>2.1942934760113955E-2</v>
      </c>
      <c r="E214" s="24">
        <v>35.090000000000003</v>
      </c>
      <c r="F214" s="24">
        <v>34</v>
      </c>
      <c r="G214" s="24">
        <f t="shared" si="65"/>
        <v>3.1553046750615238E-2</v>
      </c>
      <c r="H214" s="24">
        <v>34.99</v>
      </c>
      <c r="I214" s="24">
        <v>34.94</v>
      </c>
      <c r="J214" s="24">
        <f t="shared" si="66"/>
        <v>1.4300014300015517E-3</v>
      </c>
      <c r="K214" s="24">
        <v>429858</v>
      </c>
      <c r="L214" s="24">
        <f t="shared" si="67"/>
        <v>354090000</v>
      </c>
      <c r="M214" s="24">
        <f t="shared" si="62"/>
        <v>15023537.100000001</v>
      </c>
      <c r="N214" s="24">
        <f t="shared" si="68"/>
        <v>173450000</v>
      </c>
      <c r="O214" s="24">
        <f t="shared" si="63"/>
        <v>2.4782819256269819E-3</v>
      </c>
      <c r="P214" s="24">
        <v>77191.34</v>
      </c>
      <c r="Q214" s="27">
        <v>0.19489999999999999</v>
      </c>
      <c r="R214" s="24">
        <f t="shared" si="69"/>
        <v>37896810000</v>
      </c>
      <c r="S214" s="24">
        <f t="shared" si="70"/>
        <v>5279880000</v>
      </c>
      <c r="T214" s="24">
        <f t="shared" si="71"/>
        <v>1903740000</v>
      </c>
      <c r="U214" s="24">
        <f t="shared" si="72"/>
        <v>6296540000</v>
      </c>
      <c r="V214" s="24">
        <f t="shared" si="73"/>
        <v>2959950000</v>
      </c>
      <c r="W214">
        <f t="shared" si="74"/>
        <v>1.9807850157656433E-9</v>
      </c>
      <c r="X214">
        <f t="shared" si="75"/>
        <v>7.8105518643917529E-2</v>
      </c>
      <c r="Y214" s="9"/>
    </row>
    <row r="215" spans="1:25">
      <c r="A215" s="21">
        <v>45509</v>
      </c>
      <c r="B215" s="24">
        <v>33.94</v>
      </c>
      <c r="C215" s="29">
        <f t="shared" si="61"/>
        <v>-4.4750914719955064E-2</v>
      </c>
      <c r="D215" s="24">
        <f t="shared" si="64"/>
        <v>2.1942934760113955E-2</v>
      </c>
      <c r="E215" s="24">
        <v>36</v>
      </c>
      <c r="F215" s="24">
        <v>33.76</v>
      </c>
      <c r="G215" s="24">
        <f t="shared" si="65"/>
        <v>6.4220183486238591E-2</v>
      </c>
      <c r="H215" s="24">
        <v>34</v>
      </c>
      <c r="I215" s="24">
        <v>33.9</v>
      </c>
      <c r="J215" s="24">
        <f t="shared" si="66"/>
        <v>2.945508100147317E-3</v>
      </c>
      <c r="K215" s="24">
        <v>3109194</v>
      </c>
      <c r="L215" s="24">
        <f t="shared" si="67"/>
        <v>354090000</v>
      </c>
      <c r="M215" s="24">
        <f t="shared" si="62"/>
        <v>105526044.36</v>
      </c>
      <c r="N215" s="24">
        <f t="shared" si="68"/>
        <v>173450000</v>
      </c>
      <c r="O215" s="24">
        <f t="shared" si="63"/>
        <v>1.7925592389737677E-2</v>
      </c>
      <c r="P215" s="24">
        <v>77084.490000000005</v>
      </c>
      <c r="Q215" s="27">
        <v>0.19489999999999999</v>
      </c>
      <c r="R215" s="24">
        <f t="shared" si="69"/>
        <v>37896810000</v>
      </c>
      <c r="S215" s="24">
        <f t="shared" si="70"/>
        <v>5279880000</v>
      </c>
      <c r="T215" s="24">
        <f t="shared" si="71"/>
        <v>1903740000</v>
      </c>
      <c r="U215" s="24">
        <f t="shared" si="72"/>
        <v>6296540000</v>
      </c>
      <c r="V215" s="24">
        <f t="shared" si="73"/>
        <v>2959950000</v>
      </c>
      <c r="W215">
        <f t="shared" si="74"/>
        <v>4.2407459685770281E-10</v>
      </c>
      <c r="X215">
        <f t="shared" si="75"/>
        <v>7.8105518643917529E-2</v>
      </c>
      <c r="Y215" s="9"/>
    </row>
    <row r="216" spans="1:25">
      <c r="A216" s="21">
        <v>45506</v>
      </c>
      <c r="B216" s="24">
        <v>35.53</v>
      </c>
      <c r="C216" s="29">
        <f t="shared" si="61"/>
        <v>2.7472527472527555E-2</v>
      </c>
      <c r="D216" s="24">
        <f t="shared" si="64"/>
        <v>2.1942934760113955E-2</v>
      </c>
      <c r="E216" s="24">
        <v>36</v>
      </c>
      <c r="F216" s="24">
        <v>34.5</v>
      </c>
      <c r="G216" s="24">
        <f t="shared" si="65"/>
        <v>4.2553191489361701E-2</v>
      </c>
      <c r="H216" s="24">
        <v>35.9</v>
      </c>
      <c r="I216" s="24">
        <v>35.659999999999997</v>
      </c>
      <c r="J216" s="24">
        <f t="shared" si="66"/>
        <v>6.7076579094466739E-3</v>
      </c>
      <c r="K216" s="24">
        <v>1047605</v>
      </c>
      <c r="L216" s="24">
        <f t="shared" si="67"/>
        <v>354090000</v>
      </c>
      <c r="M216" s="24">
        <f t="shared" si="62"/>
        <v>37221405.649999999</v>
      </c>
      <c r="N216" s="24">
        <f t="shared" si="68"/>
        <v>173450000</v>
      </c>
      <c r="O216" s="24">
        <f t="shared" si="63"/>
        <v>6.0398097434419141E-3</v>
      </c>
      <c r="P216" s="24">
        <v>78225.98</v>
      </c>
      <c r="Q216" s="27">
        <v>0.19489999999999999</v>
      </c>
      <c r="R216" s="24">
        <f t="shared" si="69"/>
        <v>37896810000</v>
      </c>
      <c r="S216" s="24">
        <f t="shared" si="70"/>
        <v>5279880000</v>
      </c>
      <c r="T216" s="24">
        <f t="shared" si="71"/>
        <v>1903740000</v>
      </c>
      <c r="U216" s="24">
        <f t="shared" si="72"/>
        <v>6296540000</v>
      </c>
      <c r="V216" s="24">
        <f t="shared" si="73"/>
        <v>2959950000</v>
      </c>
      <c r="W216">
        <f t="shared" si="74"/>
        <v>7.380840941596078E-10</v>
      </c>
      <c r="X216">
        <f t="shared" si="75"/>
        <v>7.8105518643917529E-2</v>
      </c>
      <c r="Y216" s="9"/>
    </row>
    <row r="217" spans="1:25">
      <c r="A217" s="21">
        <v>45505</v>
      </c>
      <c r="B217" s="24">
        <v>34.58</v>
      </c>
      <c r="C217" s="29">
        <f t="shared" si="61"/>
        <v>1.0224948875255666E-2</v>
      </c>
      <c r="D217" s="24">
        <f t="shared" si="64"/>
        <v>2.1942934760113955E-2</v>
      </c>
      <c r="E217" s="24">
        <v>35.090000000000003</v>
      </c>
      <c r="F217" s="24">
        <v>33.799999999999997</v>
      </c>
      <c r="G217" s="24">
        <f t="shared" si="65"/>
        <v>3.7451008854696072E-2</v>
      </c>
      <c r="H217" s="24">
        <v>34.700000000000003</v>
      </c>
      <c r="I217" s="24">
        <v>34.409999999999997</v>
      </c>
      <c r="J217" s="24">
        <f t="shared" si="66"/>
        <v>8.3924178845320874E-3</v>
      </c>
      <c r="K217" s="24">
        <v>674921</v>
      </c>
      <c r="L217" s="24">
        <f t="shared" si="67"/>
        <v>354090000</v>
      </c>
      <c r="M217" s="24">
        <f t="shared" si="62"/>
        <v>23338768.18</v>
      </c>
      <c r="N217" s="24">
        <f t="shared" si="68"/>
        <v>173450000</v>
      </c>
      <c r="O217" s="24">
        <f t="shared" si="63"/>
        <v>3.8911559527241282E-3</v>
      </c>
      <c r="P217" s="24">
        <v>77740.31</v>
      </c>
      <c r="Q217" s="27">
        <v>0.19489999999999999</v>
      </c>
      <c r="R217" s="24">
        <f t="shared" si="69"/>
        <v>37896810000</v>
      </c>
      <c r="S217" s="24">
        <f t="shared" si="70"/>
        <v>5279880000</v>
      </c>
      <c r="T217" s="24">
        <f t="shared" si="71"/>
        <v>1903740000</v>
      </c>
      <c r="U217" s="24">
        <f t="shared" si="72"/>
        <v>6296540000</v>
      </c>
      <c r="V217" s="24">
        <f t="shared" si="73"/>
        <v>2959950000</v>
      </c>
      <c r="W217">
        <f t="shared" si="74"/>
        <v>4.3811004918493801E-10</v>
      </c>
      <c r="X217">
        <f t="shared" si="75"/>
        <v>7.8105518643917529E-2</v>
      </c>
      <c r="Y217" s="9"/>
    </row>
    <row r="218" spans="1:25">
      <c r="A218" s="21">
        <v>45504</v>
      </c>
      <c r="B218" s="24">
        <v>34.229999999999997</v>
      </c>
      <c r="C218" s="29">
        <f t="shared" si="61"/>
        <v>-1.5530629853322007E-2</v>
      </c>
      <c r="D218" s="24">
        <f t="shared" si="64"/>
        <v>2.1942934760113955E-2</v>
      </c>
      <c r="E218" s="24">
        <v>35.75</v>
      </c>
      <c r="F218" s="24">
        <v>33.9</v>
      </c>
      <c r="G218" s="24">
        <f t="shared" si="65"/>
        <v>5.3122756640344618E-2</v>
      </c>
      <c r="H218" s="24">
        <v>34.49</v>
      </c>
      <c r="I218" s="24">
        <v>33.9</v>
      </c>
      <c r="J218" s="24">
        <f t="shared" si="66"/>
        <v>1.7253984500658091E-2</v>
      </c>
      <c r="K218" s="24">
        <v>812778</v>
      </c>
      <c r="L218" s="24">
        <f t="shared" si="67"/>
        <v>354090000</v>
      </c>
      <c r="M218" s="24">
        <f t="shared" si="62"/>
        <v>27821390.939999998</v>
      </c>
      <c r="N218" s="24">
        <f t="shared" si="68"/>
        <v>173450000</v>
      </c>
      <c r="O218" s="24">
        <f t="shared" si="63"/>
        <v>4.6859498414528683E-3</v>
      </c>
      <c r="P218" s="24">
        <v>77886.990000000005</v>
      </c>
      <c r="Q218" s="27">
        <v>0.19489999999999999</v>
      </c>
      <c r="R218" s="24">
        <f t="shared" si="69"/>
        <v>37896810000</v>
      </c>
      <c r="S218" s="24">
        <f t="shared" si="70"/>
        <v>5279880000</v>
      </c>
      <c r="T218" s="24">
        <f t="shared" si="71"/>
        <v>1903740000</v>
      </c>
      <c r="U218" s="24">
        <f t="shared" si="72"/>
        <v>6296540000</v>
      </c>
      <c r="V218" s="24">
        <f t="shared" si="73"/>
        <v>2959950000</v>
      </c>
      <c r="W218">
        <f t="shared" si="74"/>
        <v>5.5822621833737871E-10</v>
      </c>
      <c r="X218">
        <f t="shared" si="75"/>
        <v>7.8105518643917529E-2</v>
      </c>
      <c r="Y218" s="9"/>
    </row>
    <row r="219" spans="1:25">
      <c r="A219" s="21">
        <v>45503</v>
      </c>
      <c r="B219" s="24">
        <v>34.770000000000003</v>
      </c>
      <c r="C219" s="29">
        <f t="shared" si="61"/>
        <v>-5.7191878753215823E-3</v>
      </c>
      <c r="D219" s="24">
        <f t="shared" si="64"/>
        <v>2.1942934760113955E-2</v>
      </c>
      <c r="E219" s="24">
        <v>35.44</v>
      </c>
      <c r="F219" s="24">
        <v>34.549999999999997</v>
      </c>
      <c r="G219" s="24">
        <f t="shared" si="65"/>
        <v>2.5432204600657256E-2</v>
      </c>
      <c r="H219" s="24">
        <v>35</v>
      </c>
      <c r="I219" s="24">
        <v>34.71</v>
      </c>
      <c r="J219" s="24">
        <f t="shared" si="66"/>
        <v>8.320183617845334E-3</v>
      </c>
      <c r="K219" s="24">
        <v>253073</v>
      </c>
      <c r="L219" s="24">
        <f t="shared" si="67"/>
        <v>354090000</v>
      </c>
      <c r="M219" s="24">
        <f t="shared" si="62"/>
        <v>8799348.2100000009</v>
      </c>
      <c r="N219" s="24">
        <f t="shared" si="68"/>
        <v>173450000</v>
      </c>
      <c r="O219" s="24">
        <f t="shared" si="63"/>
        <v>1.4590544825598155E-3</v>
      </c>
      <c r="P219" s="24">
        <v>78628.81</v>
      </c>
      <c r="Q219" s="27">
        <v>0.19489999999999999</v>
      </c>
      <c r="R219" s="24">
        <f t="shared" si="69"/>
        <v>37896810000</v>
      </c>
      <c r="S219" s="24">
        <f t="shared" si="70"/>
        <v>5279880000</v>
      </c>
      <c r="T219" s="24">
        <f t="shared" si="71"/>
        <v>1903740000</v>
      </c>
      <c r="U219" s="24">
        <f t="shared" si="72"/>
        <v>6296540000</v>
      </c>
      <c r="V219" s="24">
        <f t="shared" si="73"/>
        <v>2959950000</v>
      </c>
      <c r="W219">
        <f t="shared" si="74"/>
        <v>6.4995585341446345E-10</v>
      </c>
      <c r="X219">
        <f t="shared" si="75"/>
        <v>7.8105518643917529E-2</v>
      </c>
      <c r="Y219" s="9"/>
    </row>
    <row r="220" spans="1:25">
      <c r="A220" s="21">
        <v>45502</v>
      </c>
      <c r="B220" s="24">
        <v>34.97</v>
      </c>
      <c r="C220" s="29">
        <f t="shared" si="61"/>
        <v>2.7019089574155705E-2</v>
      </c>
      <c r="D220" s="24">
        <f t="shared" si="64"/>
        <v>2.1942934760113955E-2</v>
      </c>
      <c r="E220" s="24">
        <v>35</v>
      </c>
      <c r="F220" s="24">
        <v>33.6</v>
      </c>
      <c r="G220" s="24">
        <f t="shared" si="65"/>
        <v>4.0816326530612207E-2</v>
      </c>
      <c r="H220" s="24">
        <v>34.979999999999997</v>
      </c>
      <c r="I220" s="24">
        <v>34.799999999999997</v>
      </c>
      <c r="J220" s="24">
        <f t="shared" si="66"/>
        <v>5.159071367153904E-3</v>
      </c>
      <c r="K220" s="24">
        <v>2120135</v>
      </c>
      <c r="L220" s="24">
        <f t="shared" si="67"/>
        <v>354090000</v>
      </c>
      <c r="M220" s="24">
        <f t="shared" si="62"/>
        <v>74141120.950000003</v>
      </c>
      <c r="N220" s="24">
        <f t="shared" si="68"/>
        <v>173450000</v>
      </c>
      <c r="O220" s="24">
        <f t="shared" si="63"/>
        <v>1.2223320841741136E-2</v>
      </c>
      <c r="P220" s="24">
        <v>78827.740000000005</v>
      </c>
      <c r="Q220" s="27">
        <v>0.19489999999999999</v>
      </c>
      <c r="R220" s="24">
        <f t="shared" si="69"/>
        <v>37896810000</v>
      </c>
      <c r="S220" s="24">
        <f t="shared" si="70"/>
        <v>5279880000</v>
      </c>
      <c r="T220" s="24">
        <f t="shared" si="71"/>
        <v>1903740000</v>
      </c>
      <c r="U220" s="24">
        <f t="shared" si="72"/>
        <v>6296540000</v>
      </c>
      <c r="V220" s="24">
        <f t="shared" si="73"/>
        <v>2959950000</v>
      </c>
      <c r="W220">
        <f t="shared" si="74"/>
        <v>3.6442785363842955E-10</v>
      </c>
      <c r="X220">
        <f t="shared" si="75"/>
        <v>7.8105518643917529E-2</v>
      </c>
      <c r="Y220" s="9"/>
    </row>
    <row r="221" spans="1:25">
      <c r="A221" s="21">
        <v>45499</v>
      </c>
      <c r="B221" s="24">
        <v>34.049999999999997</v>
      </c>
      <c r="C221" s="29">
        <f t="shared" si="61"/>
        <v>-5.0474065811489187E-2</v>
      </c>
      <c r="D221" s="24">
        <f t="shared" si="64"/>
        <v>2.1942934760113955E-2</v>
      </c>
      <c r="E221" s="24">
        <v>35.700000000000003</v>
      </c>
      <c r="F221" s="24">
        <v>33.61</v>
      </c>
      <c r="G221" s="24">
        <f t="shared" si="65"/>
        <v>6.0308757755013806E-2</v>
      </c>
      <c r="H221" s="24">
        <v>33.99</v>
      </c>
      <c r="I221" s="24">
        <v>33.909999999999997</v>
      </c>
      <c r="J221" s="24">
        <f t="shared" si="66"/>
        <v>2.3564064801179794E-3</v>
      </c>
      <c r="K221" s="24">
        <v>1868094</v>
      </c>
      <c r="L221" s="24">
        <f t="shared" si="67"/>
        <v>354090000</v>
      </c>
      <c r="M221" s="24">
        <f t="shared" si="62"/>
        <v>63608600.699999996</v>
      </c>
      <c r="N221" s="24">
        <f t="shared" si="68"/>
        <v>173450000</v>
      </c>
      <c r="O221" s="24">
        <f t="shared" si="63"/>
        <v>1.0770216200634189E-2</v>
      </c>
      <c r="P221" s="24">
        <v>78029.509999999995</v>
      </c>
      <c r="Q221" s="27">
        <v>0.19489999999999999</v>
      </c>
      <c r="R221" s="24">
        <f t="shared" si="69"/>
        <v>37896810000</v>
      </c>
      <c r="S221" s="24">
        <f t="shared" si="70"/>
        <v>5279880000</v>
      </c>
      <c r="T221" s="24">
        <f t="shared" si="71"/>
        <v>1903740000</v>
      </c>
      <c r="U221" s="24">
        <f t="shared" si="72"/>
        <v>6296540000</v>
      </c>
      <c r="V221" s="24">
        <f t="shared" si="73"/>
        <v>2959950000</v>
      </c>
      <c r="W221">
        <f t="shared" si="74"/>
        <v>7.9351007970670846E-10</v>
      </c>
      <c r="X221">
        <f t="shared" si="75"/>
        <v>7.8105518643917529E-2</v>
      </c>
      <c r="Y221" s="9"/>
    </row>
    <row r="222" spans="1:25">
      <c r="A222" s="21">
        <v>45498</v>
      </c>
      <c r="B222" s="24">
        <v>35.86</v>
      </c>
      <c r="C222" s="29">
        <f t="shared" si="61"/>
        <v>-3.0286641427798744E-2</v>
      </c>
      <c r="D222" s="24">
        <f t="shared" si="64"/>
        <v>2.1942934760113955E-2</v>
      </c>
      <c r="E222" s="24">
        <v>37.49</v>
      </c>
      <c r="F222" s="24">
        <v>35.020000000000003</v>
      </c>
      <c r="G222" s="24">
        <f t="shared" si="65"/>
        <v>6.812853399531095E-2</v>
      </c>
      <c r="H222" s="24">
        <v>35.4</v>
      </c>
      <c r="I222" s="24">
        <v>35.26</v>
      </c>
      <c r="J222" s="24">
        <f t="shared" si="66"/>
        <v>3.9626379847155554E-3</v>
      </c>
      <c r="K222" s="24">
        <v>331919</v>
      </c>
      <c r="L222" s="24">
        <f t="shared" si="67"/>
        <v>354090000</v>
      </c>
      <c r="M222" s="24">
        <f t="shared" si="62"/>
        <v>11902615.34</v>
      </c>
      <c r="N222" s="24">
        <f t="shared" si="68"/>
        <v>173450000</v>
      </c>
      <c r="O222" s="24">
        <f t="shared" si="63"/>
        <v>1.9136292879792446E-3</v>
      </c>
      <c r="P222" s="24">
        <v>78469.33</v>
      </c>
      <c r="Q222" s="27">
        <v>0.19489999999999999</v>
      </c>
      <c r="R222" s="24">
        <f t="shared" si="69"/>
        <v>37896810000</v>
      </c>
      <c r="S222" s="24">
        <f t="shared" si="70"/>
        <v>5279880000</v>
      </c>
      <c r="T222" s="24">
        <f t="shared" si="71"/>
        <v>1903740000</v>
      </c>
      <c r="U222" s="24">
        <f t="shared" si="72"/>
        <v>6296540000</v>
      </c>
      <c r="V222" s="24">
        <f t="shared" si="73"/>
        <v>2959950000</v>
      </c>
      <c r="W222">
        <f t="shared" si="74"/>
        <v>2.5445366890096228E-9</v>
      </c>
      <c r="X222">
        <f t="shared" si="75"/>
        <v>7.8105518643917529E-2</v>
      </c>
      <c r="Y222" s="9"/>
    </row>
    <row r="223" spans="1:25">
      <c r="A223" s="21">
        <v>45497</v>
      </c>
      <c r="B223" s="24">
        <v>36.979999999999997</v>
      </c>
      <c r="C223" s="29">
        <f t="shared" si="61"/>
        <v>-2.4278392230915407E-3</v>
      </c>
      <c r="D223" s="24">
        <f t="shared" si="64"/>
        <v>2.1942934760113955E-2</v>
      </c>
      <c r="E223" s="24">
        <v>37.79</v>
      </c>
      <c r="F223" s="24">
        <v>36.83</v>
      </c>
      <c r="G223" s="24">
        <f t="shared" si="65"/>
        <v>2.5730367193781849E-2</v>
      </c>
      <c r="H223" s="24">
        <v>37</v>
      </c>
      <c r="I223" s="24">
        <v>36.9</v>
      </c>
      <c r="J223" s="24">
        <f t="shared" si="66"/>
        <v>2.7063599458728394E-3</v>
      </c>
      <c r="K223" s="24">
        <v>215033</v>
      </c>
      <c r="L223" s="24">
        <f t="shared" si="67"/>
        <v>354090000</v>
      </c>
      <c r="M223" s="24">
        <f t="shared" si="62"/>
        <v>7951920.3399999989</v>
      </c>
      <c r="N223" s="24">
        <f t="shared" si="68"/>
        <v>173450000</v>
      </c>
      <c r="O223" s="24">
        <f t="shared" si="63"/>
        <v>1.2397405592389737E-3</v>
      </c>
      <c r="P223" s="24">
        <v>79397.009999999995</v>
      </c>
      <c r="Q223" s="27">
        <v>0.19489999999999999</v>
      </c>
      <c r="R223" s="24">
        <f t="shared" si="69"/>
        <v>37896810000</v>
      </c>
      <c r="S223" s="24">
        <f t="shared" si="70"/>
        <v>5279880000</v>
      </c>
      <c r="T223" s="24">
        <f t="shared" si="71"/>
        <v>1903740000</v>
      </c>
      <c r="U223" s="24">
        <f t="shared" si="72"/>
        <v>6296540000</v>
      </c>
      <c r="V223" s="24">
        <f t="shared" si="73"/>
        <v>2959950000</v>
      </c>
      <c r="W223">
        <f t="shared" si="74"/>
        <v>3.0531483205118992E-10</v>
      </c>
      <c r="X223">
        <f t="shared" si="75"/>
        <v>7.8105518643917529E-2</v>
      </c>
      <c r="Y223" s="9"/>
    </row>
    <row r="224" spans="1:25">
      <c r="A224" s="21">
        <v>45496</v>
      </c>
      <c r="B224" s="24">
        <v>37.07</v>
      </c>
      <c r="C224" s="29">
        <f t="shared" si="61"/>
        <v>4.607046070460751E-3</v>
      </c>
      <c r="D224" s="24">
        <f t="shared" si="64"/>
        <v>2.1942934760113955E-2</v>
      </c>
      <c r="E224" s="24">
        <v>37.700000000000003</v>
      </c>
      <c r="F224" s="24">
        <v>36.5</v>
      </c>
      <c r="G224" s="24">
        <f t="shared" si="65"/>
        <v>3.2345013477089027E-2</v>
      </c>
      <c r="H224" s="24">
        <v>37.4</v>
      </c>
      <c r="I224" s="24">
        <v>37.35</v>
      </c>
      <c r="J224" s="24">
        <f t="shared" si="66"/>
        <v>1.3377926421403923E-3</v>
      </c>
      <c r="K224" s="24">
        <v>239867</v>
      </c>
      <c r="L224" s="24">
        <f t="shared" si="67"/>
        <v>354090000</v>
      </c>
      <c r="M224" s="24">
        <f t="shared" si="62"/>
        <v>8891869.6899999995</v>
      </c>
      <c r="N224" s="24">
        <f t="shared" si="68"/>
        <v>173450000</v>
      </c>
      <c r="O224" s="24">
        <f t="shared" si="63"/>
        <v>1.3829172672239838E-3</v>
      </c>
      <c r="P224" s="24">
        <v>78987.09</v>
      </c>
      <c r="Q224" s="27">
        <v>0.19489999999999999</v>
      </c>
      <c r="R224" s="24">
        <f t="shared" si="69"/>
        <v>37896810000</v>
      </c>
      <c r="S224" s="24">
        <f t="shared" si="70"/>
        <v>5279880000</v>
      </c>
      <c r="T224" s="24">
        <f t="shared" si="71"/>
        <v>1903740000</v>
      </c>
      <c r="U224" s="24">
        <f t="shared" si="72"/>
        <v>6296540000</v>
      </c>
      <c r="V224" s="24">
        <f t="shared" si="73"/>
        <v>2959950000</v>
      </c>
      <c r="W224">
        <f t="shared" si="74"/>
        <v>5.1811893685778373E-10</v>
      </c>
      <c r="X224">
        <f t="shared" si="75"/>
        <v>7.8105518643917529E-2</v>
      </c>
      <c r="Y224" s="9"/>
    </row>
    <row r="225" spans="1:25" ht="15" thickBot="1">
      <c r="A225" s="21">
        <v>45495</v>
      </c>
      <c r="B225" s="24">
        <v>36.9</v>
      </c>
      <c r="C225" s="29">
        <f>IFERROR((B225-#REF!)/#REF!,0)</f>
        <v>0</v>
      </c>
      <c r="D225" s="24">
        <f t="shared" si="64"/>
        <v>2.1942934760113955E-2</v>
      </c>
      <c r="E225" s="24">
        <v>38</v>
      </c>
      <c r="F225" s="24">
        <v>36.6</v>
      </c>
      <c r="G225" s="24">
        <f t="shared" si="65"/>
        <v>3.7533512064343126E-2</v>
      </c>
      <c r="H225" s="24">
        <v>37.049999999999997</v>
      </c>
      <c r="I225" s="24">
        <v>37.020000000000003</v>
      </c>
      <c r="J225" s="24">
        <f t="shared" si="66"/>
        <v>8.100445524502237E-4</v>
      </c>
      <c r="K225" s="24">
        <v>482501</v>
      </c>
      <c r="L225" s="24">
        <f t="shared" si="67"/>
        <v>354090000</v>
      </c>
      <c r="M225" s="24">
        <f t="shared" si="62"/>
        <v>17804286.899999999</v>
      </c>
      <c r="N225" s="24">
        <f t="shared" si="68"/>
        <v>173450000</v>
      </c>
      <c r="O225" s="24">
        <f t="shared" si="63"/>
        <v>2.7817872585759584E-3</v>
      </c>
      <c r="P225" s="24">
        <v>78539.19</v>
      </c>
      <c r="Q225" s="27">
        <v>0.19489999999999999</v>
      </c>
      <c r="R225" s="24">
        <f t="shared" si="69"/>
        <v>37896810000</v>
      </c>
      <c r="S225" s="24">
        <f t="shared" si="70"/>
        <v>5279880000</v>
      </c>
      <c r="T225" s="24">
        <f t="shared" si="71"/>
        <v>1903740000</v>
      </c>
      <c r="U225" s="24">
        <f t="shared" si="72"/>
        <v>6296540000</v>
      </c>
      <c r="V225" s="24">
        <f t="shared" si="73"/>
        <v>2959950000</v>
      </c>
      <c r="W225">
        <f t="shared" si="74"/>
        <v>0</v>
      </c>
      <c r="X225">
        <f t="shared" si="75"/>
        <v>7.8105518643917529E-2</v>
      </c>
      <c r="Y225" s="9"/>
    </row>
    <row r="226" spans="1:25" ht="16" thickBot="1">
      <c r="A226" s="184" t="s">
        <v>41</v>
      </c>
      <c r="B226" s="185"/>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6"/>
      <c r="Y226" s="9"/>
    </row>
    <row r="227" spans="1:25" ht="43.5">
      <c r="A227" s="11" t="s">
        <v>14</v>
      </c>
      <c r="B227" s="11" t="s">
        <v>15</v>
      </c>
      <c r="C227" s="12" t="s">
        <v>16</v>
      </c>
      <c r="D227" s="12" t="s">
        <v>17</v>
      </c>
      <c r="E227" s="13" t="s">
        <v>34</v>
      </c>
      <c r="F227" s="13" t="s">
        <v>13</v>
      </c>
      <c r="G227" s="12" t="s">
        <v>18</v>
      </c>
      <c r="H227" s="11" t="s">
        <v>12</v>
      </c>
      <c r="I227" s="13" t="s">
        <v>1</v>
      </c>
      <c r="J227" s="12" t="s">
        <v>19</v>
      </c>
      <c r="K227" s="11" t="s">
        <v>2</v>
      </c>
      <c r="L227" s="32" t="s">
        <v>37</v>
      </c>
      <c r="M227" s="7" t="s">
        <v>39</v>
      </c>
      <c r="N227" s="11" t="s">
        <v>35</v>
      </c>
      <c r="O227" s="7" t="s">
        <v>21</v>
      </c>
      <c r="P227" s="2" t="s">
        <v>5</v>
      </c>
      <c r="Q227" s="11" t="s">
        <v>6</v>
      </c>
      <c r="R227" s="11" t="s">
        <v>7</v>
      </c>
      <c r="S227" s="11" t="s">
        <v>29</v>
      </c>
      <c r="T227" s="11" t="s">
        <v>9</v>
      </c>
      <c r="U227" s="11" t="s">
        <v>42</v>
      </c>
      <c r="V227" s="11" t="s">
        <v>32</v>
      </c>
      <c r="W227" s="7" t="s">
        <v>73</v>
      </c>
      <c r="X227" s="7" t="s">
        <v>72</v>
      </c>
      <c r="Y227" s="9"/>
    </row>
    <row r="228" spans="1:25">
      <c r="A228" s="21">
        <v>45555</v>
      </c>
      <c r="B228" s="24">
        <v>91.15</v>
      </c>
      <c r="C228" s="29">
        <f t="shared" ref="C228:C269" si="76">IFERROR((B228-B229)/B229,0)</f>
        <v>1.2665259415620493E-2</v>
      </c>
      <c r="D228" s="24">
        <f>_xlfn.STDEV.S($C$228:$C$270)</f>
        <v>1.9640083362335768E-2</v>
      </c>
      <c r="E228" s="24">
        <v>92.5</v>
      </c>
      <c r="F228" s="24">
        <v>90</v>
      </c>
      <c r="G228" s="24">
        <f>(E228-F228)/AVERAGE(E228,F228)</f>
        <v>2.7397260273972601E-2</v>
      </c>
      <c r="H228" s="24">
        <v>90.99</v>
      </c>
      <c r="I228" s="24">
        <v>88.51</v>
      </c>
      <c r="J228" s="24">
        <f>(H228-I228)/AVERAGE(H228,I228)</f>
        <v>2.7632311977715762E-2</v>
      </c>
      <c r="K228" s="24">
        <v>1328</v>
      </c>
      <c r="L228" s="24">
        <f>372.08*1000000</f>
        <v>372080000</v>
      </c>
      <c r="M228" s="24">
        <f t="shared" ref="M228:M270" si="77">K228*B228</f>
        <v>121047.20000000001</v>
      </c>
      <c r="N228">
        <f>145.57*1000000</f>
        <v>145570000</v>
      </c>
      <c r="O228" s="24">
        <f t="shared" ref="O228:O270" si="78">K228/N228</f>
        <v>9.1227588101944089E-6</v>
      </c>
      <c r="P228" s="24">
        <v>82074.45</v>
      </c>
      <c r="Q228" s="27">
        <v>0.1741</v>
      </c>
      <c r="R228" s="24">
        <f>31774.24*1000000</f>
        <v>31774240000</v>
      </c>
      <c r="S228" s="24">
        <f>3830.41*1000000</f>
        <v>3830410000</v>
      </c>
      <c r="T228" s="24">
        <f>2499.36*1000000</f>
        <v>2499360000</v>
      </c>
      <c r="U228">
        <f>3485.44*1000000</f>
        <v>3485440000</v>
      </c>
      <c r="V228" s="24">
        <f>2699.99*1000000</f>
        <v>2699990000</v>
      </c>
      <c r="W228">
        <f>IFERROR(ABS(C228)/M228,"0")</f>
        <v>1.0463075077837812E-7</v>
      </c>
      <c r="X228">
        <f>V228/R228</f>
        <v>8.4974180342315034E-2</v>
      </c>
      <c r="Y228" s="9"/>
    </row>
    <row r="229" spans="1:25">
      <c r="A229" s="21">
        <v>45554</v>
      </c>
      <c r="B229" s="24">
        <v>90.01</v>
      </c>
      <c r="C229" s="29">
        <f t="shared" si="76"/>
        <v>-2.8599179797107615E-2</v>
      </c>
      <c r="D229" s="24">
        <f t="shared" ref="D229:D270" si="79">_xlfn.STDEV.S($C$228:$C$270)</f>
        <v>1.9640083362335768E-2</v>
      </c>
      <c r="E229" s="24">
        <v>93</v>
      </c>
      <c r="F229" s="24">
        <v>89.01</v>
      </c>
      <c r="G229" s="24">
        <f t="shared" ref="G229:G270" si="80">(E229-F229)/AVERAGE(E229,F229)</f>
        <v>4.3843744849184053E-2</v>
      </c>
      <c r="H229" s="24">
        <v>91.49</v>
      </c>
      <c r="I229" s="24">
        <v>91</v>
      </c>
      <c r="J229" s="24">
        <f t="shared" ref="J229:J270" si="81">(H229-I229)/AVERAGE(H229,I229)</f>
        <v>5.3701572688913896E-3</v>
      </c>
      <c r="K229" s="24">
        <v>4646</v>
      </c>
      <c r="L229" s="24">
        <f t="shared" ref="L229:L270" si="82">372.08*1000000</f>
        <v>372080000</v>
      </c>
      <c r="M229" s="24">
        <f t="shared" si="77"/>
        <v>418186.46</v>
      </c>
      <c r="N229">
        <f t="shared" ref="N229:N270" si="83">145.57*1000000</f>
        <v>145570000</v>
      </c>
      <c r="O229" s="24">
        <f t="shared" si="78"/>
        <v>3.1915916741086765E-5</v>
      </c>
      <c r="P229" s="24">
        <v>81459.289999999994</v>
      </c>
      <c r="Q229" s="27">
        <v>0.1741</v>
      </c>
      <c r="R229" s="24">
        <f t="shared" ref="R229:R270" si="84">31774.24*1000000</f>
        <v>31774240000</v>
      </c>
      <c r="S229" s="24">
        <f t="shared" ref="S229:S270" si="85">3830.41*1000000</f>
        <v>3830410000</v>
      </c>
      <c r="T229" s="24">
        <f t="shared" ref="T229:T270" si="86">2499.36*1000000</f>
        <v>2499360000</v>
      </c>
      <c r="U229">
        <f t="shared" ref="U229:U270" si="87">3485.44*1000000</f>
        <v>3485440000</v>
      </c>
      <c r="V229" s="24">
        <f t="shared" ref="V229:V270" si="88">2699.99*1000000</f>
        <v>2699990000</v>
      </c>
      <c r="W229">
        <f t="shared" ref="W229:W270" si="89">IFERROR(ABS(C229)/M229,"0")</f>
        <v>6.8388583879802363E-8</v>
      </c>
      <c r="X229">
        <f t="shared" ref="X229:X270" si="90">V229/R229</f>
        <v>8.4974180342315034E-2</v>
      </c>
      <c r="Y229" s="9"/>
    </row>
    <row r="230" spans="1:25">
      <c r="A230" s="21">
        <v>45553</v>
      </c>
      <c r="B230" s="24">
        <v>92.66</v>
      </c>
      <c r="C230" s="29">
        <f t="shared" si="76"/>
        <v>4.1123595505617942E-2</v>
      </c>
      <c r="D230" s="24">
        <f t="shared" si="79"/>
        <v>1.9640083362335768E-2</v>
      </c>
      <c r="E230" s="24">
        <v>94.5</v>
      </c>
      <c r="F230" s="24">
        <v>89</v>
      </c>
      <c r="G230" s="24">
        <f t="shared" si="80"/>
        <v>5.9945504087193457E-2</v>
      </c>
      <c r="H230" s="24">
        <v>92.99</v>
      </c>
      <c r="I230" s="24">
        <v>92</v>
      </c>
      <c r="J230" s="24">
        <f t="shared" si="81"/>
        <v>1.0703281258446346E-2</v>
      </c>
      <c r="K230" s="24">
        <v>151620</v>
      </c>
      <c r="L230" s="24">
        <f t="shared" si="82"/>
        <v>372080000</v>
      </c>
      <c r="M230" s="24">
        <f t="shared" si="77"/>
        <v>14049109.199999999</v>
      </c>
      <c r="N230">
        <f t="shared" si="83"/>
        <v>145570000</v>
      </c>
      <c r="O230" s="24">
        <f t="shared" si="78"/>
        <v>1.0415607611458406E-3</v>
      </c>
      <c r="P230" s="24">
        <v>80461.34</v>
      </c>
      <c r="Q230" s="27">
        <v>0.1741</v>
      </c>
      <c r="R230" s="24">
        <f t="shared" si="84"/>
        <v>31774240000</v>
      </c>
      <c r="S230" s="24">
        <f t="shared" si="85"/>
        <v>3830410000</v>
      </c>
      <c r="T230" s="24">
        <f t="shared" si="86"/>
        <v>2499360000</v>
      </c>
      <c r="U230">
        <f t="shared" si="87"/>
        <v>3485440000</v>
      </c>
      <c r="V230" s="24">
        <f t="shared" si="88"/>
        <v>2699990000</v>
      </c>
      <c r="W230">
        <f t="shared" si="89"/>
        <v>2.927131885743898E-9</v>
      </c>
      <c r="X230">
        <f t="shared" si="90"/>
        <v>8.4974180342315034E-2</v>
      </c>
      <c r="Y230" s="9"/>
    </row>
    <row r="231" spans="1:25">
      <c r="A231" s="21">
        <v>45551</v>
      </c>
      <c r="B231" s="24">
        <v>89</v>
      </c>
      <c r="C231" s="29">
        <f t="shared" si="76"/>
        <v>-4.4923629829297224E-4</v>
      </c>
      <c r="D231" s="24">
        <f t="shared" si="79"/>
        <v>1.9640083362335768E-2</v>
      </c>
      <c r="E231" s="24">
        <v>91</v>
      </c>
      <c r="F231" s="24">
        <v>89</v>
      </c>
      <c r="G231" s="24">
        <f t="shared" si="80"/>
        <v>2.2222222222222223E-2</v>
      </c>
      <c r="H231" s="24">
        <v>89.4</v>
      </c>
      <c r="I231" s="24">
        <v>89.39</v>
      </c>
      <c r="J231" s="24">
        <f t="shared" si="81"/>
        <v>1.1186307959063834E-4</v>
      </c>
      <c r="K231" s="24">
        <v>5329</v>
      </c>
      <c r="L231" s="24">
        <f t="shared" si="82"/>
        <v>372080000</v>
      </c>
      <c r="M231" s="24">
        <f t="shared" si="77"/>
        <v>474281</v>
      </c>
      <c r="N231">
        <f t="shared" si="83"/>
        <v>145570000</v>
      </c>
      <c r="O231" s="24">
        <f t="shared" si="78"/>
        <v>3.6607817544823794E-5</v>
      </c>
      <c r="P231" s="24">
        <v>79491.14</v>
      </c>
      <c r="Q231" s="27">
        <v>0.1741</v>
      </c>
      <c r="R231" s="24">
        <f t="shared" si="84"/>
        <v>31774240000</v>
      </c>
      <c r="S231" s="24">
        <f t="shared" si="85"/>
        <v>3830410000</v>
      </c>
      <c r="T231" s="24">
        <f t="shared" si="86"/>
        <v>2499360000</v>
      </c>
      <c r="U231">
        <f t="shared" si="87"/>
        <v>3485440000</v>
      </c>
      <c r="V231" s="24">
        <f t="shared" si="88"/>
        <v>2699990000</v>
      </c>
      <c r="W231">
        <f t="shared" si="89"/>
        <v>9.4719438116427241E-10</v>
      </c>
      <c r="X231">
        <f t="shared" si="90"/>
        <v>8.4974180342315034E-2</v>
      </c>
      <c r="Y231" s="9"/>
    </row>
    <row r="232" spans="1:25">
      <c r="A232" s="21">
        <v>45548</v>
      </c>
      <c r="B232" s="24">
        <v>89.04</v>
      </c>
      <c r="C232" s="29">
        <f t="shared" si="76"/>
        <v>-3.5810205908683211E-3</v>
      </c>
      <c r="D232" s="24">
        <f t="shared" si="79"/>
        <v>1.9640083362335768E-2</v>
      </c>
      <c r="E232" s="24">
        <v>94.85</v>
      </c>
      <c r="F232" s="24">
        <v>89</v>
      </c>
      <c r="G232" s="24">
        <f t="shared" si="80"/>
        <v>6.3638836007614843E-2</v>
      </c>
      <c r="H232" s="24">
        <v>90.9</v>
      </c>
      <c r="I232" s="24">
        <v>90</v>
      </c>
      <c r="J232" s="24">
        <f t="shared" si="81"/>
        <v>9.9502487562189677E-3</v>
      </c>
      <c r="K232" s="24">
        <v>1291</v>
      </c>
      <c r="L232" s="24">
        <f t="shared" si="82"/>
        <v>372080000</v>
      </c>
      <c r="M232" s="24">
        <f t="shared" si="77"/>
        <v>114950.64000000001</v>
      </c>
      <c r="N232">
        <f t="shared" si="83"/>
        <v>145570000</v>
      </c>
      <c r="O232" s="24">
        <f t="shared" si="78"/>
        <v>8.8685855602115814E-6</v>
      </c>
      <c r="P232" s="24">
        <v>79333.06</v>
      </c>
      <c r="Q232" s="27">
        <v>0.1741</v>
      </c>
      <c r="R232" s="24">
        <f t="shared" si="84"/>
        <v>31774240000</v>
      </c>
      <c r="S232" s="24">
        <f t="shared" si="85"/>
        <v>3830410000</v>
      </c>
      <c r="T232" s="24">
        <f t="shared" si="86"/>
        <v>2499360000</v>
      </c>
      <c r="U232">
        <f t="shared" si="87"/>
        <v>3485440000</v>
      </c>
      <c r="V232" s="24">
        <f t="shared" si="88"/>
        <v>2699990000</v>
      </c>
      <c r="W232">
        <f t="shared" si="89"/>
        <v>3.1152680758178647E-8</v>
      </c>
      <c r="X232">
        <f t="shared" si="90"/>
        <v>8.4974180342315034E-2</v>
      </c>
      <c r="Y232" s="9"/>
    </row>
    <row r="233" spans="1:25">
      <c r="A233" s="21">
        <v>45547</v>
      </c>
      <c r="B233" s="24">
        <v>89.36</v>
      </c>
      <c r="C233" s="29">
        <f t="shared" si="76"/>
        <v>5.513671655226678E-3</v>
      </c>
      <c r="D233" s="24">
        <f t="shared" si="79"/>
        <v>1.9640083362335768E-2</v>
      </c>
      <c r="E233" s="24">
        <v>92</v>
      </c>
      <c r="F233" s="24">
        <v>89</v>
      </c>
      <c r="G233" s="24">
        <f t="shared" si="80"/>
        <v>3.3149171270718231E-2</v>
      </c>
      <c r="H233" s="24">
        <v>90</v>
      </c>
      <c r="I233" s="24">
        <v>89</v>
      </c>
      <c r="J233" s="24">
        <f t="shared" si="81"/>
        <v>1.11731843575419E-2</v>
      </c>
      <c r="K233" s="24">
        <v>19417</v>
      </c>
      <c r="L233" s="24">
        <f t="shared" si="82"/>
        <v>372080000</v>
      </c>
      <c r="M233" s="24">
        <f t="shared" si="77"/>
        <v>1735103.1199999999</v>
      </c>
      <c r="N233">
        <f t="shared" si="83"/>
        <v>145570000</v>
      </c>
      <c r="O233" s="24">
        <f t="shared" si="78"/>
        <v>1.3338599986260905E-4</v>
      </c>
      <c r="P233" s="24">
        <v>79017.62</v>
      </c>
      <c r="Q233" s="27">
        <v>0.1741</v>
      </c>
      <c r="R233" s="24">
        <f t="shared" si="84"/>
        <v>31774240000</v>
      </c>
      <c r="S233" s="24">
        <f t="shared" si="85"/>
        <v>3830410000</v>
      </c>
      <c r="T233" s="24">
        <f t="shared" si="86"/>
        <v>2499360000</v>
      </c>
      <c r="U233">
        <f t="shared" si="87"/>
        <v>3485440000</v>
      </c>
      <c r="V233" s="24">
        <f t="shared" si="88"/>
        <v>2699990000</v>
      </c>
      <c r="W233">
        <f t="shared" si="89"/>
        <v>3.1777198667170158E-9</v>
      </c>
      <c r="X233">
        <f t="shared" si="90"/>
        <v>8.4974180342315034E-2</v>
      </c>
      <c r="Y233" s="9"/>
    </row>
    <row r="234" spans="1:25">
      <c r="A234" s="21">
        <v>45546</v>
      </c>
      <c r="B234" s="24">
        <v>88.87</v>
      </c>
      <c r="C234" s="29">
        <f t="shared" si="76"/>
        <v>2.5947653429603335E-3</v>
      </c>
      <c r="D234" s="24">
        <f t="shared" si="79"/>
        <v>1.9640083362335768E-2</v>
      </c>
      <c r="E234" s="24">
        <v>91</v>
      </c>
      <c r="F234" s="24">
        <v>88.8</v>
      </c>
      <c r="G234" s="24">
        <f t="shared" si="80"/>
        <v>2.4471635150166881E-2</v>
      </c>
      <c r="H234" s="24">
        <v>89.69</v>
      </c>
      <c r="I234" s="24">
        <v>88.82</v>
      </c>
      <c r="J234" s="24">
        <f t="shared" si="81"/>
        <v>9.7473530894628263E-3</v>
      </c>
      <c r="K234" s="24">
        <v>40062</v>
      </c>
      <c r="L234" s="24">
        <f t="shared" si="82"/>
        <v>372080000</v>
      </c>
      <c r="M234" s="24">
        <f t="shared" si="77"/>
        <v>3560309.9400000004</v>
      </c>
      <c r="N234">
        <f t="shared" si="83"/>
        <v>145570000</v>
      </c>
      <c r="O234" s="24">
        <f t="shared" si="78"/>
        <v>2.7520780380572919E-4</v>
      </c>
      <c r="P234" s="24">
        <v>78651.8</v>
      </c>
      <c r="Q234" s="27">
        <v>0.1741</v>
      </c>
      <c r="R234" s="24">
        <f t="shared" si="84"/>
        <v>31774240000</v>
      </c>
      <c r="S234" s="24">
        <f t="shared" si="85"/>
        <v>3830410000</v>
      </c>
      <c r="T234" s="24">
        <f t="shared" si="86"/>
        <v>2499360000</v>
      </c>
      <c r="U234">
        <f t="shared" si="87"/>
        <v>3485440000</v>
      </c>
      <c r="V234" s="24">
        <f t="shared" si="88"/>
        <v>2699990000</v>
      </c>
      <c r="W234">
        <f t="shared" si="89"/>
        <v>7.2880321845247358E-10</v>
      </c>
      <c r="X234">
        <f t="shared" si="90"/>
        <v>8.4974180342315034E-2</v>
      </c>
      <c r="Y234" s="9"/>
    </row>
    <row r="235" spans="1:25">
      <c r="A235" s="21">
        <v>45545</v>
      </c>
      <c r="B235" s="24">
        <v>88.64</v>
      </c>
      <c r="C235" s="29">
        <f t="shared" si="76"/>
        <v>-9.4982679629008193E-3</v>
      </c>
      <c r="D235" s="24">
        <f t="shared" si="79"/>
        <v>1.9640083362335768E-2</v>
      </c>
      <c r="E235" s="24">
        <v>92</v>
      </c>
      <c r="F235" s="24">
        <v>88</v>
      </c>
      <c r="G235" s="24">
        <f t="shared" si="80"/>
        <v>4.4444444444444446E-2</v>
      </c>
      <c r="H235" s="24">
        <v>89.5</v>
      </c>
      <c r="I235" s="24">
        <v>88.26</v>
      </c>
      <c r="J235" s="24">
        <f t="shared" si="81"/>
        <v>1.3951395139513895E-2</v>
      </c>
      <c r="K235" s="24">
        <v>5710</v>
      </c>
      <c r="L235" s="24">
        <f t="shared" si="82"/>
        <v>372080000</v>
      </c>
      <c r="M235" s="24">
        <f t="shared" si="77"/>
        <v>506134.4</v>
      </c>
      <c r="N235">
        <f t="shared" si="83"/>
        <v>145570000</v>
      </c>
      <c r="O235" s="24">
        <f t="shared" si="78"/>
        <v>3.9225115064917221E-5</v>
      </c>
      <c r="P235" s="24">
        <v>79286.740000000005</v>
      </c>
      <c r="Q235" s="27">
        <v>0.1741</v>
      </c>
      <c r="R235" s="24">
        <f t="shared" si="84"/>
        <v>31774240000</v>
      </c>
      <c r="S235" s="24">
        <f t="shared" si="85"/>
        <v>3830410000</v>
      </c>
      <c r="T235" s="24">
        <f t="shared" si="86"/>
        <v>2499360000</v>
      </c>
      <c r="U235">
        <f t="shared" si="87"/>
        <v>3485440000</v>
      </c>
      <c r="V235" s="24">
        <f t="shared" si="88"/>
        <v>2699990000</v>
      </c>
      <c r="W235">
        <f t="shared" si="89"/>
        <v>1.8766295993516385E-8</v>
      </c>
      <c r="X235">
        <f t="shared" si="90"/>
        <v>8.4974180342315034E-2</v>
      </c>
      <c r="Y235" s="9"/>
    </row>
    <row r="236" spans="1:25">
      <c r="A236" s="21">
        <v>45544</v>
      </c>
      <c r="B236" s="24">
        <v>89.49</v>
      </c>
      <c r="C236" s="29">
        <f t="shared" si="76"/>
        <v>0</v>
      </c>
      <c r="D236" s="24">
        <f t="shared" si="79"/>
        <v>1.9640083362335768E-2</v>
      </c>
      <c r="E236" s="24">
        <v>92</v>
      </c>
      <c r="F236" s="24">
        <v>88.11</v>
      </c>
      <c r="G236" s="24">
        <f t="shared" si="80"/>
        <v>4.3195824773749378E-2</v>
      </c>
      <c r="H236" s="24">
        <v>91.3</v>
      </c>
      <c r="I236" s="24">
        <v>88.25</v>
      </c>
      <c r="J236" s="24">
        <f t="shared" si="81"/>
        <v>3.3973823447507621E-2</v>
      </c>
      <c r="K236" s="24">
        <v>277</v>
      </c>
      <c r="L236" s="24">
        <f t="shared" si="82"/>
        <v>372080000</v>
      </c>
      <c r="M236" s="24">
        <f t="shared" si="77"/>
        <v>24788.73</v>
      </c>
      <c r="N236">
        <f t="shared" si="83"/>
        <v>145570000</v>
      </c>
      <c r="O236" s="24">
        <f t="shared" si="78"/>
        <v>1.9028646012227795E-6</v>
      </c>
      <c r="P236" s="24">
        <v>78615</v>
      </c>
      <c r="Q236" s="27">
        <v>0.1741</v>
      </c>
      <c r="R236" s="24">
        <f t="shared" si="84"/>
        <v>31774240000</v>
      </c>
      <c r="S236" s="24">
        <f t="shared" si="85"/>
        <v>3830410000</v>
      </c>
      <c r="T236" s="24">
        <f t="shared" si="86"/>
        <v>2499360000</v>
      </c>
      <c r="U236">
        <f t="shared" si="87"/>
        <v>3485440000</v>
      </c>
      <c r="V236" s="24">
        <f t="shared" si="88"/>
        <v>2699990000</v>
      </c>
      <c r="W236">
        <f t="shared" si="89"/>
        <v>0</v>
      </c>
      <c r="X236">
        <f t="shared" si="90"/>
        <v>8.4974180342315034E-2</v>
      </c>
      <c r="Y236" s="9"/>
    </row>
    <row r="237" spans="1:25">
      <c r="A237" s="21">
        <v>45541</v>
      </c>
      <c r="B237" s="24">
        <v>89.49</v>
      </c>
      <c r="C237" s="29">
        <f t="shared" si="76"/>
        <v>-9.4088997121984565E-3</v>
      </c>
      <c r="D237" s="24">
        <f t="shared" si="79"/>
        <v>1.9640083362335768E-2</v>
      </c>
      <c r="E237" s="24">
        <v>92.9</v>
      </c>
      <c r="F237" s="24">
        <v>88</v>
      </c>
      <c r="G237" s="24">
        <f t="shared" si="80"/>
        <v>5.4173576561636322E-2</v>
      </c>
      <c r="H237" s="24">
        <v>92.5</v>
      </c>
      <c r="I237" s="24">
        <v>90</v>
      </c>
      <c r="J237" s="24">
        <f t="shared" si="81"/>
        <v>2.7397260273972601E-2</v>
      </c>
      <c r="K237" s="24">
        <v>6665</v>
      </c>
      <c r="L237" s="24">
        <f t="shared" si="82"/>
        <v>372080000</v>
      </c>
      <c r="M237" s="24">
        <f t="shared" si="77"/>
        <v>596450.85</v>
      </c>
      <c r="N237">
        <f t="shared" si="83"/>
        <v>145570000</v>
      </c>
      <c r="O237" s="24">
        <f t="shared" si="78"/>
        <v>4.5785532733392871E-5</v>
      </c>
      <c r="P237" s="24">
        <v>78897.73</v>
      </c>
      <c r="Q237" s="27">
        <v>0.1741</v>
      </c>
      <c r="R237" s="24">
        <f t="shared" si="84"/>
        <v>31774240000</v>
      </c>
      <c r="S237" s="24">
        <f t="shared" si="85"/>
        <v>3830410000</v>
      </c>
      <c r="T237" s="24">
        <f t="shared" si="86"/>
        <v>2499360000</v>
      </c>
      <c r="U237">
        <f t="shared" si="87"/>
        <v>3485440000</v>
      </c>
      <c r="V237" s="24">
        <f t="shared" si="88"/>
        <v>2699990000</v>
      </c>
      <c r="W237">
        <f t="shared" si="89"/>
        <v>1.5774811473901759E-8</v>
      </c>
      <c r="X237">
        <f t="shared" si="90"/>
        <v>8.4974180342315034E-2</v>
      </c>
      <c r="Y237" s="9"/>
    </row>
    <row r="238" spans="1:25">
      <c r="A238" s="21">
        <v>45540</v>
      </c>
      <c r="B238" s="24">
        <v>90.34</v>
      </c>
      <c r="C238" s="29">
        <f t="shared" si="76"/>
        <v>-1.3324595893403219E-2</v>
      </c>
      <c r="D238" s="24">
        <f t="shared" si="79"/>
        <v>1.9640083362335768E-2</v>
      </c>
      <c r="E238" s="24">
        <v>94.85</v>
      </c>
      <c r="F238" s="24">
        <v>89.11</v>
      </c>
      <c r="G238" s="24">
        <f t="shared" si="80"/>
        <v>6.2404870624048654E-2</v>
      </c>
      <c r="H238" s="24">
        <v>92.5</v>
      </c>
      <c r="I238" s="24">
        <v>90.1</v>
      </c>
      <c r="J238" s="24">
        <f t="shared" si="81"/>
        <v>2.6286966046002253E-2</v>
      </c>
      <c r="K238" s="24">
        <v>1962</v>
      </c>
      <c r="L238" s="24">
        <f t="shared" si="82"/>
        <v>372080000</v>
      </c>
      <c r="M238" s="24">
        <f t="shared" si="77"/>
        <v>177247.08000000002</v>
      </c>
      <c r="N238">
        <f t="shared" si="83"/>
        <v>145570000</v>
      </c>
      <c r="O238" s="24">
        <f t="shared" si="78"/>
        <v>1.3478051796386618E-5</v>
      </c>
      <c r="P238" s="24">
        <v>78863.34</v>
      </c>
      <c r="Q238" s="27">
        <v>0.1741</v>
      </c>
      <c r="R238" s="24">
        <f t="shared" si="84"/>
        <v>31774240000</v>
      </c>
      <c r="S238" s="24">
        <f t="shared" si="85"/>
        <v>3830410000</v>
      </c>
      <c r="T238" s="24">
        <f t="shared" si="86"/>
        <v>2499360000</v>
      </c>
      <c r="U238">
        <f t="shared" si="87"/>
        <v>3485440000</v>
      </c>
      <c r="V238" s="24">
        <f t="shared" si="88"/>
        <v>2699990000</v>
      </c>
      <c r="W238">
        <f t="shared" si="89"/>
        <v>7.5175263216766211E-8</v>
      </c>
      <c r="X238">
        <f t="shared" si="90"/>
        <v>8.4974180342315034E-2</v>
      </c>
      <c r="Y238" s="9"/>
    </row>
    <row r="239" spans="1:25">
      <c r="A239" s="21">
        <v>45539</v>
      </c>
      <c r="B239" s="24">
        <v>91.56</v>
      </c>
      <c r="C239" s="29">
        <f t="shared" si="76"/>
        <v>1.249585314607979E-2</v>
      </c>
      <c r="D239" s="24">
        <f t="shared" si="79"/>
        <v>1.9640083362335768E-2</v>
      </c>
      <c r="E239" s="24">
        <v>91.92</v>
      </c>
      <c r="F239" s="24">
        <v>89.07</v>
      </c>
      <c r="G239" s="24">
        <f t="shared" si="80"/>
        <v>3.1493452676943569E-2</v>
      </c>
      <c r="H239" s="24">
        <v>91.92</v>
      </c>
      <c r="I239" s="24">
        <v>89.5</v>
      </c>
      <c r="J239" s="24">
        <f t="shared" si="81"/>
        <v>2.6678425752397768E-2</v>
      </c>
      <c r="K239" s="24">
        <v>2200</v>
      </c>
      <c r="L239" s="24">
        <f t="shared" si="82"/>
        <v>372080000</v>
      </c>
      <c r="M239" s="24">
        <f t="shared" si="77"/>
        <v>201432</v>
      </c>
      <c r="N239">
        <f t="shared" si="83"/>
        <v>145570000</v>
      </c>
      <c r="O239" s="24">
        <f t="shared" si="78"/>
        <v>1.5113004053032906E-5</v>
      </c>
      <c r="P239" s="24">
        <v>78848.009999999995</v>
      </c>
      <c r="Q239" s="27">
        <v>0.1741</v>
      </c>
      <c r="R239" s="24">
        <f t="shared" si="84"/>
        <v>31774240000</v>
      </c>
      <c r="S239" s="24">
        <f t="shared" si="85"/>
        <v>3830410000</v>
      </c>
      <c r="T239" s="24">
        <f t="shared" si="86"/>
        <v>2499360000</v>
      </c>
      <c r="U239">
        <f t="shared" si="87"/>
        <v>3485440000</v>
      </c>
      <c r="V239" s="24">
        <f t="shared" si="88"/>
        <v>2699990000</v>
      </c>
      <c r="W239">
        <f t="shared" si="89"/>
        <v>6.2035094454107541E-8</v>
      </c>
      <c r="X239">
        <f t="shared" si="90"/>
        <v>8.4974180342315034E-2</v>
      </c>
      <c r="Y239" s="9"/>
    </row>
    <row r="240" spans="1:25">
      <c r="A240" s="21">
        <v>45538</v>
      </c>
      <c r="B240" s="24">
        <v>90.43</v>
      </c>
      <c r="C240" s="29">
        <f t="shared" si="76"/>
        <v>4.7777777777778538E-3</v>
      </c>
      <c r="D240" s="24">
        <f t="shared" si="79"/>
        <v>1.9640083362335768E-2</v>
      </c>
      <c r="E240" s="24">
        <v>90.66</v>
      </c>
      <c r="F240" s="24">
        <v>89</v>
      </c>
      <c r="G240" s="24">
        <f t="shared" si="80"/>
        <v>1.8479349883112509E-2</v>
      </c>
      <c r="H240" s="24">
        <v>89.9</v>
      </c>
      <c r="I240" s="24">
        <v>89.06</v>
      </c>
      <c r="J240" s="24">
        <f t="shared" si="81"/>
        <v>9.387572641931196E-3</v>
      </c>
      <c r="K240" s="24">
        <v>1077</v>
      </c>
      <c r="L240" s="24">
        <f t="shared" si="82"/>
        <v>372080000</v>
      </c>
      <c r="M240" s="24">
        <f t="shared" si="77"/>
        <v>97393.11</v>
      </c>
      <c r="N240">
        <f t="shared" si="83"/>
        <v>145570000</v>
      </c>
      <c r="O240" s="24">
        <f t="shared" si="78"/>
        <v>7.3985024386892901E-6</v>
      </c>
      <c r="P240" s="24">
        <v>78356.320000000007</v>
      </c>
      <c r="Q240" s="27">
        <v>0.17469999999999999</v>
      </c>
      <c r="R240" s="24">
        <f t="shared" si="84"/>
        <v>31774240000</v>
      </c>
      <c r="S240" s="24">
        <f t="shared" si="85"/>
        <v>3830410000</v>
      </c>
      <c r="T240" s="24">
        <f t="shared" si="86"/>
        <v>2499360000</v>
      </c>
      <c r="U240">
        <f t="shared" si="87"/>
        <v>3485440000</v>
      </c>
      <c r="V240" s="24">
        <f t="shared" si="88"/>
        <v>2699990000</v>
      </c>
      <c r="W240">
        <f t="shared" si="89"/>
        <v>4.9056630163857116E-8</v>
      </c>
      <c r="X240">
        <f t="shared" si="90"/>
        <v>8.4974180342315034E-2</v>
      </c>
      <c r="Y240" s="9"/>
    </row>
    <row r="241" spans="1:25">
      <c r="A241" s="21">
        <v>45537</v>
      </c>
      <c r="B241" s="24">
        <v>90</v>
      </c>
      <c r="C241" s="29">
        <f t="shared" si="76"/>
        <v>1.0781671159029579E-2</v>
      </c>
      <c r="D241" s="24">
        <f t="shared" si="79"/>
        <v>1.9640083362335768E-2</v>
      </c>
      <c r="E241" s="24">
        <v>93</v>
      </c>
      <c r="F241" s="24">
        <v>89</v>
      </c>
      <c r="G241" s="24">
        <f t="shared" si="80"/>
        <v>4.3956043956043959E-2</v>
      </c>
      <c r="H241" s="24">
        <v>90.43</v>
      </c>
      <c r="I241" s="24">
        <v>90</v>
      </c>
      <c r="J241" s="24">
        <f t="shared" si="81"/>
        <v>4.7663913983262965E-3</v>
      </c>
      <c r="K241" s="24">
        <v>16651</v>
      </c>
      <c r="L241" s="24">
        <f t="shared" si="82"/>
        <v>372080000</v>
      </c>
      <c r="M241" s="24">
        <f t="shared" si="77"/>
        <v>1498590</v>
      </c>
      <c r="N241">
        <f t="shared" si="83"/>
        <v>145570000</v>
      </c>
      <c r="O241" s="24">
        <f t="shared" si="78"/>
        <v>1.143848320395686E-4</v>
      </c>
      <c r="P241" s="24">
        <v>78283.3</v>
      </c>
      <c r="Q241" s="27">
        <v>0.17469999999999999</v>
      </c>
      <c r="R241" s="24">
        <f t="shared" si="84"/>
        <v>31774240000</v>
      </c>
      <c r="S241" s="24">
        <f t="shared" si="85"/>
        <v>3830410000</v>
      </c>
      <c r="T241" s="24">
        <f t="shared" si="86"/>
        <v>2499360000</v>
      </c>
      <c r="U241">
        <f t="shared" si="87"/>
        <v>3485440000</v>
      </c>
      <c r="V241" s="24">
        <f t="shared" si="88"/>
        <v>2699990000</v>
      </c>
      <c r="W241">
        <f t="shared" si="89"/>
        <v>7.1945436437114746E-9</v>
      </c>
      <c r="X241">
        <f t="shared" si="90"/>
        <v>8.4974180342315034E-2</v>
      </c>
      <c r="Y241" s="9"/>
    </row>
    <row r="242" spans="1:25">
      <c r="A242" s="21">
        <v>45534</v>
      </c>
      <c r="B242" s="24">
        <v>89.04</v>
      </c>
      <c r="C242" s="29">
        <f t="shared" si="76"/>
        <v>-3.3681374200052687E-4</v>
      </c>
      <c r="D242" s="24">
        <f t="shared" si="79"/>
        <v>1.9640083362335768E-2</v>
      </c>
      <c r="E242" s="24">
        <v>89.9</v>
      </c>
      <c r="F242" s="24">
        <v>89</v>
      </c>
      <c r="G242" s="24">
        <f t="shared" si="80"/>
        <v>1.006148686416999E-2</v>
      </c>
      <c r="H242" s="24">
        <v>89.9</v>
      </c>
      <c r="I242" s="24">
        <v>89.01</v>
      </c>
      <c r="J242" s="24">
        <f t="shared" si="81"/>
        <v>9.9491364373148553E-3</v>
      </c>
      <c r="K242" s="24">
        <v>9302</v>
      </c>
      <c r="L242" s="24">
        <f t="shared" si="82"/>
        <v>372080000</v>
      </c>
      <c r="M242" s="24">
        <f t="shared" si="77"/>
        <v>828250.08000000007</v>
      </c>
      <c r="N242">
        <f t="shared" si="83"/>
        <v>145570000</v>
      </c>
      <c r="O242" s="24">
        <f t="shared" si="78"/>
        <v>6.3900528955141862E-5</v>
      </c>
      <c r="P242" s="24">
        <v>78488.22</v>
      </c>
      <c r="Q242" s="27">
        <v>0.17469999999999999</v>
      </c>
      <c r="R242" s="24">
        <f t="shared" si="84"/>
        <v>31774240000</v>
      </c>
      <c r="S242" s="24">
        <f t="shared" si="85"/>
        <v>3830410000</v>
      </c>
      <c r="T242" s="24">
        <f t="shared" si="86"/>
        <v>2499360000</v>
      </c>
      <c r="U242">
        <f t="shared" si="87"/>
        <v>3485440000</v>
      </c>
      <c r="V242" s="24">
        <f t="shared" si="88"/>
        <v>2699990000</v>
      </c>
      <c r="W242">
        <f t="shared" si="89"/>
        <v>4.0665705942404117E-10</v>
      </c>
      <c r="X242">
        <f t="shared" si="90"/>
        <v>8.4974180342315034E-2</v>
      </c>
      <c r="Y242" s="9"/>
    </row>
    <row r="243" spans="1:25">
      <c r="A243" s="21">
        <v>45533</v>
      </c>
      <c r="B243" s="24">
        <v>89.07</v>
      </c>
      <c r="C243" s="29">
        <f t="shared" si="76"/>
        <v>-8.3500334001336014E-3</v>
      </c>
      <c r="D243" s="24">
        <f t="shared" si="79"/>
        <v>1.9640083362335768E-2</v>
      </c>
      <c r="E243" s="24">
        <v>90.9</v>
      </c>
      <c r="F243" s="24">
        <v>89</v>
      </c>
      <c r="G243" s="24">
        <f t="shared" si="80"/>
        <v>2.1122846025569825E-2</v>
      </c>
      <c r="H243" s="24">
        <v>90.5</v>
      </c>
      <c r="I243" s="24">
        <v>89.07</v>
      </c>
      <c r="J243" s="24">
        <f t="shared" si="81"/>
        <v>1.5926936570696743E-2</v>
      </c>
      <c r="K243" s="24">
        <v>14060</v>
      </c>
      <c r="L243" s="24">
        <f t="shared" si="82"/>
        <v>372080000</v>
      </c>
      <c r="M243" s="24">
        <f t="shared" si="77"/>
        <v>1252324.2</v>
      </c>
      <c r="N243">
        <f t="shared" si="83"/>
        <v>145570000</v>
      </c>
      <c r="O243" s="24">
        <f t="shared" si="78"/>
        <v>9.6585834993473925E-5</v>
      </c>
      <c r="P243" s="24">
        <v>78349.66</v>
      </c>
      <c r="Q243" s="27">
        <v>0.17469999999999999</v>
      </c>
      <c r="R243" s="24">
        <f t="shared" si="84"/>
        <v>31774240000</v>
      </c>
      <c r="S243" s="24">
        <f t="shared" si="85"/>
        <v>3830410000</v>
      </c>
      <c r="T243" s="24">
        <f t="shared" si="86"/>
        <v>2499360000</v>
      </c>
      <c r="U243">
        <f t="shared" si="87"/>
        <v>3485440000</v>
      </c>
      <c r="V243" s="24">
        <f t="shared" si="88"/>
        <v>2699990000</v>
      </c>
      <c r="W243">
        <f t="shared" si="89"/>
        <v>6.6676291970829929E-9</v>
      </c>
      <c r="X243">
        <f t="shared" si="90"/>
        <v>8.4974180342315034E-2</v>
      </c>
      <c r="Y243" s="9"/>
    </row>
    <row r="244" spans="1:25">
      <c r="A244" s="21">
        <v>45532</v>
      </c>
      <c r="B244" s="24">
        <v>89.82</v>
      </c>
      <c r="C244" s="29">
        <f t="shared" si="76"/>
        <v>1.6523313716613783E-2</v>
      </c>
      <c r="D244" s="24">
        <f t="shared" si="79"/>
        <v>1.9640083362335768E-2</v>
      </c>
      <c r="E244" s="24">
        <v>91</v>
      </c>
      <c r="F244" s="24">
        <v>88</v>
      </c>
      <c r="G244" s="24">
        <f t="shared" si="80"/>
        <v>3.3519553072625698E-2</v>
      </c>
      <c r="H244" s="24">
        <v>90.3</v>
      </c>
      <c r="I244" s="24">
        <v>89.1</v>
      </c>
      <c r="J244" s="24">
        <f t="shared" si="81"/>
        <v>1.3377926421404715E-2</v>
      </c>
      <c r="K244" s="24">
        <v>19519</v>
      </c>
      <c r="L244" s="24">
        <f t="shared" si="82"/>
        <v>372080000</v>
      </c>
      <c r="M244" s="24">
        <f t="shared" si="77"/>
        <v>1753196.5799999998</v>
      </c>
      <c r="N244">
        <f t="shared" si="83"/>
        <v>145570000</v>
      </c>
      <c r="O244" s="24">
        <f t="shared" si="78"/>
        <v>1.3408669368688604E-4</v>
      </c>
      <c r="P244" s="24">
        <v>77992.789999999994</v>
      </c>
      <c r="Q244" s="27">
        <v>0.17469999999999999</v>
      </c>
      <c r="R244" s="24">
        <f t="shared" si="84"/>
        <v>31774240000</v>
      </c>
      <c r="S244" s="24">
        <f t="shared" si="85"/>
        <v>3830410000</v>
      </c>
      <c r="T244" s="24">
        <f t="shared" si="86"/>
        <v>2499360000</v>
      </c>
      <c r="U244">
        <f t="shared" si="87"/>
        <v>3485440000</v>
      </c>
      <c r="V244" s="24">
        <f t="shared" si="88"/>
        <v>2699990000</v>
      </c>
      <c r="W244">
        <f t="shared" si="89"/>
        <v>9.4246782734505365E-9</v>
      </c>
      <c r="X244">
        <f t="shared" si="90"/>
        <v>8.4974180342315034E-2</v>
      </c>
      <c r="Y244" s="9"/>
    </row>
    <row r="245" spans="1:25">
      <c r="A245" s="21">
        <v>45531</v>
      </c>
      <c r="B245" s="24">
        <v>88.36</v>
      </c>
      <c r="C245" s="29">
        <f t="shared" si="76"/>
        <v>-1.4609122337459599E-2</v>
      </c>
      <c r="D245" s="24">
        <f t="shared" si="79"/>
        <v>1.9640083362335768E-2</v>
      </c>
      <c r="E245" s="24">
        <v>88.5</v>
      </c>
      <c r="F245" s="24">
        <v>88</v>
      </c>
      <c r="G245" s="24">
        <f t="shared" si="80"/>
        <v>5.6657223796033997E-3</v>
      </c>
      <c r="H245" s="24">
        <v>89.99</v>
      </c>
      <c r="I245" s="24">
        <v>89.5</v>
      </c>
      <c r="J245" s="24">
        <f t="shared" si="81"/>
        <v>5.4599142013482069E-3</v>
      </c>
      <c r="K245" s="24">
        <v>3711</v>
      </c>
      <c r="L245" s="24">
        <f t="shared" si="82"/>
        <v>372080000</v>
      </c>
      <c r="M245" s="24">
        <f t="shared" si="77"/>
        <v>327903.96000000002</v>
      </c>
      <c r="N245">
        <f t="shared" si="83"/>
        <v>145570000</v>
      </c>
      <c r="O245" s="24">
        <f t="shared" si="78"/>
        <v>2.5492890018547779E-5</v>
      </c>
      <c r="P245" s="24">
        <v>78084.240000000005</v>
      </c>
      <c r="Q245" s="27">
        <v>0.17469999999999999</v>
      </c>
      <c r="R245" s="24">
        <f t="shared" si="84"/>
        <v>31774240000</v>
      </c>
      <c r="S245" s="24">
        <f t="shared" si="85"/>
        <v>3830410000</v>
      </c>
      <c r="T245" s="24">
        <f t="shared" si="86"/>
        <v>2499360000</v>
      </c>
      <c r="U245">
        <f t="shared" si="87"/>
        <v>3485440000</v>
      </c>
      <c r="V245" s="24">
        <f t="shared" si="88"/>
        <v>2699990000</v>
      </c>
      <c r="W245">
        <f t="shared" si="89"/>
        <v>4.455305247749859E-8</v>
      </c>
      <c r="X245">
        <f t="shared" si="90"/>
        <v>8.4974180342315034E-2</v>
      </c>
      <c r="Y245" s="9"/>
    </row>
    <row r="246" spans="1:25">
      <c r="A246" s="21">
        <v>45530</v>
      </c>
      <c r="B246" s="24">
        <v>89.67</v>
      </c>
      <c r="C246" s="29">
        <f t="shared" si="76"/>
        <v>1.839863713798983E-2</v>
      </c>
      <c r="D246" s="24">
        <f t="shared" si="79"/>
        <v>1.9640083362335768E-2</v>
      </c>
      <c r="E246" s="24">
        <v>91.98</v>
      </c>
      <c r="F246" s="24">
        <v>88</v>
      </c>
      <c r="G246" s="24">
        <f t="shared" si="80"/>
        <v>4.4227136348483208E-2</v>
      </c>
      <c r="H246" s="24">
        <v>89.95</v>
      </c>
      <c r="I246" s="24">
        <v>89.5</v>
      </c>
      <c r="J246" s="24">
        <f t="shared" si="81"/>
        <v>5.0153246029535012E-3</v>
      </c>
      <c r="K246" s="24">
        <v>3076</v>
      </c>
      <c r="L246" s="24">
        <f t="shared" si="82"/>
        <v>372080000</v>
      </c>
      <c r="M246" s="24">
        <f t="shared" si="77"/>
        <v>275824.92</v>
      </c>
      <c r="N246">
        <f t="shared" si="83"/>
        <v>145570000</v>
      </c>
      <c r="O246" s="24">
        <f t="shared" si="78"/>
        <v>2.1130727485058735E-5</v>
      </c>
      <c r="P246" s="24">
        <v>78571.06</v>
      </c>
      <c r="Q246" s="27">
        <v>0.17469999999999999</v>
      </c>
      <c r="R246" s="24">
        <f t="shared" si="84"/>
        <v>31774240000</v>
      </c>
      <c r="S246" s="24">
        <f t="shared" si="85"/>
        <v>3830410000</v>
      </c>
      <c r="T246" s="24">
        <f t="shared" si="86"/>
        <v>2499360000</v>
      </c>
      <c r="U246">
        <f t="shared" si="87"/>
        <v>3485440000</v>
      </c>
      <c r="V246" s="24">
        <f t="shared" si="88"/>
        <v>2699990000</v>
      </c>
      <c r="W246">
        <f t="shared" si="89"/>
        <v>6.6704042325072842E-8</v>
      </c>
      <c r="X246">
        <f t="shared" si="90"/>
        <v>8.4974180342315034E-2</v>
      </c>
      <c r="Y246" s="9"/>
    </row>
    <row r="247" spans="1:25">
      <c r="A247" s="21">
        <v>45527</v>
      </c>
      <c r="B247" s="24">
        <v>88.05</v>
      </c>
      <c r="C247" s="29">
        <f t="shared" si="76"/>
        <v>-2.1666666666666699E-2</v>
      </c>
      <c r="D247" s="24">
        <f t="shared" si="79"/>
        <v>1.9640083362335768E-2</v>
      </c>
      <c r="E247" s="24">
        <v>94</v>
      </c>
      <c r="F247" s="24">
        <v>88.01</v>
      </c>
      <c r="G247" s="24">
        <f t="shared" si="80"/>
        <v>6.5820559309927973E-2</v>
      </c>
      <c r="H247" s="24">
        <v>88.5</v>
      </c>
      <c r="I247" s="24">
        <v>88.49</v>
      </c>
      <c r="J247" s="24">
        <f t="shared" si="81"/>
        <v>1.1300073450483209E-4</v>
      </c>
      <c r="K247" s="24">
        <v>1238</v>
      </c>
      <c r="L247" s="24">
        <f t="shared" si="82"/>
        <v>372080000</v>
      </c>
      <c r="M247" s="24">
        <f t="shared" si="77"/>
        <v>109005.9</v>
      </c>
      <c r="N247">
        <f t="shared" si="83"/>
        <v>145570000</v>
      </c>
      <c r="O247" s="24">
        <f t="shared" si="78"/>
        <v>8.5044995534794258E-6</v>
      </c>
      <c r="P247" s="24">
        <v>78801.429999999993</v>
      </c>
      <c r="Q247" s="27">
        <v>0.17469999999999999</v>
      </c>
      <c r="R247" s="24">
        <f t="shared" si="84"/>
        <v>31774240000</v>
      </c>
      <c r="S247" s="24">
        <f t="shared" si="85"/>
        <v>3830410000</v>
      </c>
      <c r="T247" s="24">
        <f t="shared" si="86"/>
        <v>2499360000</v>
      </c>
      <c r="U247">
        <f t="shared" si="87"/>
        <v>3485440000</v>
      </c>
      <c r="V247" s="24">
        <f t="shared" si="88"/>
        <v>2699990000</v>
      </c>
      <c r="W247">
        <f t="shared" si="89"/>
        <v>1.9876599951623444E-7</v>
      </c>
      <c r="X247">
        <f t="shared" si="90"/>
        <v>8.4974180342315034E-2</v>
      </c>
      <c r="Y247" s="9"/>
    </row>
    <row r="248" spans="1:25">
      <c r="A248" s="21">
        <v>45526</v>
      </c>
      <c r="B248" s="24">
        <v>90</v>
      </c>
      <c r="C248" s="29">
        <f t="shared" si="76"/>
        <v>0</v>
      </c>
      <c r="D248" s="24">
        <f t="shared" si="79"/>
        <v>1.9640083362335768E-2</v>
      </c>
      <c r="E248" s="24">
        <v>88.85</v>
      </c>
      <c r="F248" s="24">
        <v>88.1</v>
      </c>
      <c r="G248" s="24">
        <f t="shared" si="80"/>
        <v>8.4769708957332587E-3</v>
      </c>
      <c r="H248" s="24">
        <v>88.81</v>
      </c>
      <c r="I248" s="24">
        <v>88.11</v>
      </c>
      <c r="J248" s="24">
        <f t="shared" si="81"/>
        <v>7.9131810988017498E-3</v>
      </c>
      <c r="K248" s="24">
        <v>197</v>
      </c>
      <c r="L248" s="24">
        <f t="shared" si="82"/>
        <v>372080000</v>
      </c>
      <c r="M248" s="24">
        <f t="shared" si="77"/>
        <v>17730</v>
      </c>
      <c r="N248">
        <f t="shared" si="83"/>
        <v>145570000</v>
      </c>
      <c r="O248" s="24">
        <f t="shared" si="78"/>
        <v>1.3533008174761284E-6</v>
      </c>
      <c r="P248" s="24">
        <v>78793.41</v>
      </c>
      <c r="Q248" s="27">
        <v>0.17469999999999999</v>
      </c>
      <c r="R248" s="24">
        <f t="shared" si="84"/>
        <v>31774240000</v>
      </c>
      <c r="S248" s="24">
        <f t="shared" si="85"/>
        <v>3830410000</v>
      </c>
      <c r="T248" s="24">
        <f t="shared" si="86"/>
        <v>2499360000</v>
      </c>
      <c r="U248">
        <f t="shared" si="87"/>
        <v>3485440000</v>
      </c>
      <c r="V248" s="24">
        <f t="shared" si="88"/>
        <v>2699990000</v>
      </c>
      <c r="W248">
        <f t="shared" si="89"/>
        <v>0</v>
      </c>
      <c r="X248">
        <f t="shared" si="90"/>
        <v>8.4974180342315034E-2</v>
      </c>
      <c r="Y248" s="9"/>
    </row>
    <row r="249" spans="1:25">
      <c r="A249" s="21">
        <v>45525</v>
      </c>
      <c r="B249" s="24">
        <v>90</v>
      </c>
      <c r="C249" s="29">
        <f t="shared" si="76"/>
        <v>2.2378734522321923E-2</v>
      </c>
      <c r="D249" s="24">
        <f t="shared" si="79"/>
        <v>1.9640083362335768E-2</v>
      </c>
      <c r="E249" s="24">
        <v>90.92</v>
      </c>
      <c r="F249" s="24">
        <v>90</v>
      </c>
      <c r="G249" s="24">
        <f t="shared" si="80"/>
        <v>1.0170240990493053E-2</v>
      </c>
      <c r="H249" s="24">
        <v>90.85</v>
      </c>
      <c r="I249" s="24">
        <v>88.51</v>
      </c>
      <c r="J249" s="24">
        <f t="shared" si="81"/>
        <v>2.6092774308652866E-2</v>
      </c>
      <c r="K249" s="24">
        <v>502</v>
      </c>
      <c r="L249" s="24">
        <f t="shared" si="82"/>
        <v>372080000</v>
      </c>
      <c r="M249" s="24">
        <f t="shared" si="77"/>
        <v>45180</v>
      </c>
      <c r="N249">
        <f t="shared" si="83"/>
        <v>145570000</v>
      </c>
      <c r="O249" s="24">
        <f t="shared" si="78"/>
        <v>3.4485127430102358E-6</v>
      </c>
      <c r="P249" s="24">
        <v>78260.86</v>
      </c>
      <c r="Q249" s="27">
        <v>0.17469999999999999</v>
      </c>
      <c r="R249" s="24">
        <f t="shared" si="84"/>
        <v>31774240000</v>
      </c>
      <c r="S249" s="24">
        <f t="shared" si="85"/>
        <v>3830410000</v>
      </c>
      <c r="T249" s="24">
        <f t="shared" si="86"/>
        <v>2499360000</v>
      </c>
      <c r="U249">
        <f t="shared" si="87"/>
        <v>3485440000</v>
      </c>
      <c r="V249" s="24">
        <f t="shared" si="88"/>
        <v>2699990000</v>
      </c>
      <c r="W249">
        <f t="shared" si="89"/>
        <v>4.9532391594338028E-7</v>
      </c>
      <c r="X249">
        <f t="shared" si="90"/>
        <v>8.4974180342315034E-2</v>
      </c>
      <c r="Y249" s="9"/>
    </row>
    <row r="250" spans="1:25">
      <c r="A250" s="21">
        <v>45524</v>
      </c>
      <c r="B250" s="24">
        <v>88.03</v>
      </c>
      <c r="C250" s="29">
        <f t="shared" si="76"/>
        <v>2.6195899772210023E-3</v>
      </c>
      <c r="D250" s="24">
        <f t="shared" si="79"/>
        <v>1.9640083362335768E-2</v>
      </c>
      <c r="E250" s="24">
        <v>91.99</v>
      </c>
      <c r="F250" s="24">
        <v>88</v>
      </c>
      <c r="G250" s="24">
        <f t="shared" si="80"/>
        <v>4.4335796433135115E-2</v>
      </c>
      <c r="H250" s="24">
        <v>89</v>
      </c>
      <c r="I250" s="24">
        <v>88.99</v>
      </c>
      <c r="J250" s="24">
        <f t="shared" si="81"/>
        <v>1.1236586325080191E-4</v>
      </c>
      <c r="K250" s="24">
        <v>1145</v>
      </c>
      <c r="L250" s="24">
        <f t="shared" si="82"/>
        <v>372080000</v>
      </c>
      <c r="M250" s="24">
        <f t="shared" si="77"/>
        <v>100794.35</v>
      </c>
      <c r="N250">
        <f t="shared" si="83"/>
        <v>145570000</v>
      </c>
      <c r="O250" s="24">
        <f t="shared" si="78"/>
        <v>7.8656316548739444E-6</v>
      </c>
      <c r="P250" s="24">
        <v>77745.52</v>
      </c>
      <c r="Q250" s="27">
        <v>0.189</v>
      </c>
      <c r="R250" s="24">
        <f t="shared" si="84"/>
        <v>31774240000</v>
      </c>
      <c r="S250" s="24">
        <f t="shared" si="85"/>
        <v>3830410000</v>
      </c>
      <c r="T250" s="24">
        <f t="shared" si="86"/>
        <v>2499360000</v>
      </c>
      <c r="U250">
        <f t="shared" si="87"/>
        <v>3485440000</v>
      </c>
      <c r="V250" s="24">
        <f t="shared" si="88"/>
        <v>2699990000</v>
      </c>
      <c r="W250">
        <f t="shared" si="89"/>
        <v>2.5989452555832765E-8</v>
      </c>
      <c r="X250">
        <f t="shared" si="90"/>
        <v>8.4974180342315034E-2</v>
      </c>
      <c r="Y250" s="9"/>
    </row>
    <row r="251" spans="1:25">
      <c r="A251" s="21">
        <v>45523</v>
      </c>
      <c r="B251" s="24">
        <v>87.8</v>
      </c>
      <c r="C251" s="29">
        <f t="shared" si="76"/>
        <v>-2.4444444444444477E-2</v>
      </c>
      <c r="D251" s="24">
        <f t="shared" si="79"/>
        <v>1.9640083362335768E-2</v>
      </c>
      <c r="E251" s="24">
        <v>91.7</v>
      </c>
      <c r="F251" s="24">
        <v>87.15</v>
      </c>
      <c r="G251" s="24">
        <f t="shared" si="80"/>
        <v>5.0880626223091939E-2</v>
      </c>
      <c r="H251" s="24">
        <v>88.9</v>
      </c>
      <c r="I251" s="24">
        <v>88</v>
      </c>
      <c r="J251" s="24">
        <f t="shared" si="81"/>
        <v>1.0175240248728158E-2</v>
      </c>
      <c r="K251" s="24">
        <v>6062</v>
      </c>
      <c r="L251" s="24">
        <f t="shared" si="82"/>
        <v>372080000</v>
      </c>
      <c r="M251" s="24">
        <f t="shared" si="77"/>
        <v>532243.6</v>
      </c>
      <c r="N251">
        <f t="shared" si="83"/>
        <v>145570000</v>
      </c>
      <c r="O251" s="24">
        <f t="shared" si="78"/>
        <v>4.1643195713402489E-5</v>
      </c>
      <c r="P251" s="24">
        <v>77830.34</v>
      </c>
      <c r="Q251" s="27">
        <v>0.189</v>
      </c>
      <c r="R251" s="24">
        <f t="shared" si="84"/>
        <v>31774240000</v>
      </c>
      <c r="S251" s="24">
        <f t="shared" si="85"/>
        <v>3830410000</v>
      </c>
      <c r="T251" s="24">
        <f t="shared" si="86"/>
        <v>2499360000</v>
      </c>
      <c r="U251">
        <f t="shared" si="87"/>
        <v>3485440000</v>
      </c>
      <c r="V251" s="24">
        <f t="shared" si="88"/>
        <v>2699990000</v>
      </c>
      <c r="W251">
        <f t="shared" si="89"/>
        <v>4.5927174031673613E-8</v>
      </c>
      <c r="X251">
        <f t="shared" si="90"/>
        <v>8.4974180342315034E-2</v>
      </c>
      <c r="Y251" s="9"/>
    </row>
    <row r="252" spans="1:25">
      <c r="A252" s="21">
        <v>45520</v>
      </c>
      <c r="B252" s="24">
        <v>90</v>
      </c>
      <c r="C252" s="29">
        <f t="shared" si="76"/>
        <v>2.2727272727272728E-2</v>
      </c>
      <c r="D252" s="24">
        <f t="shared" si="79"/>
        <v>1.9640083362335768E-2</v>
      </c>
      <c r="E252" s="24">
        <v>93</v>
      </c>
      <c r="F252" s="24">
        <v>80.099999999999994</v>
      </c>
      <c r="G252" s="24">
        <f t="shared" si="80"/>
        <v>0.14904679376083196</v>
      </c>
      <c r="H252" s="24">
        <v>89.5</v>
      </c>
      <c r="I252" s="24">
        <v>88.01</v>
      </c>
      <c r="J252" s="24">
        <f t="shared" si="81"/>
        <v>1.6787786603571574E-2</v>
      </c>
      <c r="K252" s="24">
        <v>26025</v>
      </c>
      <c r="L252" s="24">
        <f t="shared" si="82"/>
        <v>372080000</v>
      </c>
      <c r="M252" s="24">
        <f t="shared" si="77"/>
        <v>2342250</v>
      </c>
      <c r="N252">
        <f t="shared" si="83"/>
        <v>145570000</v>
      </c>
      <c r="O252" s="24">
        <f t="shared" si="78"/>
        <v>1.7877996840008243E-4</v>
      </c>
      <c r="P252" s="24">
        <v>78045.31</v>
      </c>
      <c r="Q252" s="27">
        <v>0.189</v>
      </c>
      <c r="R252" s="24">
        <f t="shared" si="84"/>
        <v>31774240000</v>
      </c>
      <c r="S252" s="24">
        <f t="shared" si="85"/>
        <v>3830410000</v>
      </c>
      <c r="T252" s="24">
        <f t="shared" si="86"/>
        <v>2499360000</v>
      </c>
      <c r="U252">
        <f t="shared" si="87"/>
        <v>3485440000</v>
      </c>
      <c r="V252" s="24">
        <f t="shared" si="88"/>
        <v>2699990000</v>
      </c>
      <c r="W252">
        <f t="shared" si="89"/>
        <v>9.7031797319981754E-9</v>
      </c>
      <c r="X252">
        <f t="shared" si="90"/>
        <v>8.4974180342315034E-2</v>
      </c>
      <c r="Y252" s="9"/>
    </row>
    <row r="253" spans="1:25">
      <c r="A253" s="21">
        <v>45519</v>
      </c>
      <c r="B253" s="24">
        <v>88</v>
      </c>
      <c r="C253" s="29">
        <f t="shared" si="76"/>
        <v>3.4102534955099623E-4</v>
      </c>
      <c r="D253" s="24">
        <f t="shared" si="79"/>
        <v>1.9640083362335768E-2</v>
      </c>
      <c r="E253" s="24">
        <v>89.5</v>
      </c>
      <c r="F253" s="24">
        <v>88</v>
      </c>
      <c r="G253" s="24">
        <f t="shared" si="80"/>
        <v>1.6901408450704224E-2</v>
      </c>
      <c r="H253" s="24">
        <v>89.88</v>
      </c>
      <c r="I253" s="24">
        <v>88</v>
      </c>
      <c r="J253" s="24">
        <f t="shared" si="81"/>
        <v>2.1137845738700197E-2</v>
      </c>
      <c r="K253" s="24">
        <v>306251</v>
      </c>
      <c r="L253" s="24">
        <f t="shared" si="82"/>
        <v>372080000</v>
      </c>
      <c r="M253" s="24">
        <f t="shared" si="77"/>
        <v>26950088</v>
      </c>
      <c r="N253">
        <f t="shared" si="83"/>
        <v>145570000</v>
      </c>
      <c r="O253" s="24">
        <f t="shared" si="78"/>
        <v>2.1038057292024456E-3</v>
      </c>
      <c r="P253" s="24">
        <v>78105.98</v>
      </c>
      <c r="Q253" s="27">
        <v>0.189</v>
      </c>
      <c r="R253" s="24">
        <f t="shared" si="84"/>
        <v>31774240000</v>
      </c>
      <c r="S253" s="24">
        <f t="shared" si="85"/>
        <v>3830410000</v>
      </c>
      <c r="T253" s="24">
        <f t="shared" si="86"/>
        <v>2499360000</v>
      </c>
      <c r="U253">
        <f t="shared" si="87"/>
        <v>3485440000</v>
      </c>
      <c r="V253" s="24">
        <f t="shared" si="88"/>
        <v>2699990000</v>
      </c>
      <c r="W253">
        <f t="shared" si="89"/>
        <v>1.265396051957219E-11</v>
      </c>
      <c r="X253">
        <f t="shared" si="90"/>
        <v>8.4974180342315034E-2</v>
      </c>
      <c r="Y253" s="9"/>
    </row>
    <row r="254" spans="1:25">
      <c r="A254" s="21">
        <v>45517</v>
      </c>
      <c r="B254" s="24">
        <v>87.97</v>
      </c>
      <c r="C254" s="29">
        <f t="shared" si="76"/>
        <v>-6.8158582301490716E-4</v>
      </c>
      <c r="D254" s="24">
        <f t="shared" si="79"/>
        <v>1.9640083362335768E-2</v>
      </c>
      <c r="E254" s="24">
        <v>88</v>
      </c>
      <c r="F254" s="24">
        <v>87</v>
      </c>
      <c r="G254" s="24">
        <f t="shared" si="80"/>
        <v>1.1428571428571429E-2</v>
      </c>
      <c r="H254" s="24">
        <v>88.35</v>
      </c>
      <c r="I254" s="24">
        <v>87.3</v>
      </c>
      <c r="J254" s="24">
        <f t="shared" si="81"/>
        <v>1.1955593509820636E-2</v>
      </c>
      <c r="K254" s="24">
        <v>5536</v>
      </c>
      <c r="L254" s="24">
        <f t="shared" si="82"/>
        <v>372080000</v>
      </c>
      <c r="M254" s="24">
        <f t="shared" si="77"/>
        <v>487001.92</v>
      </c>
      <c r="N254">
        <f t="shared" si="83"/>
        <v>145570000</v>
      </c>
      <c r="O254" s="24">
        <f t="shared" si="78"/>
        <v>3.8029813835268258E-5</v>
      </c>
      <c r="P254" s="24">
        <v>77877.42</v>
      </c>
      <c r="Q254" s="27">
        <v>0.189</v>
      </c>
      <c r="R254" s="24">
        <f t="shared" si="84"/>
        <v>31774240000</v>
      </c>
      <c r="S254" s="24">
        <f t="shared" si="85"/>
        <v>3830410000</v>
      </c>
      <c r="T254" s="24">
        <f t="shared" si="86"/>
        <v>2499360000</v>
      </c>
      <c r="U254">
        <f t="shared" si="87"/>
        <v>3485440000</v>
      </c>
      <c r="V254" s="24">
        <f t="shared" si="88"/>
        <v>2699990000</v>
      </c>
      <c r="W254">
        <f t="shared" si="89"/>
        <v>1.3995546937780188E-9</v>
      </c>
      <c r="X254">
        <f t="shared" si="90"/>
        <v>8.4974180342315034E-2</v>
      </c>
      <c r="Y254" s="9"/>
    </row>
    <row r="255" spans="1:25">
      <c r="A255" s="21">
        <v>45516</v>
      </c>
      <c r="B255" s="24">
        <v>88.03</v>
      </c>
      <c r="C255" s="29">
        <f t="shared" si="76"/>
        <v>-1.0213345438039425E-3</v>
      </c>
      <c r="D255" s="24">
        <f t="shared" si="79"/>
        <v>1.9640083362335768E-2</v>
      </c>
      <c r="E255" s="24">
        <v>90</v>
      </c>
      <c r="F255" s="24">
        <v>84</v>
      </c>
      <c r="G255" s="24">
        <f t="shared" si="80"/>
        <v>6.8965517241379309E-2</v>
      </c>
      <c r="H255" s="24">
        <v>89</v>
      </c>
      <c r="I255" s="24">
        <v>88</v>
      </c>
      <c r="J255" s="24">
        <f t="shared" si="81"/>
        <v>1.1299435028248588E-2</v>
      </c>
      <c r="K255" s="24">
        <v>3963</v>
      </c>
      <c r="L255" s="24">
        <f t="shared" si="82"/>
        <v>372080000</v>
      </c>
      <c r="M255" s="24">
        <f t="shared" si="77"/>
        <v>348862.89</v>
      </c>
      <c r="N255">
        <f t="shared" si="83"/>
        <v>145570000</v>
      </c>
      <c r="O255" s="24">
        <f t="shared" si="78"/>
        <v>2.7224015937349729E-5</v>
      </c>
      <c r="P255" s="24">
        <v>77980.289999999994</v>
      </c>
      <c r="Q255" s="27">
        <v>0.189</v>
      </c>
      <c r="R255" s="24">
        <f t="shared" si="84"/>
        <v>31774240000</v>
      </c>
      <c r="S255" s="24">
        <f t="shared" si="85"/>
        <v>3830410000</v>
      </c>
      <c r="T255" s="24">
        <f t="shared" si="86"/>
        <v>2499360000</v>
      </c>
      <c r="U255">
        <f t="shared" si="87"/>
        <v>3485440000</v>
      </c>
      <c r="V255" s="24">
        <f t="shared" si="88"/>
        <v>2699990000</v>
      </c>
      <c r="W255">
        <f t="shared" si="89"/>
        <v>2.9276101674326623E-9</v>
      </c>
      <c r="X255">
        <f t="shared" si="90"/>
        <v>8.4974180342315034E-2</v>
      </c>
      <c r="Y255" s="9"/>
    </row>
    <row r="256" spans="1:25">
      <c r="A256" s="21">
        <v>45513</v>
      </c>
      <c r="B256" s="24">
        <v>88.12</v>
      </c>
      <c r="C256" s="29">
        <f t="shared" si="76"/>
        <v>-1.3434841021047791E-2</v>
      </c>
      <c r="D256" s="24">
        <f t="shared" si="79"/>
        <v>1.9640083362335768E-2</v>
      </c>
      <c r="E256" s="24">
        <v>89</v>
      </c>
      <c r="F256" s="24">
        <v>87.01</v>
      </c>
      <c r="G256" s="24">
        <f t="shared" si="80"/>
        <v>2.2612351570933414E-2</v>
      </c>
      <c r="H256" s="24">
        <v>88.99</v>
      </c>
      <c r="I256" s="24">
        <v>88</v>
      </c>
      <c r="J256" s="24">
        <f t="shared" si="81"/>
        <v>1.1187072715972595E-2</v>
      </c>
      <c r="K256" s="24">
        <v>17094</v>
      </c>
      <c r="L256" s="24">
        <f t="shared" si="82"/>
        <v>372080000</v>
      </c>
      <c r="M256" s="24">
        <f t="shared" si="77"/>
        <v>1506323.28</v>
      </c>
      <c r="N256">
        <f t="shared" si="83"/>
        <v>145570000</v>
      </c>
      <c r="O256" s="24">
        <f t="shared" si="78"/>
        <v>1.1742804149206567E-4</v>
      </c>
      <c r="P256" s="24">
        <v>78569.59</v>
      </c>
      <c r="Q256" s="27">
        <v>0.189</v>
      </c>
      <c r="R256" s="24">
        <f t="shared" si="84"/>
        <v>31774240000</v>
      </c>
      <c r="S256" s="24">
        <f t="shared" si="85"/>
        <v>3830410000</v>
      </c>
      <c r="T256" s="24">
        <f t="shared" si="86"/>
        <v>2499360000</v>
      </c>
      <c r="U256">
        <f t="shared" si="87"/>
        <v>3485440000</v>
      </c>
      <c r="V256" s="24">
        <f t="shared" si="88"/>
        <v>2699990000</v>
      </c>
      <c r="W256">
        <f t="shared" si="89"/>
        <v>8.9189626154139978E-9</v>
      </c>
      <c r="X256">
        <f t="shared" si="90"/>
        <v>8.4974180342315034E-2</v>
      </c>
      <c r="Y256" s="9"/>
    </row>
    <row r="257" spans="1:25">
      <c r="A257" s="21">
        <v>45512</v>
      </c>
      <c r="B257" s="24">
        <v>89.32</v>
      </c>
      <c r="C257" s="29">
        <f t="shared" si="76"/>
        <v>-2.3398206866389687E-2</v>
      </c>
      <c r="D257" s="24">
        <f t="shared" si="79"/>
        <v>1.9640083362335768E-2</v>
      </c>
      <c r="E257" s="24">
        <v>91.5</v>
      </c>
      <c r="F257" s="24">
        <v>88.02</v>
      </c>
      <c r="G257" s="24">
        <f t="shared" si="80"/>
        <v>3.877005347593588E-2</v>
      </c>
      <c r="H257" s="24">
        <v>91.5</v>
      </c>
      <c r="I257" s="24">
        <v>88.5</v>
      </c>
      <c r="J257" s="24">
        <f t="shared" si="81"/>
        <v>3.3333333333333333E-2</v>
      </c>
      <c r="K257" s="24">
        <v>796</v>
      </c>
      <c r="L257" s="24">
        <f t="shared" si="82"/>
        <v>372080000</v>
      </c>
      <c r="M257" s="24">
        <f t="shared" si="77"/>
        <v>71098.720000000001</v>
      </c>
      <c r="N257">
        <f t="shared" si="83"/>
        <v>145570000</v>
      </c>
      <c r="O257" s="24">
        <f t="shared" si="78"/>
        <v>5.4681596482791784E-6</v>
      </c>
      <c r="P257" s="24">
        <v>77874.22</v>
      </c>
      <c r="Q257" s="27">
        <v>0.189</v>
      </c>
      <c r="R257" s="24">
        <f t="shared" si="84"/>
        <v>31774240000</v>
      </c>
      <c r="S257" s="24">
        <f t="shared" si="85"/>
        <v>3830410000</v>
      </c>
      <c r="T257" s="24">
        <f t="shared" si="86"/>
        <v>2499360000</v>
      </c>
      <c r="U257">
        <f t="shared" si="87"/>
        <v>3485440000</v>
      </c>
      <c r="V257" s="24">
        <f t="shared" si="88"/>
        <v>2699990000</v>
      </c>
      <c r="W257">
        <f t="shared" si="89"/>
        <v>3.2909462879767295E-7</v>
      </c>
      <c r="X257">
        <f t="shared" si="90"/>
        <v>8.4974180342315034E-2</v>
      </c>
      <c r="Y257" s="9"/>
    </row>
    <row r="258" spans="1:25">
      <c r="A258" s="21">
        <v>45511</v>
      </c>
      <c r="B258" s="24">
        <v>91.46</v>
      </c>
      <c r="C258" s="29">
        <f t="shared" si="76"/>
        <v>2.2584973166368472E-2</v>
      </c>
      <c r="D258" s="24">
        <f t="shared" si="79"/>
        <v>1.9640083362335768E-2</v>
      </c>
      <c r="E258" s="24">
        <v>92.99</v>
      </c>
      <c r="F258" s="24">
        <v>88</v>
      </c>
      <c r="G258" s="24">
        <f t="shared" si="80"/>
        <v>5.5141168020332552E-2</v>
      </c>
      <c r="H258" s="24">
        <v>92.49</v>
      </c>
      <c r="I258" s="24">
        <v>88.5</v>
      </c>
      <c r="J258" s="24">
        <f t="shared" si="81"/>
        <v>4.4090833747720812E-2</v>
      </c>
      <c r="K258" s="24">
        <v>22447</v>
      </c>
      <c r="L258" s="24">
        <f t="shared" si="82"/>
        <v>372080000</v>
      </c>
      <c r="M258" s="24">
        <f t="shared" si="77"/>
        <v>2053002.6199999999</v>
      </c>
      <c r="N258">
        <f t="shared" si="83"/>
        <v>145570000</v>
      </c>
      <c r="O258" s="24">
        <f t="shared" si="78"/>
        <v>1.5420072817201347E-4</v>
      </c>
      <c r="P258" s="24">
        <v>77114.490000000005</v>
      </c>
      <c r="Q258" s="27">
        <v>0.189</v>
      </c>
      <c r="R258" s="24">
        <f t="shared" si="84"/>
        <v>31774240000</v>
      </c>
      <c r="S258" s="24">
        <f t="shared" si="85"/>
        <v>3830410000</v>
      </c>
      <c r="T258" s="24">
        <f t="shared" si="86"/>
        <v>2499360000</v>
      </c>
      <c r="U258">
        <f t="shared" si="87"/>
        <v>3485440000</v>
      </c>
      <c r="V258" s="24">
        <f t="shared" si="88"/>
        <v>2699990000</v>
      </c>
      <c r="W258">
        <f t="shared" si="89"/>
        <v>1.1000947074470111E-8</v>
      </c>
      <c r="X258">
        <f t="shared" si="90"/>
        <v>8.4974180342315034E-2</v>
      </c>
      <c r="Y258" s="9"/>
    </row>
    <row r="259" spans="1:25">
      <c r="A259" s="21">
        <v>45510</v>
      </c>
      <c r="B259" s="24">
        <v>89.44</v>
      </c>
      <c r="C259" s="29">
        <f t="shared" si="76"/>
        <v>-3.5167206040992501E-2</v>
      </c>
      <c r="D259" s="24">
        <f t="shared" si="79"/>
        <v>1.9640083362335768E-2</v>
      </c>
      <c r="E259" s="24">
        <v>93</v>
      </c>
      <c r="F259" s="24">
        <v>86.1</v>
      </c>
      <c r="G259" s="24">
        <f t="shared" si="80"/>
        <v>7.7051926298157519E-2</v>
      </c>
      <c r="H259" s="24">
        <v>90</v>
      </c>
      <c r="I259" s="24">
        <v>88.1</v>
      </c>
      <c r="J259" s="24">
        <f t="shared" si="81"/>
        <v>2.1336327905671037E-2</v>
      </c>
      <c r="K259" s="24">
        <v>31131</v>
      </c>
      <c r="L259" s="24">
        <f t="shared" si="82"/>
        <v>372080000</v>
      </c>
      <c r="M259" s="24">
        <f t="shared" si="77"/>
        <v>2784356.64</v>
      </c>
      <c r="N259">
        <f t="shared" si="83"/>
        <v>145570000</v>
      </c>
      <c r="O259" s="24">
        <f t="shared" si="78"/>
        <v>2.1385587689771245E-4</v>
      </c>
      <c r="P259" s="24">
        <v>77191.34</v>
      </c>
      <c r="Q259" s="27">
        <v>0.19489999999999999</v>
      </c>
      <c r="R259" s="24">
        <f t="shared" si="84"/>
        <v>31774240000</v>
      </c>
      <c r="S259" s="24">
        <f t="shared" si="85"/>
        <v>3830410000</v>
      </c>
      <c r="T259" s="24">
        <f t="shared" si="86"/>
        <v>2499360000</v>
      </c>
      <c r="U259">
        <f t="shared" si="87"/>
        <v>3485440000</v>
      </c>
      <c r="V259" s="24">
        <f t="shared" si="88"/>
        <v>2699990000</v>
      </c>
      <c r="W259">
        <f t="shared" si="89"/>
        <v>1.2630280739105498E-8</v>
      </c>
      <c r="X259">
        <f t="shared" si="90"/>
        <v>8.4974180342315034E-2</v>
      </c>
      <c r="Y259" s="9"/>
    </row>
    <row r="260" spans="1:25">
      <c r="A260" s="21">
        <v>45509</v>
      </c>
      <c r="B260" s="24">
        <v>92.7</v>
      </c>
      <c r="C260" s="29">
        <f t="shared" si="76"/>
        <v>7.7906976744186077E-2</v>
      </c>
      <c r="D260" s="24">
        <f t="shared" si="79"/>
        <v>1.9640083362335768E-2</v>
      </c>
      <c r="E260" s="24">
        <v>94.6</v>
      </c>
      <c r="F260" s="24">
        <v>88</v>
      </c>
      <c r="G260" s="24">
        <f t="shared" si="80"/>
        <v>7.2289156626505965E-2</v>
      </c>
      <c r="H260" s="24">
        <v>88.6</v>
      </c>
      <c r="I260" s="24">
        <v>88.51</v>
      </c>
      <c r="J260" s="24">
        <f t="shared" si="81"/>
        <v>1.0163175427699079E-3</v>
      </c>
      <c r="K260" s="24">
        <v>18149</v>
      </c>
      <c r="L260" s="24">
        <f t="shared" si="82"/>
        <v>372080000</v>
      </c>
      <c r="M260" s="24">
        <f t="shared" si="77"/>
        <v>1682412.3</v>
      </c>
      <c r="N260">
        <f t="shared" si="83"/>
        <v>145570000</v>
      </c>
      <c r="O260" s="24">
        <f t="shared" si="78"/>
        <v>1.2467541389022465E-4</v>
      </c>
      <c r="P260" s="24">
        <v>77084.490000000005</v>
      </c>
      <c r="Q260" s="27">
        <v>0.19489999999999999</v>
      </c>
      <c r="R260" s="24">
        <f t="shared" si="84"/>
        <v>31774240000</v>
      </c>
      <c r="S260" s="24">
        <f t="shared" si="85"/>
        <v>3830410000</v>
      </c>
      <c r="T260" s="24">
        <f t="shared" si="86"/>
        <v>2499360000</v>
      </c>
      <c r="U260">
        <f t="shared" si="87"/>
        <v>3485440000</v>
      </c>
      <c r="V260" s="24">
        <f t="shared" si="88"/>
        <v>2699990000</v>
      </c>
      <c r="W260">
        <f t="shared" si="89"/>
        <v>4.6306708970319624E-8</v>
      </c>
      <c r="X260">
        <f t="shared" si="90"/>
        <v>8.4974180342315034E-2</v>
      </c>
      <c r="Y260" s="9"/>
    </row>
    <row r="261" spans="1:25">
      <c r="A261" s="21">
        <v>45506</v>
      </c>
      <c r="B261" s="24">
        <v>86</v>
      </c>
      <c r="C261" s="29">
        <f t="shared" si="76"/>
        <v>0</v>
      </c>
      <c r="D261" s="24">
        <f t="shared" si="79"/>
        <v>1.9640083362335768E-2</v>
      </c>
      <c r="E261" s="24">
        <v>89</v>
      </c>
      <c r="F261" s="24">
        <v>84</v>
      </c>
      <c r="G261" s="24">
        <f t="shared" si="80"/>
        <v>5.7803468208092484E-2</v>
      </c>
      <c r="H261" s="24">
        <v>87.87</v>
      </c>
      <c r="I261" s="24">
        <v>86</v>
      </c>
      <c r="J261" s="24">
        <f t="shared" si="81"/>
        <v>2.1510323805141826E-2</v>
      </c>
      <c r="K261" s="24">
        <v>2505</v>
      </c>
      <c r="L261" s="24">
        <f t="shared" si="82"/>
        <v>372080000</v>
      </c>
      <c r="M261" s="24">
        <f t="shared" si="77"/>
        <v>215430</v>
      </c>
      <c r="N261">
        <f t="shared" si="83"/>
        <v>145570000</v>
      </c>
      <c r="O261" s="24">
        <f t="shared" si="78"/>
        <v>1.7208215978567013E-5</v>
      </c>
      <c r="P261" s="24">
        <v>78225.98</v>
      </c>
      <c r="Q261" s="27">
        <v>0.19489999999999999</v>
      </c>
      <c r="R261" s="24">
        <f t="shared" si="84"/>
        <v>31774240000</v>
      </c>
      <c r="S261" s="24">
        <f t="shared" si="85"/>
        <v>3830410000</v>
      </c>
      <c r="T261" s="24">
        <f t="shared" si="86"/>
        <v>2499360000</v>
      </c>
      <c r="U261">
        <f t="shared" si="87"/>
        <v>3485440000</v>
      </c>
      <c r="V261" s="24">
        <f t="shared" si="88"/>
        <v>2699990000</v>
      </c>
      <c r="W261">
        <f t="shared" si="89"/>
        <v>0</v>
      </c>
      <c r="X261">
        <f t="shared" si="90"/>
        <v>8.4974180342315034E-2</v>
      </c>
      <c r="Y261" s="9"/>
    </row>
    <row r="262" spans="1:25">
      <c r="A262" s="21">
        <v>45505</v>
      </c>
      <c r="B262" s="24">
        <v>86</v>
      </c>
      <c r="C262" s="29">
        <f t="shared" si="76"/>
        <v>9.9823840281854873E-3</v>
      </c>
      <c r="D262" s="24">
        <f t="shared" si="79"/>
        <v>1.9640083362335768E-2</v>
      </c>
      <c r="E262" s="24">
        <v>87.5</v>
      </c>
      <c r="F262" s="24">
        <v>84</v>
      </c>
      <c r="G262" s="24">
        <f t="shared" si="80"/>
        <v>4.0816326530612242E-2</v>
      </c>
      <c r="H262" s="24">
        <v>86.7</v>
      </c>
      <c r="I262" s="24">
        <v>86</v>
      </c>
      <c r="J262" s="24">
        <f t="shared" si="81"/>
        <v>8.1065431383903052E-3</v>
      </c>
      <c r="K262" s="24">
        <v>12597</v>
      </c>
      <c r="L262" s="24">
        <f t="shared" si="82"/>
        <v>372080000</v>
      </c>
      <c r="M262" s="24">
        <f t="shared" si="77"/>
        <v>1083342</v>
      </c>
      <c r="N262">
        <f t="shared" si="83"/>
        <v>145570000</v>
      </c>
      <c r="O262" s="24">
        <f t="shared" si="78"/>
        <v>8.6535687298207046E-5</v>
      </c>
      <c r="P262" s="24">
        <v>77740.31</v>
      </c>
      <c r="Q262" s="27">
        <v>0.19489999999999999</v>
      </c>
      <c r="R262" s="24">
        <f t="shared" si="84"/>
        <v>31774240000</v>
      </c>
      <c r="S262" s="24">
        <f t="shared" si="85"/>
        <v>3830410000</v>
      </c>
      <c r="T262" s="24">
        <f t="shared" si="86"/>
        <v>2499360000</v>
      </c>
      <c r="U262">
        <f t="shared" si="87"/>
        <v>3485440000</v>
      </c>
      <c r="V262" s="24">
        <f t="shared" si="88"/>
        <v>2699990000</v>
      </c>
      <c r="W262">
        <f t="shared" si="89"/>
        <v>9.2144346182327351E-9</v>
      </c>
      <c r="X262">
        <f t="shared" si="90"/>
        <v>8.4974180342315034E-2</v>
      </c>
      <c r="Y262" s="9"/>
    </row>
    <row r="263" spans="1:25">
      <c r="A263" s="21">
        <v>45504</v>
      </c>
      <c r="B263" s="24">
        <v>85.15</v>
      </c>
      <c r="C263" s="29">
        <f t="shared" si="76"/>
        <v>-2.7301804889193516E-2</v>
      </c>
      <c r="D263" s="24">
        <f t="shared" si="79"/>
        <v>1.9640083362335768E-2</v>
      </c>
      <c r="E263" s="24">
        <v>86.7</v>
      </c>
      <c r="F263" s="24">
        <v>85</v>
      </c>
      <c r="G263" s="24">
        <f t="shared" si="80"/>
        <v>1.9801980198019837E-2</v>
      </c>
      <c r="H263" s="24">
        <v>86.68</v>
      </c>
      <c r="I263" s="24">
        <v>86</v>
      </c>
      <c r="J263" s="24">
        <f t="shared" si="81"/>
        <v>7.8758397034978788E-3</v>
      </c>
      <c r="K263" s="24">
        <v>10466</v>
      </c>
      <c r="L263" s="24">
        <f t="shared" si="82"/>
        <v>372080000</v>
      </c>
      <c r="M263" s="24">
        <f t="shared" si="77"/>
        <v>891179.9</v>
      </c>
      <c r="N263">
        <f t="shared" si="83"/>
        <v>145570000</v>
      </c>
      <c r="O263" s="24">
        <f t="shared" si="78"/>
        <v>7.1896682008655636E-5</v>
      </c>
      <c r="P263" s="24">
        <v>77886.990000000005</v>
      </c>
      <c r="Q263" s="27">
        <v>0.19489999999999999</v>
      </c>
      <c r="R263" s="24">
        <f t="shared" si="84"/>
        <v>31774240000</v>
      </c>
      <c r="S263" s="24">
        <f t="shared" si="85"/>
        <v>3830410000</v>
      </c>
      <c r="T263" s="24">
        <f t="shared" si="86"/>
        <v>2499360000</v>
      </c>
      <c r="U263">
        <f t="shared" si="87"/>
        <v>3485440000</v>
      </c>
      <c r="V263" s="24">
        <f t="shared" si="88"/>
        <v>2699990000</v>
      </c>
      <c r="W263">
        <f t="shared" si="89"/>
        <v>3.0635570763202261E-8</v>
      </c>
      <c r="X263">
        <f t="shared" si="90"/>
        <v>8.4974180342315034E-2</v>
      </c>
      <c r="Y263" s="9"/>
    </row>
    <row r="264" spans="1:25">
      <c r="A264" s="21">
        <v>45503</v>
      </c>
      <c r="B264" s="24">
        <v>87.54</v>
      </c>
      <c r="C264" s="29">
        <f t="shared" si="76"/>
        <v>1.7906976744186121E-2</v>
      </c>
      <c r="D264" s="24">
        <f t="shared" si="79"/>
        <v>1.9640083362335768E-2</v>
      </c>
      <c r="E264" s="24">
        <v>88.9</v>
      </c>
      <c r="F264" s="24">
        <v>86.55</v>
      </c>
      <c r="G264" s="24">
        <f t="shared" si="80"/>
        <v>2.6788258763180493E-2</v>
      </c>
      <c r="H264" s="24">
        <v>88</v>
      </c>
      <c r="I264" s="24">
        <v>87</v>
      </c>
      <c r="J264" s="24">
        <f t="shared" si="81"/>
        <v>1.1428571428571429E-2</v>
      </c>
      <c r="K264" s="24">
        <v>2567</v>
      </c>
      <c r="L264" s="24">
        <f t="shared" si="82"/>
        <v>372080000</v>
      </c>
      <c r="M264" s="24">
        <f t="shared" si="77"/>
        <v>224715.18000000002</v>
      </c>
      <c r="N264">
        <f t="shared" si="83"/>
        <v>145570000</v>
      </c>
      <c r="O264" s="24">
        <f t="shared" si="78"/>
        <v>1.7634127910970669E-5</v>
      </c>
      <c r="P264" s="24">
        <v>78628.81</v>
      </c>
      <c r="Q264" s="27">
        <v>0.19489999999999999</v>
      </c>
      <c r="R264" s="24">
        <f t="shared" si="84"/>
        <v>31774240000</v>
      </c>
      <c r="S264" s="24">
        <f t="shared" si="85"/>
        <v>3830410000</v>
      </c>
      <c r="T264" s="24">
        <f t="shared" si="86"/>
        <v>2499360000</v>
      </c>
      <c r="U264">
        <f t="shared" si="87"/>
        <v>3485440000</v>
      </c>
      <c r="V264" s="24">
        <f t="shared" si="88"/>
        <v>2699990000</v>
      </c>
      <c r="W264">
        <f t="shared" si="89"/>
        <v>7.9687436977716047E-8</v>
      </c>
      <c r="X264">
        <f t="shared" si="90"/>
        <v>8.4974180342315034E-2</v>
      </c>
      <c r="Y264" s="9"/>
    </row>
    <row r="265" spans="1:25">
      <c r="A265" s="21">
        <v>45502</v>
      </c>
      <c r="B265" s="24">
        <v>86</v>
      </c>
      <c r="C265" s="29">
        <f t="shared" si="76"/>
        <v>1.4150943396226448E-2</v>
      </c>
      <c r="D265" s="24">
        <f t="shared" si="79"/>
        <v>1.9640083362335768E-2</v>
      </c>
      <c r="E265" s="24">
        <v>87.1</v>
      </c>
      <c r="F265" s="24">
        <v>82</v>
      </c>
      <c r="G265" s="24">
        <f t="shared" si="80"/>
        <v>6.0319337670017674E-2</v>
      </c>
      <c r="H265" s="24">
        <v>86.87</v>
      </c>
      <c r="I265" s="24">
        <v>84.5</v>
      </c>
      <c r="J265" s="24">
        <f t="shared" si="81"/>
        <v>2.765945031219005E-2</v>
      </c>
      <c r="K265" s="24">
        <v>13738</v>
      </c>
      <c r="L265" s="24">
        <f t="shared" si="82"/>
        <v>372080000</v>
      </c>
      <c r="M265" s="24">
        <f t="shared" si="77"/>
        <v>1181468</v>
      </c>
      <c r="N265">
        <f t="shared" si="83"/>
        <v>145570000</v>
      </c>
      <c r="O265" s="24">
        <f t="shared" si="78"/>
        <v>9.4373840763893659E-5</v>
      </c>
      <c r="P265" s="24">
        <v>78827.740000000005</v>
      </c>
      <c r="Q265" s="27">
        <v>0.19489999999999999</v>
      </c>
      <c r="R265" s="24">
        <f t="shared" si="84"/>
        <v>31774240000</v>
      </c>
      <c r="S265" s="24">
        <f t="shared" si="85"/>
        <v>3830410000</v>
      </c>
      <c r="T265" s="24">
        <f t="shared" si="86"/>
        <v>2499360000</v>
      </c>
      <c r="U265">
        <f t="shared" si="87"/>
        <v>3485440000</v>
      </c>
      <c r="V265" s="24">
        <f t="shared" si="88"/>
        <v>2699990000</v>
      </c>
      <c r="W265">
        <f t="shared" si="89"/>
        <v>1.1977424184342232E-8</v>
      </c>
      <c r="X265">
        <f t="shared" si="90"/>
        <v>8.4974180342315034E-2</v>
      </c>
      <c r="Y265" s="9"/>
    </row>
    <row r="266" spans="1:25">
      <c r="A266" s="21">
        <v>45499</v>
      </c>
      <c r="B266" s="24">
        <v>84.8</v>
      </c>
      <c r="C266" s="29">
        <f t="shared" si="76"/>
        <v>1.1088589483724723E-2</v>
      </c>
      <c r="D266" s="24">
        <f t="shared" si="79"/>
        <v>1.9640083362335768E-2</v>
      </c>
      <c r="E266" s="24">
        <v>86</v>
      </c>
      <c r="F266" s="24">
        <v>84</v>
      </c>
      <c r="G266" s="24">
        <f t="shared" si="80"/>
        <v>2.3529411764705882E-2</v>
      </c>
      <c r="H266" s="24">
        <v>86</v>
      </c>
      <c r="I266" s="24">
        <v>84.05</v>
      </c>
      <c r="J266" s="24">
        <f t="shared" si="81"/>
        <v>2.2934431049691298E-2</v>
      </c>
      <c r="K266" s="24">
        <v>13786</v>
      </c>
      <c r="L266" s="24">
        <f t="shared" si="82"/>
        <v>372080000</v>
      </c>
      <c r="M266" s="24">
        <f t="shared" si="77"/>
        <v>1169052.8</v>
      </c>
      <c r="N266">
        <f t="shared" si="83"/>
        <v>145570000</v>
      </c>
      <c r="O266" s="24">
        <f t="shared" si="78"/>
        <v>9.4703579034141657E-5</v>
      </c>
      <c r="P266" s="24">
        <v>78029.509999999995</v>
      </c>
      <c r="Q266" s="27">
        <v>0.19489999999999999</v>
      </c>
      <c r="R266" s="24">
        <f t="shared" si="84"/>
        <v>31774240000</v>
      </c>
      <c r="S266" s="24">
        <f t="shared" si="85"/>
        <v>3830410000</v>
      </c>
      <c r="T266" s="24">
        <f t="shared" si="86"/>
        <v>2499360000</v>
      </c>
      <c r="U266">
        <f t="shared" si="87"/>
        <v>3485440000</v>
      </c>
      <c r="V266" s="24">
        <f t="shared" si="88"/>
        <v>2699990000</v>
      </c>
      <c r="W266">
        <f t="shared" si="89"/>
        <v>9.4851057913934447E-9</v>
      </c>
      <c r="X266">
        <f t="shared" si="90"/>
        <v>8.4974180342315034E-2</v>
      </c>
      <c r="Y266" s="9"/>
    </row>
    <row r="267" spans="1:25">
      <c r="A267" s="21">
        <v>45498</v>
      </c>
      <c r="B267" s="24">
        <v>83.87</v>
      </c>
      <c r="C267" s="29">
        <f t="shared" si="76"/>
        <v>-1.5476190476189935E-3</v>
      </c>
      <c r="D267" s="24">
        <f t="shared" si="79"/>
        <v>1.9640083362335768E-2</v>
      </c>
      <c r="E267" s="24">
        <v>86</v>
      </c>
      <c r="F267" s="24">
        <v>83</v>
      </c>
      <c r="G267" s="24">
        <f t="shared" si="80"/>
        <v>3.5502958579881658E-2</v>
      </c>
      <c r="H267" s="24">
        <v>83.9</v>
      </c>
      <c r="I267" s="24">
        <v>83.5</v>
      </c>
      <c r="J267" s="24">
        <f t="shared" si="81"/>
        <v>4.7789725209080721E-3</v>
      </c>
      <c r="K267" s="24">
        <v>10782</v>
      </c>
      <c r="L267" s="24">
        <f t="shared" si="82"/>
        <v>372080000</v>
      </c>
      <c r="M267" s="24">
        <f t="shared" si="77"/>
        <v>904286.34000000008</v>
      </c>
      <c r="N267">
        <f t="shared" si="83"/>
        <v>145570000</v>
      </c>
      <c r="O267" s="24">
        <f t="shared" si="78"/>
        <v>7.4067458954454906E-5</v>
      </c>
      <c r="P267" s="24">
        <v>78469.33</v>
      </c>
      <c r="Q267" s="27">
        <v>0.19489999999999999</v>
      </c>
      <c r="R267" s="24">
        <f t="shared" si="84"/>
        <v>31774240000</v>
      </c>
      <c r="S267" s="24">
        <f t="shared" si="85"/>
        <v>3830410000</v>
      </c>
      <c r="T267" s="24">
        <f t="shared" si="86"/>
        <v>2499360000</v>
      </c>
      <c r="U267">
        <f t="shared" si="87"/>
        <v>3485440000</v>
      </c>
      <c r="V267" s="24">
        <f t="shared" si="88"/>
        <v>2699990000</v>
      </c>
      <c r="W267">
        <f t="shared" si="89"/>
        <v>1.7114258826678653E-9</v>
      </c>
      <c r="X267">
        <f t="shared" si="90"/>
        <v>8.4974180342315034E-2</v>
      </c>
      <c r="Y267" s="9"/>
    </row>
    <row r="268" spans="1:25">
      <c r="A268" s="21">
        <v>45497</v>
      </c>
      <c r="B268" s="24">
        <v>84</v>
      </c>
      <c r="C268" s="29">
        <f t="shared" si="76"/>
        <v>3.2246506628448106E-3</v>
      </c>
      <c r="D268" s="24">
        <f t="shared" si="79"/>
        <v>1.9640083362335768E-2</v>
      </c>
      <c r="E268" s="24">
        <v>84</v>
      </c>
      <c r="F268" s="24">
        <v>82.5</v>
      </c>
      <c r="G268" s="24">
        <f t="shared" si="80"/>
        <v>1.8018018018018018E-2</v>
      </c>
      <c r="H268" s="24">
        <v>84</v>
      </c>
      <c r="I268" s="24">
        <v>83.2</v>
      </c>
      <c r="J268" s="24">
        <f t="shared" si="81"/>
        <v>9.5693779904305887E-3</v>
      </c>
      <c r="K268" s="24">
        <v>9091</v>
      </c>
      <c r="L268" s="24">
        <f t="shared" si="82"/>
        <v>372080000</v>
      </c>
      <c r="M268" s="24">
        <f t="shared" si="77"/>
        <v>763644</v>
      </c>
      <c r="N268">
        <f t="shared" si="83"/>
        <v>145570000</v>
      </c>
      <c r="O268" s="24">
        <f t="shared" si="78"/>
        <v>6.245105447551007E-5</v>
      </c>
      <c r="P268" s="24">
        <v>79397.009999999995</v>
      </c>
      <c r="Q268" s="27">
        <v>0.19489999999999999</v>
      </c>
      <c r="R268" s="24">
        <f t="shared" si="84"/>
        <v>31774240000</v>
      </c>
      <c r="S268" s="24">
        <f t="shared" si="85"/>
        <v>3830410000</v>
      </c>
      <c r="T268" s="24">
        <f t="shared" si="86"/>
        <v>2499360000</v>
      </c>
      <c r="U268">
        <f t="shared" si="87"/>
        <v>3485440000</v>
      </c>
      <c r="V268" s="24">
        <f t="shared" si="88"/>
        <v>2699990000</v>
      </c>
      <c r="W268">
        <f t="shared" si="89"/>
        <v>4.2227145932460811E-9</v>
      </c>
      <c r="X268">
        <f t="shared" si="90"/>
        <v>8.4974180342315034E-2</v>
      </c>
      <c r="Y268" s="9"/>
    </row>
    <row r="269" spans="1:25">
      <c r="A269" s="21">
        <v>45496</v>
      </c>
      <c r="B269" s="24">
        <v>83.73</v>
      </c>
      <c r="C269" s="29">
        <f t="shared" si="76"/>
        <v>8.3672005737517807E-4</v>
      </c>
      <c r="D269" s="24">
        <f t="shared" si="79"/>
        <v>1.9640083362335768E-2</v>
      </c>
      <c r="E269" s="24">
        <v>87.99</v>
      </c>
      <c r="F269" s="24">
        <v>83</v>
      </c>
      <c r="G269" s="24">
        <f t="shared" si="80"/>
        <v>5.836598631498912E-2</v>
      </c>
      <c r="H269" s="24">
        <v>84</v>
      </c>
      <c r="I269" s="24">
        <v>83.73</v>
      </c>
      <c r="J269" s="24">
        <f t="shared" si="81"/>
        <v>3.2194598461813152E-3</v>
      </c>
      <c r="K269" s="24">
        <v>22812</v>
      </c>
      <c r="L269" s="24">
        <f t="shared" si="82"/>
        <v>372080000</v>
      </c>
      <c r="M269" s="24">
        <f t="shared" si="77"/>
        <v>1910048.76</v>
      </c>
      <c r="N269">
        <f t="shared" si="83"/>
        <v>145570000</v>
      </c>
      <c r="O269" s="24">
        <f t="shared" si="78"/>
        <v>1.5670811293535755E-4</v>
      </c>
      <c r="P269" s="24">
        <v>78987.09</v>
      </c>
      <c r="Q269" s="27">
        <v>0.19489999999999999</v>
      </c>
      <c r="R269" s="24">
        <f t="shared" si="84"/>
        <v>31774240000</v>
      </c>
      <c r="S269" s="24">
        <f t="shared" si="85"/>
        <v>3830410000</v>
      </c>
      <c r="T269" s="24">
        <f t="shared" si="86"/>
        <v>2499360000</v>
      </c>
      <c r="U269">
        <f t="shared" si="87"/>
        <v>3485440000</v>
      </c>
      <c r="V269" s="24">
        <f t="shared" si="88"/>
        <v>2699990000</v>
      </c>
      <c r="W269">
        <f t="shared" si="89"/>
        <v>4.3806214526962027E-10</v>
      </c>
      <c r="X269">
        <f t="shared" si="90"/>
        <v>8.4974180342315034E-2</v>
      </c>
      <c r="Y269" s="9"/>
    </row>
    <row r="270" spans="1:25" ht="15" thickBot="1">
      <c r="A270" s="21">
        <v>45495</v>
      </c>
      <c r="B270" s="24">
        <v>83.66</v>
      </c>
      <c r="C270" s="29">
        <f>IFERROR((B270-#REF!)/#REF!,0)</f>
        <v>0</v>
      </c>
      <c r="D270" s="24">
        <f t="shared" si="79"/>
        <v>1.9640083362335768E-2</v>
      </c>
      <c r="E270" s="24">
        <v>86</v>
      </c>
      <c r="F270" s="24">
        <v>80</v>
      </c>
      <c r="G270" s="24">
        <f t="shared" si="80"/>
        <v>7.2289156626506021E-2</v>
      </c>
      <c r="H270" s="24">
        <v>84</v>
      </c>
      <c r="I270" s="24">
        <v>82.5</v>
      </c>
      <c r="J270" s="24">
        <f t="shared" si="81"/>
        <v>1.8018018018018018E-2</v>
      </c>
      <c r="K270" s="24">
        <v>69508</v>
      </c>
      <c r="L270" s="24">
        <f t="shared" si="82"/>
        <v>372080000</v>
      </c>
      <c r="M270" s="24">
        <f t="shared" si="77"/>
        <v>5815039.2799999993</v>
      </c>
      <c r="N270">
        <f t="shared" si="83"/>
        <v>145570000</v>
      </c>
      <c r="O270" s="24">
        <f t="shared" si="78"/>
        <v>4.7748849350827779E-4</v>
      </c>
      <c r="P270" s="24">
        <v>78539.19</v>
      </c>
      <c r="Q270" s="27">
        <v>0.19489999999999999</v>
      </c>
      <c r="R270" s="24">
        <f t="shared" si="84"/>
        <v>31774240000</v>
      </c>
      <c r="S270" s="24">
        <f t="shared" si="85"/>
        <v>3830410000</v>
      </c>
      <c r="T270" s="24">
        <f t="shared" si="86"/>
        <v>2499360000</v>
      </c>
      <c r="U270">
        <f t="shared" si="87"/>
        <v>3485440000</v>
      </c>
      <c r="V270" s="24">
        <f t="shared" si="88"/>
        <v>2699990000</v>
      </c>
      <c r="W270">
        <f t="shared" si="89"/>
        <v>0</v>
      </c>
      <c r="X270">
        <f t="shared" si="90"/>
        <v>8.4974180342315034E-2</v>
      </c>
      <c r="Y270" s="9"/>
    </row>
    <row r="271" spans="1:25" ht="16" thickBot="1">
      <c r="A271" s="184" t="s">
        <v>43</v>
      </c>
      <c r="B271" s="185"/>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6"/>
      <c r="Y271" s="9"/>
    </row>
    <row r="272" spans="1:25" ht="43.5">
      <c r="A272" s="1" t="s">
        <v>14</v>
      </c>
      <c r="B272" s="2" t="s">
        <v>15</v>
      </c>
      <c r="C272" s="15" t="s">
        <v>16</v>
      </c>
      <c r="D272" s="15" t="s">
        <v>17</v>
      </c>
      <c r="E272" s="1" t="s">
        <v>0</v>
      </c>
      <c r="F272" s="1" t="s">
        <v>13</v>
      </c>
      <c r="G272" s="14" t="s">
        <v>18</v>
      </c>
      <c r="H272" s="1" t="s">
        <v>12</v>
      </c>
      <c r="I272" s="1" t="s">
        <v>1</v>
      </c>
      <c r="J272" s="14" t="s">
        <v>19</v>
      </c>
      <c r="K272" s="2" t="s">
        <v>2</v>
      </c>
      <c r="L272" s="2" t="s">
        <v>3</v>
      </c>
      <c r="M272" s="14" t="s">
        <v>20</v>
      </c>
      <c r="N272" s="2" t="s">
        <v>4</v>
      </c>
      <c r="O272" s="14" t="s">
        <v>21</v>
      </c>
      <c r="P272" s="2" t="s">
        <v>5</v>
      </c>
      <c r="Q272" s="2" t="s">
        <v>6</v>
      </c>
      <c r="R272" s="2" t="s">
        <v>7</v>
      </c>
      <c r="S272" s="2" t="s">
        <v>8</v>
      </c>
      <c r="T272" s="2" t="s">
        <v>9</v>
      </c>
      <c r="U272" s="2" t="s">
        <v>10</v>
      </c>
      <c r="V272" s="2" t="s">
        <v>11</v>
      </c>
      <c r="W272" s="7" t="s">
        <v>73</v>
      </c>
      <c r="X272" s="7" t="s">
        <v>72</v>
      </c>
      <c r="Y272" s="9"/>
    </row>
    <row r="273" spans="1:25">
      <c r="A273" s="21">
        <v>45555</v>
      </c>
      <c r="B273" s="24">
        <v>47.21</v>
      </c>
      <c r="C273" s="29">
        <f t="shared" ref="C273:C314" si="91">IFERROR((B273-B274)/B274,0)</f>
        <v>2.3190290420459479E-2</v>
      </c>
      <c r="D273" s="24">
        <f>_xlfn.STDEV.S($C$273:$C$315)</f>
        <v>2.2207237840643327E-2</v>
      </c>
      <c r="E273" s="24">
        <v>48</v>
      </c>
      <c r="F273" s="24">
        <v>44.8</v>
      </c>
      <c r="G273" s="24">
        <f>(E273-F273)/((E273+F273)/2)</f>
        <v>6.8965517241379379E-2</v>
      </c>
      <c r="H273" s="24">
        <v>47</v>
      </c>
      <c r="I273" s="24">
        <v>44.8</v>
      </c>
      <c r="J273" s="24">
        <f t="shared" ref="J273:J315" si="92">(H273-I273)/((H273+I273)/2)</f>
        <v>4.7930283224400932E-2</v>
      </c>
      <c r="K273" s="24">
        <v>2298965</v>
      </c>
      <c r="L273" s="24">
        <v>1517696526</v>
      </c>
      <c r="M273" s="24">
        <f t="shared" ref="M273:M315" si="93">B273*K273</f>
        <v>108534137.65000001</v>
      </c>
      <c r="N273" s="24">
        <f>6.85*1000000</f>
        <v>6850000</v>
      </c>
      <c r="O273" s="24">
        <f t="shared" ref="O273:O315" si="94">K273/N273</f>
        <v>0.33561532846715331</v>
      </c>
      <c r="P273" s="24">
        <v>82074.45</v>
      </c>
      <c r="Q273" s="27">
        <v>0.1741</v>
      </c>
      <c r="R273" s="24">
        <f>1419399864*1000</f>
        <v>1419399864000</v>
      </c>
      <c r="S273" s="24">
        <f>1325084816*1000</f>
        <v>1325084816000</v>
      </c>
      <c r="T273" s="24">
        <v>15032458</v>
      </c>
      <c r="U273" s="24">
        <v>95964851</v>
      </c>
      <c r="V273" s="24">
        <v>189365986</v>
      </c>
      <c r="W273">
        <f>IFERROR(ABS(C273)/M273,"0")</f>
        <v>2.1366816858344916E-10</v>
      </c>
      <c r="X273">
        <f>V273/R273</f>
        <v>1.3341271251523807E-4</v>
      </c>
      <c r="Y273" s="9"/>
    </row>
    <row r="274" spans="1:25">
      <c r="A274" s="21">
        <v>45554</v>
      </c>
      <c r="B274" s="24">
        <v>46.14</v>
      </c>
      <c r="C274" s="29">
        <f t="shared" si="91"/>
        <v>1.1842105263157876E-2</v>
      </c>
      <c r="D274" s="24">
        <f t="shared" ref="D274:D315" si="95">_xlfn.STDEV.S($C$273:$C$315)</f>
        <v>2.2207237840643327E-2</v>
      </c>
      <c r="E274" s="24">
        <v>46.93</v>
      </c>
      <c r="F274" s="24">
        <v>45.6</v>
      </c>
      <c r="G274" s="24">
        <f t="shared" ref="G274:G315" si="96">(E274-F274)/((E274+F274)/2)</f>
        <v>2.8747433264887025E-2</v>
      </c>
      <c r="H274" s="24">
        <v>46.75</v>
      </c>
      <c r="I274" s="24">
        <v>46.67</v>
      </c>
      <c r="J274" s="24">
        <f t="shared" si="92"/>
        <v>1.7126953543138148E-3</v>
      </c>
      <c r="K274" s="24">
        <v>2004345</v>
      </c>
      <c r="L274" s="24">
        <v>1517696526</v>
      </c>
      <c r="M274" s="24">
        <f t="shared" si="93"/>
        <v>92480478.299999997</v>
      </c>
      <c r="N274" s="24">
        <f t="shared" ref="N274:N315" si="97">6.85*1000000</f>
        <v>6850000</v>
      </c>
      <c r="O274" s="24">
        <f t="shared" si="94"/>
        <v>0.29260510948905111</v>
      </c>
      <c r="P274" s="24">
        <v>81459.289999999994</v>
      </c>
      <c r="Q274" s="27">
        <v>0.1741</v>
      </c>
      <c r="R274" s="24">
        <v>1419399864</v>
      </c>
      <c r="S274" s="24">
        <v>1325084816</v>
      </c>
      <c r="T274" s="24">
        <v>15032458</v>
      </c>
      <c r="U274" s="24">
        <v>95964851</v>
      </c>
      <c r="V274" s="24">
        <v>189365986</v>
      </c>
      <c r="W274">
        <f t="shared" ref="W274:W315" si="98">IFERROR(ABS(C274)/M274,"0")</f>
        <v>1.2804978392026629E-10</v>
      </c>
      <c r="X274">
        <f t="shared" ref="X274:X315" si="99">V274/R274</f>
        <v>0.13341271251523806</v>
      </c>
      <c r="Y274" s="9"/>
    </row>
    <row r="275" spans="1:25">
      <c r="A275" s="21">
        <v>45553</v>
      </c>
      <c r="B275" s="24">
        <v>45.6</v>
      </c>
      <c r="C275" s="29">
        <f t="shared" si="91"/>
        <v>-1.8087855297157545E-2</v>
      </c>
      <c r="D275" s="24">
        <f t="shared" si="95"/>
        <v>2.2207237840643327E-2</v>
      </c>
      <c r="E275" s="24">
        <v>46.9</v>
      </c>
      <c r="F275" s="24">
        <v>45.35</v>
      </c>
      <c r="G275" s="24">
        <f t="shared" si="96"/>
        <v>3.3604336043360369E-2</v>
      </c>
      <c r="H275" s="24">
        <v>45.75</v>
      </c>
      <c r="I275" s="24">
        <v>45.74</v>
      </c>
      <c r="J275" s="24">
        <f t="shared" si="92"/>
        <v>2.1860312602465864E-4</v>
      </c>
      <c r="K275" s="24">
        <v>1323500</v>
      </c>
      <c r="L275" s="24">
        <v>1517696526</v>
      </c>
      <c r="M275" s="24">
        <f t="shared" si="93"/>
        <v>60351600</v>
      </c>
      <c r="N275" s="24">
        <f t="shared" si="97"/>
        <v>6850000</v>
      </c>
      <c r="O275" s="24">
        <f t="shared" si="94"/>
        <v>0.19321167883211679</v>
      </c>
      <c r="P275" s="24">
        <v>80461.34</v>
      </c>
      <c r="Q275" s="27">
        <v>0.1741</v>
      </c>
      <c r="R275" s="24">
        <v>1419399864</v>
      </c>
      <c r="S275" s="24">
        <v>1325084816</v>
      </c>
      <c r="T275" s="24">
        <v>15032458</v>
      </c>
      <c r="U275" s="24">
        <v>95964851</v>
      </c>
      <c r="V275" s="24">
        <v>189365986</v>
      </c>
      <c r="W275">
        <f t="shared" si="98"/>
        <v>2.9970796627028191E-10</v>
      </c>
      <c r="X275">
        <f t="shared" si="99"/>
        <v>0.13341271251523806</v>
      </c>
      <c r="Y275" s="9"/>
    </row>
    <row r="276" spans="1:25">
      <c r="A276" s="21">
        <v>45551</v>
      </c>
      <c r="B276" s="24">
        <v>46.44</v>
      </c>
      <c r="C276" s="29">
        <f t="shared" si="91"/>
        <v>3.4572169403629342E-3</v>
      </c>
      <c r="D276" s="24">
        <f t="shared" si="95"/>
        <v>2.2207237840643327E-2</v>
      </c>
      <c r="E276" s="24">
        <v>47</v>
      </c>
      <c r="F276" s="24">
        <v>45.9</v>
      </c>
      <c r="G276" s="24">
        <f t="shared" si="96"/>
        <v>2.3681377825618976E-2</v>
      </c>
      <c r="H276" s="24">
        <v>46.49</v>
      </c>
      <c r="I276" s="24">
        <v>46.39</v>
      </c>
      <c r="J276" s="24">
        <f t="shared" si="92"/>
        <v>2.1533161068045094E-3</v>
      </c>
      <c r="K276" s="24">
        <v>538284</v>
      </c>
      <c r="L276" s="24">
        <v>1517696526</v>
      </c>
      <c r="M276" s="24">
        <f t="shared" si="93"/>
        <v>24997908.959999997</v>
      </c>
      <c r="N276" s="24">
        <f t="shared" si="97"/>
        <v>6850000</v>
      </c>
      <c r="O276" s="24">
        <f t="shared" si="94"/>
        <v>7.8581605839416063E-2</v>
      </c>
      <c r="P276" s="24">
        <v>79491.14</v>
      </c>
      <c r="Q276" s="27">
        <v>0.1741</v>
      </c>
      <c r="R276" s="24">
        <v>1419399864</v>
      </c>
      <c r="S276" s="24">
        <v>1325084816</v>
      </c>
      <c r="T276" s="24">
        <v>15032458</v>
      </c>
      <c r="U276" s="24">
        <v>95964851</v>
      </c>
      <c r="V276" s="24">
        <v>189365986</v>
      </c>
      <c r="W276">
        <f t="shared" si="98"/>
        <v>1.3830024526831202E-10</v>
      </c>
      <c r="X276">
        <f t="shared" si="99"/>
        <v>0.13341271251523806</v>
      </c>
      <c r="Y276" s="9"/>
    </row>
    <row r="277" spans="1:25">
      <c r="A277" s="21">
        <v>45548</v>
      </c>
      <c r="B277" s="24">
        <v>46.28</v>
      </c>
      <c r="C277" s="29">
        <f t="shared" si="91"/>
        <v>-1.573798383666529E-2</v>
      </c>
      <c r="D277" s="24">
        <f t="shared" si="95"/>
        <v>2.2207237840643327E-2</v>
      </c>
      <c r="E277" s="24">
        <v>48</v>
      </c>
      <c r="F277" s="24">
        <v>46.15</v>
      </c>
      <c r="G277" s="24">
        <f t="shared" si="96"/>
        <v>3.9298990971853451E-2</v>
      </c>
      <c r="H277" s="24">
        <v>46.39</v>
      </c>
      <c r="I277" s="24">
        <v>46.21</v>
      </c>
      <c r="J277" s="24">
        <f t="shared" si="92"/>
        <v>3.8876889848812038E-3</v>
      </c>
      <c r="K277" s="24">
        <v>1871038</v>
      </c>
      <c r="L277" s="24">
        <v>1517696526</v>
      </c>
      <c r="M277" s="24">
        <f t="shared" si="93"/>
        <v>86591638.640000001</v>
      </c>
      <c r="N277" s="24">
        <f t="shared" si="97"/>
        <v>6850000</v>
      </c>
      <c r="O277" s="24">
        <f t="shared" si="94"/>
        <v>0.27314423357664236</v>
      </c>
      <c r="P277" s="24">
        <v>79333.06</v>
      </c>
      <c r="Q277" s="27">
        <v>0.1741</v>
      </c>
      <c r="R277" s="24">
        <v>1419399864</v>
      </c>
      <c r="S277" s="24">
        <v>1325084816</v>
      </c>
      <c r="T277" s="24">
        <v>15032458</v>
      </c>
      <c r="U277" s="24">
        <v>95964851</v>
      </c>
      <c r="V277" s="24">
        <v>189365986</v>
      </c>
      <c r="W277">
        <f t="shared" si="98"/>
        <v>1.8174946315654212E-10</v>
      </c>
      <c r="X277">
        <f t="shared" si="99"/>
        <v>0.13341271251523806</v>
      </c>
      <c r="Y277" s="9"/>
    </row>
    <row r="278" spans="1:25">
      <c r="A278" s="21">
        <v>45547</v>
      </c>
      <c r="B278" s="24">
        <v>47.02</v>
      </c>
      <c r="C278" s="29">
        <f t="shared" si="91"/>
        <v>-1.0105263157894671E-2</v>
      </c>
      <c r="D278" s="24">
        <f t="shared" si="95"/>
        <v>2.2207237840643327E-2</v>
      </c>
      <c r="E278" s="24">
        <v>47.8</v>
      </c>
      <c r="F278" s="24">
        <v>46.99</v>
      </c>
      <c r="G278" s="24">
        <f t="shared" si="96"/>
        <v>1.7090410380841761E-2</v>
      </c>
      <c r="H278" s="24">
        <v>47.15</v>
      </c>
      <c r="I278" s="24">
        <v>47.01</v>
      </c>
      <c r="J278" s="24">
        <f t="shared" si="92"/>
        <v>2.9736618521665373E-3</v>
      </c>
      <c r="K278" s="24">
        <v>741357</v>
      </c>
      <c r="L278" s="24">
        <v>1517696526</v>
      </c>
      <c r="M278" s="24">
        <f t="shared" si="93"/>
        <v>34858606.140000001</v>
      </c>
      <c r="N278" s="24">
        <f t="shared" si="97"/>
        <v>6850000</v>
      </c>
      <c r="O278" s="24">
        <f t="shared" si="94"/>
        <v>0.10822729927007299</v>
      </c>
      <c r="P278" s="24">
        <v>79017.62</v>
      </c>
      <c r="Q278" s="27">
        <v>0.1741</v>
      </c>
      <c r="R278" s="24">
        <v>1419399864</v>
      </c>
      <c r="S278" s="24">
        <v>1325084816</v>
      </c>
      <c r="T278" s="24">
        <v>15032458</v>
      </c>
      <c r="U278" s="24">
        <v>95964851</v>
      </c>
      <c r="V278" s="24">
        <v>189365986</v>
      </c>
      <c r="W278">
        <f t="shared" si="98"/>
        <v>2.8989292105684493E-10</v>
      </c>
      <c r="X278">
        <f t="shared" si="99"/>
        <v>0.13341271251523806</v>
      </c>
      <c r="Y278" s="9"/>
    </row>
    <row r="279" spans="1:25">
      <c r="A279" s="21">
        <v>45546</v>
      </c>
      <c r="B279" s="24">
        <v>47.5</v>
      </c>
      <c r="C279" s="29">
        <f t="shared" si="91"/>
        <v>8.4281500210701954E-4</v>
      </c>
      <c r="D279" s="24">
        <f t="shared" si="95"/>
        <v>2.2207237840643327E-2</v>
      </c>
      <c r="E279" s="24">
        <v>48.4</v>
      </c>
      <c r="F279" s="24">
        <v>47.2</v>
      </c>
      <c r="G279" s="24">
        <f t="shared" si="96"/>
        <v>2.5104602510460164E-2</v>
      </c>
      <c r="H279" s="24">
        <v>47.44</v>
      </c>
      <c r="I279" s="24">
        <v>47.41</v>
      </c>
      <c r="J279" s="24">
        <f t="shared" si="92"/>
        <v>6.3257775434899608E-4</v>
      </c>
      <c r="K279" s="24">
        <v>1420249</v>
      </c>
      <c r="L279" s="24">
        <v>1517696526</v>
      </c>
      <c r="M279" s="24">
        <f t="shared" si="93"/>
        <v>67461827.5</v>
      </c>
      <c r="N279" s="24">
        <f t="shared" si="97"/>
        <v>6850000</v>
      </c>
      <c r="O279" s="24">
        <f t="shared" si="94"/>
        <v>0.2073356204379562</v>
      </c>
      <c r="P279" s="24">
        <v>78651.8</v>
      </c>
      <c r="Q279" s="27">
        <v>0.1741</v>
      </c>
      <c r="R279" s="24">
        <v>1419399864</v>
      </c>
      <c r="S279" s="24">
        <v>1325084816</v>
      </c>
      <c r="T279" s="24">
        <v>15032458</v>
      </c>
      <c r="U279" s="24">
        <v>95964851</v>
      </c>
      <c r="V279" s="24">
        <v>189365986</v>
      </c>
      <c r="W279">
        <f t="shared" si="98"/>
        <v>1.2493213322853128E-11</v>
      </c>
      <c r="X279">
        <f t="shared" si="99"/>
        <v>0.13341271251523806</v>
      </c>
      <c r="Y279" s="9"/>
    </row>
    <row r="280" spans="1:25">
      <c r="A280" s="21">
        <v>45545</v>
      </c>
      <c r="B280" s="24">
        <v>47.46</v>
      </c>
      <c r="C280" s="29">
        <f t="shared" si="91"/>
        <v>-2.1026072329689114E-3</v>
      </c>
      <c r="D280" s="24">
        <f t="shared" si="95"/>
        <v>2.2207237840643327E-2</v>
      </c>
      <c r="E280" s="24">
        <v>47.75</v>
      </c>
      <c r="F280" s="24">
        <v>47</v>
      </c>
      <c r="G280" s="24">
        <f t="shared" si="96"/>
        <v>1.5831134564643801E-2</v>
      </c>
      <c r="H280" s="24">
        <v>47.5</v>
      </c>
      <c r="I280" s="24">
        <v>47.25</v>
      </c>
      <c r="J280" s="24">
        <f t="shared" si="92"/>
        <v>5.2770448548812663E-3</v>
      </c>
      <c r="K280" s="24">
        <v>626542</v>
      </c>
      <c r="L280" s="24">
        <v>1517696526</v>
      </c>
      <c r="M280" s="24">
        <f t="shared" si="93"/>
        <v>29735683.32</v>
      </c>
      <c r="N280" s="24">
        <f t="shared" si="97"/>
        <v>6850000</v>
      </c>
      <c r="O280" s="24">
        <f t="shared" si="94"/>
        <v>9.1465985401459851E-2</v>
      </c>
      <c r="P280" s="24">
        <v>79286.740000000005</v>
      </c>
      <c r="Q280" s="27">
        <v>0.1741</v>
      </c>
      <c r="R280" s="24">
        <v>1419399864</v>
      </c>
      <c r="S280" s="24">
        <v>1325084816</v>
      </c>
      <c r="T280" s="24">
        <v>15032458</v>
      </c>
      <c r="U280" s="24">
        <v>95964851</v>
      </c>
      <c r="V280" s="24">
        <v>189365986</v>
      </c>
      <c r="W280">
        <f t="shared" si="98"/>
        <v>7.0709901310884403E-11</v>
      </c>
      <c r="X280">
        <f t="shared" si="99"/>
        <v>0.13341271251523806</v>
      </c>
      <c r="Y280" s="9"/>
    </row>
    <row r="281" spans="1:25">
      <c r="A281" s="21">
        <v>45544</v>
      </c>
      <c r="B281" s="24">
        <v>47.56</v>
      </c>
      <c r="C281" s="29">
        <f t="shared" si="91"/>
        <v>1.6849199663017144E-3</v>
      </c>
      <c r="D281" s="24">
        <f t="shared" si="95"/>
        <v>2.2207237840643327E-2</v>
      </c>
      <c r="E281" s="24">
        <v>48.25</v>
      </c>
      <c r="F281" s="24">
        <v>47.5</v>
      </c>
      <c r="G281" s="24">
        <f t="shared" si="96"/>
        <v>1.5665796344647518E-2</v>
      </c>
      <c r="H281" s="24">
        <v>47.6</v>
      </c>
      <c r="I281" s="24">
        <v>47.57</v>
      </c>
      <c r="J281" s="24">
        <f t="shared" si="92"/>
        <v>6.3045077230221996E-4</v>
      </c>
      <c r="K281" s="24">
        <v>377479</v>
      </c>
      <c r="L281" s="24">
        <v>1517696526</v>
      </c>
      <c r="M281" s="24">
        <f t="shared" si="93"/>
        <v>17952901.240000002</v>
      </c>
      <c r="N281" s="24">
        <f t="shared" si="97"/>
        <v>6850000</v>
      </c>
      <c r="O281" s="24">
        <f t="shared" si="94"/>
        <v>5.5106423357664233E-2</v>
      </c>
      <c r="P281" s="24">
        <v>78615</v>
      </c>
      <c r="Q281" s="27">
        <v>0.1741</v>
      </c>
      <c r="R281" s="24">
        <v>1419399864</v>
      </c>
      <c r="S281" s="24">
        <v>1325084816</v>
      </c>
      <c r="T281" s="24">
        <v>15032458</v>
      </c>
      <c r="U281" s="24">
        <v>95964851</v>
      </c>
      <c r="V281" s="24">
        <v>189365986</v>
      </c>
      <c r="W281">
        <f t="shared" si="98"/>
        <v>9.3852238352853229E-11</v>
      </c>
      <c r="X281">
        <f t="shared" si="99"/>
        <v>0.13341271251523806</v>
      </c>
      <c r="Y281" s="9"/>
    </row>
    <row r="282" spans="1:25">
      <c r="A282" s="21">
        <v>45541</v>
      </c>
      <c r="B282" s="24">
        <v>47.48</v>
      </c>
      <c r="C282" s="29">
        <f t="shared" si="91"/>
        <v>-7.0113591852722396E-2</v>
      </c>
      <c r="D282" s="24">
        <f t="shared" si="95"/>
        <v>2.2207237840643327E-2</v>
      </c>
      <c r="E282" s="24">
        <v>49.5</v>
      </c>
      <c r="F282" s="24">
        <v>46.5</v>
      </c>
      <c r="G282" s="24">
        <f t="shared" si="96"/>
        <v>6.25E-2</v>
      </c>
      <c r="H282" s="24">
        <v>48.5</v>
      </c>
      <c r="I282" s="24">
        <v>48.36</v>
      </c>
      <c r="J282" s="24">
        <f t="shared" si="92"/>
        <v>2.8907701837704021E-3</v>
      </c>
      <c r="K282" s="24">
        <v>3475245</v>
      </c>
      <c r="L282" s="24">
        <v>1517696526</v>
      </c>
      <c r="M282" s="24">
        <f t="shared" si="93"/>
        <v>165004632.59999999</v>
      </c>
      <c r="N282" s="24">
        <f t="shared" si="97"/>
        <v>6850000</v>
      </c>
      <c r="O282" s="24">
        <f t="shared" si="94"/>
        <v>0.50733503649635037</v>
      </c>
      <c r="P282" s="24">
        <v>78897.73</v>
      </c>
      <c r="Q282" s="27">
        <v>0.1741</v>
      </c>
      <c r="R282" s="24">
        <v>1419399864</v>
      </c>
      <c r="S282" s="24">
        <v>1325084816</v>
      </c>
      <c r="T282" s="24">
        <v>15032458</v>
      </c>
      <c r="U282" s="24">
        <v>95964851</v>
      </c>
      <c r="V282" s="24">
        <v>189365986</v>
      </c>
      <c r="W282">
        <f t="shared" si="98"/>
        <v>4.2491892953508749E-10</v>
      </c>
      <c r="X282">
        <f t="shared" si="99"/>
        <v>0.13341271251523806</v>
      </c>
      <c r="Y282" s="9"/>
    </row>
    <row r="283" spans="1:25">
      <c r="A283" s="21">
        <v>45540</v>
      </c>
      <c r="B283" s="24">
        <v>51.06</v>
      </c>
      <c r="C283" s="29">
        <f t="shared" si="91"/>
        <v>3.2558139534883707E-2</v>
      </c>
      <c r="D283" s="24">
        <f t="shared" si="95"/>
        <v>2.2207237840643327E-2</v>
      </c>
      <c r="E283" s="24">
        <v>52.75</v>
      </c>
      <c r="F283" s="24">
        <v>49.51</v>
      </c>
      <c r="G283" s="24">
        <f t="shared" si="96"/>
        <v>6.3367885781341726E-2</v>
      </c>
      <c r="H283" s="24">
        <v>51</v>
      </c>
      <c r="I283" s="24">
        <v>50.94</v>
      </c>
      <c r="J283" s="24">
        <f t="shared" si="92"/>
        <v>1.1771630370806803E-3</v>
      </c>
      <c r="K283" s="24">
        <v>7614513</v>
      </c>
      <c r="L283" s="24">
        <v>1517696526</v>
      </c>
      <c r="M283" s="24">
        <f t="shared" si="93"/>
        <v>388797033.78000003</v>
      </c>
      <c r="N283" s="24">
        <f t="shared" si="97"/>
        <v>6850000</v>
      </c>
      <c r="O283" s="24">
        <f t="shared" si="94"/>
        <v>1.1116077372262774</v>
      </c>
      <c r="P283" s="24">
        <v>78863.34</v>
      </c>
      <c r="Q283" s="27">
        <v>0.1741</v>
      </c>
      <c r="R283" s="24">
        <v>1419399864</v>
      </c>
      <c r="S283" s="24">
        <v>1325084816</v>
      </c>
      <c r="T283" s="24">
        <v>15032458</v>
      </c>
      <c r="U283" s="24">
        <v>95964851</v>
      </c>
      <c r="V283" s="24">
        <v>189365986</v>
      </c>
      <c r="W283">
        <f t="shared" si="98"/>
        <v>8.3740709692005163E-11</v>
      </c>
      <c r="X283">
        <f t="shared" si="99"/>
        <v>0.13341271251523806</v>
      </c>
      <c r="Y283" s="9"/>
    </row>
    <row r="284" spans="1:25">
      <c r="A284" s="21">
        <v>45539</v>
      </c>
      <c r="B284" s="24">
        <v>49.45</v>
      </c>
      <c r="C284" s="29">
        <f t="shared" si="91"/>
        <v>1.0121457489879406E-3</v>
      </c>
      <c r="D284" s="24">
        <f t="shared" si="95"/>
        <v>2.2207237840643327E-2</v>
      </c>
      <c r="E284" s="24">
        <v>49.87</v>
      </c>
      <c r="F284" s="24">
        <v>49.35</v>
      </c>
      <c r="G284" s="24">
        <f t="shared" si="96"/>
        <v>1.0481757710139004E-2</v>
      </c>
      <c r="H284" s="24">
        <v>49.69</v>
      </c>
      <c r="I284" s="24">
        <v>49.6</v>
      </c>
      <c r="J284" s="24">
        <f t="shared" si="92"/>
        <v>1.8128713868465368E-3</v>
      </c>
      <c r="K284" s="24">
        <v>742269</v>
      </c>
      <c r="L284" s="24">
        <v>1517696526</v>
      </c>
      <c r="M284" s="24">
        <f t="shared" si="93"/>
        <v>36705202.050000004</v>
      </c>
      <c r="N284" s="24">
        <f t="shared" si="97"/>
        <v>6850000</v>
      </c>
      <c r="O284" s="24">
        <f t="shared" si="94"/>
        <v>0.10836043795620438</v>
      </c>
      <c r="P284" s="24">
        <v>78848.009999999995</v>
      </c>
      <c r="Q284" s="27">
        <v>0.1741</v>
      </c>
      <c r="R284" s="24">
        <v>1419399864</v>
      </c>
      <c r="S284" s="24">
        <v>1325084816</v>
      </c>
      <c r="T284" s="24">
        <v>15032458</v>
      </c>
      <c r="U284" s="24">
        <v>95964851</v>
      </c>
      <c r="V284" s="24">
        <v>189365986</v>
      </c>
      <c r="W284">
        <f t="shared" si="98"/>
        <v>2.7574994618179481E-11</v>
      </c>
      <c r="X284">
        <f t="shared" si="99"/>
        <v>0.13341271251523806</v>
      </c>
      <c r="Y284" s="9"/>
    </row>
    <row r="285" spans="1:25">
      <c r="A285" s="21">
        <v>45538</v>
      </c>
      <c r="B285" s="24">
        <v>49.4</v>
      </c>
      <c r="C285" s="29">
        <f t="shared" si="91"/>
        <v>4.0502227622511179E-4</v>
      </c>
      <c r="D285" s="24">
        <f t="shared" si="95"/>
        <v>2.2207237840643327E-2</v>
      </c>
      <c r="E285" s="24">
        <v>50.04</v>
      </c>
      <c r="F285" s="24">
        <v>49.05</v>
      </c>
      <c r="G285" s="24">
        <f t="shared" si="96"/>
        <v>1.9981834695731192E-2</v>
      </c>
      <c r="H285" s="24">
        <v>49.49</v>
      </c>
      <c r="I285" s="24">
        <v>49.4</v>
      </c>
      <c r="J285" s="24">
        <f t="shared" si="92"/>
        <v>1.8202042673678513E-3</v>
      </c>
      <c r="K285" s="24">
        <v>1034569</v>
      </c>
      <c r="L285" s="24">
        <v>1517696526</v>
      </c>
      <c r="M285" s="24">
        <f t="shared" si="93"/>
        <v>51107708.600000001</v>
      </c>
      <c r="N285" s="24">
        <f t="shared" si="97"/>
        <v>6850000</v>
      </c>
      <c r="O285" s="24">
        <f t="shared" si="94"/>
        <v>0.15103197080291972</v>
      </c>
      <c r="P285" s="24">
        <v>78356.320000000007</v>
      </c>
      <c r="Q285" s="27">
        <v>0.17469999999999999</v>
      </c>
      <c r="R285" s="24">
        <v>1419399864</v>
      </c>
      <c r="S285" s="24">
        <v>1325084816</v>
      </c>
      <c r="T285" s="24">
        <v>15032458</v>
      </c>
      <c r="U285" s="24">
        <v>95964851</v>
      </c>
      <c r="V285" s="24">
        <v>189365986</v>
      </c>
      <c r="W285">
        <f t="shared" si="98"/>
        <v>7.924876448581609E-12</v>
      </c>
      <c r="X285">
        <f t="shared" si="99"/>
        <v>0.13341271251523806</v>
      </c>
      <c r="Y285" s="9"/>
    </row>
    <row r="286" spans="1:25">
      <c r="A286" s="21">
        <v>45537</v>
      </c>
      <c r="B286" s="24">
        <v>49.38</v>
      </c>
      <c r="C286" s="29">
        <f t="shared" si="91"/>
        <v>-8.4337349397589287E-3</v>
      </c>
      <c r="D286" s="24">
        <f t="shared" si="95"/>
        <v>2.2207237840643327E-2</v>
      </c>
      <c r="E286" s="24">
        <v>50.4</v>
      </c>
      <c r="F286" s="24">
        <v>48.84</v>
      </c>
      <c r="G286" s="24">
        <f t="shared" si="96"/>
        <v>3.1438935912938233E-2</v>
      </c>
      <c r="H286" s="24">
        <v>49.45</v>
      </c>
      <c r="I286" s="24">
        <v>49.4</v>
      </c>
      <c r="J286" s="24">
        <f t="shared" si="92"/>
        <v>1.0116337885686245E-3</v>
      </c>
      <c r="K286" s="24">
        <v>1245931</v>
      </c>
      <c r="L286" s="24">
        <v>1517696526</v>
      </c>
      <c r="M286" s="24">
        <f t="shared" si="93"/>
        <v>61524072.780000001</v>
      </c>
      <c r="N286" s="24">
        <f t="shared" si="97"/>
        <v>6850000</v>
      </c>
      <c r="O286" s="24">
        <f t="shared" si="94"/>
        <v>0.18188773722627738</v>
      </c>
      <c r="P286" s="24">
        <v>78283.3</v>
      </c>
      <c r="Q286" s="27">
        <v>0.17469999999999999</v>
      </c>
      <c r="R286" s="24">
        <v>1419399864</v>
      </c>
      <c r="S286" s="24">
        <v>1325084816</v>
      </c>
      <c r="T286" s="24">
        <v>15032458</v>
      </c>
      <c r="U286" s="24">
        <v>95964851</v>
      </c>
      <c r="V286" s="24">
        <v>189365986</v>
      </c>
      <c r="W286">
        <f t="shared" si="98"/>
        <v>1.3708024450716361E-10</v>
      </c>
      <c r="X286">
        <f t="shared" si="99"/>
        <v>0.13341271251523806</v>
      </c>
      <c r="Y286" s="9"/>
    </row>
    <row r="287" spans="1:25">
      <c r="A287" s="21">
        <v>45534</v>
      </c>
      <c r="B287" s="24">
        <v>49.8</v>
      </c>
      <c r="C287" s="29">
        <f t="shared" si="91"/>
        <v>-4.1991601679664241E-3</v>
      </c>
      <c r="D287" s="24">
        <f t="shared" si="95"/>
        <v>2.2207237840643327E-2</v>
      </c>
      <c r="E287" s="24">
        <v>50.75</v>
      </c>
      <c r="F287" s="24">
        <v>49.7</v>
      </c>
      <c r="G287" s="24">
        <f t="shared" si="96"/>
        <v>2.0905923344947678E-2</v>
      </c>
      <c r="H287" s="24">
        <v>49.7</v>
      </c>
      <c r="I287" s="24">
        <v>49.69</v>
      </c>
      <c r="J287" s="24">
        <f t="shared" si="92"/>
        <v>2.0122748767491933E-4</v>
      </c>
      <c r="K287" s="24">
        <v>2821940</v>
      </c>
      <c r="L287" s="24">
        <v>1517696526</v>
      </c>
      <c r="M287" s="24">
        <f t="shared" si="93"/>
        <v>140532612</v>
      </c>
      <c r="N287" s="24">
        <f t="shared" si="97"/>
        <v>6850000</v>
      </c>
      <c r="O287" s="24">
        <f t="shared" si="94"/>
        <v>0.41196204379562046</v>
      </c>
      <c r="P287" s="24">
        <v>78488.22</v>
      </c>
      <c r="Q287" s="27">
        <v>0.17469999999999999</v>
      </c>
      <c r="R287" s="24">
        <v>1419399864</v>
      </c>
      <c r="S287" s="24">
        <v>1325084816</v>
      </c>
      <c r="T287" s="24">
        <v>15032458</v>
      </c>
      <c r="U287" s="24">
        <v>95964851</v>
      </c>
      <c r="V287" s="24">
        <v>189365986</v>
      </c>
      <c r="W287">
        <f t="shared" si="98"/>
        <v>2.9880325343746004E-11</v>
      </c>
      <c r="X287">
        <f t="shared" si="99"/>
        <v>0.13341271251523806</v>
      </c>
      <c r="Y287" s="9"/>
    </row>
    <row r="288" spans="1:25">
      <c r="A288" s="21">
        <v>45533</v>
      </c>
      <c r="B288" s="24">
        <v>50.01</v>
      </c>
      <c r="C288" s="29">
        <f t="shared" si="91"/>
        <v>4.8221820373718074E-3</v>
      </c>
      <c r="D288" s="24">
        <f t="shared" si="95"/>
        <v>2.2207237840643327E-2</v>
      </c>
      <c r="E288" s="24">
        <v>50.59</v>
      </c>
      <c r="F288" s="24">
        <v>49.7</v>
      </c>
      <c r="G288" s="24">
        <f t="shared" si="96"/>
        <v>1.7748529265131131E-2</v>
      </c>
      <c r="H288" s="24">
        <v>50.49</v>
      </c>
      <c r="I288" s="24">
        <v>50.41</v>
      </c>
      <c r="J288" s="24">
        <f t="shared" si="92"/>
        <v>1.5857284440040714E-3</v>
      </c>
      <c r="K288" s="24">
        <v>4012390</v>
      </c>
      <c r="L288" s="24">
        <v>1517696526</v>
      </c>
      <c r="M288" s="24">
        <f t="shared" si="93"/>
        <v>200659623.90000001</v>
      </c>
      <c r="N288" s="24">
        <f t="shared" si="97"/>
        <v>6850000</v>
      </c>
      <c r="O288" s="24">
        <f t="shared" si="94"/>
        <v>0.58575036496350363</v>
      </c>
      <c r="P288" s="24">
        <v>78349.66</v>
      </c>
      <c r="Q288" s="27">
        <v>0.17469999999999999</v>
      </c>
      <c r="R288" s="24">
        <v>1419399864</v>
      </c>
      <c r="S288" s="24">
        <v>1325084816</v>
      </c>
      <c r="T288" s="24">
        <v>15032458</v>
      </c>
      <c r="U288" s="24">
        <v>95964851</v>
      </c>
      <c r="V288" s="24">
        <v>189365986</v>
      </c>
      <c r="W288">
        <f t="shared" si="98"/>
        <v>2.4031650930308592E-11</v>
      </c>
      <c r="X288">
        <f t="shared" si="99"/>
        <v>0.13341271251523806</v>
      </c>
      <c r="Y288" s="9"/>
    </row>
    <row r="289" spans="1:25">
      <c r="A289" s="21">
        <v>45532</v>
      </c>
      <c r="B289" s="24">
        <v>49.77</v>
      </c>
      <c r="C289" s="29">
        <f t="shared" si="91"/>
        <v>1.7375306623058081E-2</v>
      </c>
      <c r="D289" s="24">
        <f t="shared" si="95"/>
        <v>2.2207237840643327E-2</v>
      </c>
      <c r="E289" s="24">
        <v>50.99</v>
      </c>
      <c r="F289" s="24">
        <v>48.5</v>
      </c>
      <c r="G289" s="24">
        <f t="shared" si="96"/>
        <v>5.0055281937883236E-2</v>
      </c>
      <c r="H289" s="24">
        <v>49.85</v>
      </c>
      <c r="I289" s="24">
        <v>49.81</v>
      </c>
      <c r="J289" s="24">
        <f t="shared" si="92"/>
        <v>8.0272927955045447E-4</v>
      </c>
      <c r="K289" s="24">
        <v>10899708</v>
      </c>
      <c r="L289" s="24">
        <v>1517696526</v>
      </c>
      <c r="M289" s="24">
        <f t="shared" si="93"/>
        <v>542478467.16000009</v>
      </c>
      <c r="N289" s="24">
        <f t="shared" si="97"/>
        <v>6850000</v>
      </c>
      <c r="O289" s="24">
        <f t="shared" si="94"/>
        <v>1.5911982481751825</v>
      </c>
      <c r="P289" s="24">
        <v>77992.789999999994</v>
      </c>
      <c r="Q289" s="27">
        <v>0.17469999999999999</v>
      </c>
      <c r="R289" s="24">
        <v>1419399864</v>
      </c>
      <c r="S289" s="24">
        <v>1325084816</v>
      </c>
      <c r="T289" s="24">
        <v>15032458</v>
      </c>
      <c r="U289" s="24">
        <v>95964851</v>
      </c>
      <c r="V289" s="24">
        <v>189365986</v>
      </c>
      <c r="W289">
        <f t="shared" si="98"/>
        <v>3.202948628361568E-11</v>
      </c>
      <c r="X289">
        <f t="shared" si="99"/>
        <v>0.13341271251523806</v>
      </c>
      <c r="Y289" s="9"/>
    </row>
    <row r="290" spans="1:25">
      <c r="A290" s="21">
        <v>45531</v>
      </c>
      <c r="B290" s="24">
        <v>48.92</v>
      </c>
      <c r="C290" s="29">
        <f t="shared" si="91"/>
        <v>4.5174537987679435E-3</v>
      </c>
      <c r="D290" s="24">
        <f t="shared" si="95"/>
        <v>2.2207237840643327E-2</v>
      </c>
      <c r="E290" s="24">
        <v>49</v>
      </c>
      <c r="F290" s="24">
        <v>48.1</v>
      </c>
      <c r="G290" s="24">
        <f t="shared" si="96"/>
        <v>1.8537590113285245E-2</v>
      </c>
      <c r="H290" s="24">
        <v>48.99</v>
      </c>
      <c r="I290" s="24">
        <v>48.88</v>
      </c>
      <c r="J290" s="24">
        <f t="shared" si="92"/>
        <v>2.2478798406048721E-3</v>
      </c>
      <c r="K290" s="24">
        <v>540662</v>
      </c>
      <c r="L290" s="24">
        <v>1517696526</v>
      </c>
      <c r="M290" s="24">
        <f t="shared" si="93"/>
        <v>26449185.039999999</v>
      </c>
      <c r="N290" s="24">
        <f t="shared" si="97"/>
        <v>6850000</v>
      </c>
      <c r="O290" s="24">
        <f t="shared" si="94"/>
        <v>7.8928759124087589E-2</v>
      </c>
      <c r="P290" s="24">
        <v>78084.240000000005</v>
      </c>
      <c r="Q290" s="27">
        <v>0.17469999999999999</v>
      </c>
      <c r="R290" s="24">
        <v>1419399864</v>
      </c>
      <c r="S290" s="24">
        <v>1325084816</v>
      </c>
      <c r="T290" s="24">
        <v>15032458</v>
      </c>
      <c r="U290" s="24">
        <v>95964851</v>
      </c>
      <c r="V290" s="24">
        <v>189365986</v>
      </c>
      <c r="W290">
        <f t="shared" si="98"/>
        <v>1.7079746661139258E-10</v>
      </c>
      <c r="X290">
        <f t="shared" si="99"/>
        <v>0.13341271251523806</v>
      </c>
      <c r="Y290" s="9"/>
    </row>
    <row r="291" spans="1:25">
      <c r="A291" s="21">
        <v>45530</v>
      </c>
      <c r="B291" s="24">
        <v>48.7</v>
      </c>
      <c r="C291" s="29">
        <f t="shared" si="91"/>
        <v>-4.1050903119860472E-4</v>
      </c>
      <c r="D291" s="24">
        <f t="shared" si="95"/>
        <v>2.2207237840643327E-2</v>
      </c>
      <c r="E291" s="24">
        <v>49.35</v>
      </c>
      <c r="F291" s="24">
        <v>47.55</v>
      </c>
      <c r="G291" s="24">
        <f t="shared" si="96"/>
        <v>3.7151702786377798E-2</v>
      </c>
      <c r="H291" s="24">
        <v>48.79</v>
      </c>
      <c r="I291" s="24">
        <v>48.66</v>
      </c>
      <c r="J291" s="24">
        <f t="shared" si="92"/>
        <v>2.668034889687072E-3</v>
      </c>
      <c r="K291" s="24">
        <v>1294382</v>
      </c>
      <c r="L291" s="24">
        <v>1517696526</v>
      </c>
      <c r="M291" s="24">
        <f t="shared" si="93"/>
        <v>63036403.400000006</v>
      </c>
      <c r="N291" s="24">
        <f t="shared" si="97"/>
        <v>6850000</v>
      </c>
      <c r="O291" s="24">
        <f t="shared" si="94"/>
        <v>0.18896087591240876</v>
      </c>
      <c r="P291" s="24">
        <v>78571.06</v>
      </c>
      <c r="Q291" s="27">
        <v>0.17469999999999999</v>
      </c>
      <c r="R291" s="24">
        <v>1419399864</v>
      </c>
      <c r="S291" s="24">
        <v>1325084816</v>
      </c>
      <c r="T291" s="24">
        <v>15032458</v>
      </c>
      <c r="U291" s="24">
        <v>95964851</v>
      </c>
      <c r="V291" s="24">
        <v>189365986</v>
      </c>
      <c r="W291">
        <f t="shared" si="98"/>
        <v>6.5122533814897931E-12</v>
      </c>
      <c r="X291">
        <f t="shared" si="99"/>
        <v>0.13341271251523806</v>
      </c>
      <c r="Y291" s="9"/>
    </row>
    <row r="292" spans="1:25">
      <c r="A292" s="21">
        <v>45527</v>
      </c>
      <c r="B292" s="24">
        <v>48.72</v>
      </c>
      <c r="C292" s="29">
        <f t="shared" si="91"/>
        <v>-3.0693677102516591E-3</v>
      </c>
      <c r="D292" s="24">
        <f t="shared" si="95"/>
        <v>2.2207237840643327E-2</v>
      </c>
      <c r="E292" s="24">
        <v>49.75</v>
      </c>
      <c r="F292" s="24">
        <v>48.51</v>
      </c>
      <c r="G292" s="24">
        <f t="shared" si="96"/>
        <v>2.5239161408508081E-2</v>
      </c>
      <c r="H292" s="24">
        <v>48.72</v>
      </c>
      <c r="I292" s="24">
        <v>48.71</v>
      </c>
      <c r="J292" s="24">
        <f t="shared" si="92"/>
        <v>2.0527558246942441E-4</v>
      </c>
      <c r="K292" s="24">
        <v>938175</v>
      </c>
      <c r="L292" s="24">
        <v>1517696526</v>
      </c>
      <c r="M292" s="24">
        <f t="shared" si="93"/>
        <v>45707886</v>
      </c>
      <c r="N292" s="24">
        <f t="shared" si="97"/>
        <v>6850000</v>
      </c>
      <c r="O292" s="24">
        <f t="shared" si="94"/>
        <v>0.13695985401459854</v>
      </c>
      <c r="P292" s="24">
        <v>78801.429999999993</v>
      </c>
      <c r="Q292" s="27">
        <v>0.17469999999999999</v>
      </c>
      <c r="R292" s="24">
        <v>1419399864</v>
      </c>
      <c r="S292" s="24">
        <v>1325084816</v>
      </c>
      <c r="T292" s="24">
        <v>15032458</v>
      </c>
      <c r="U292" s="24">
        <v>95964851</v>
      </c>
      <c r="V292" s="24">
        <v>189365986</v>
      </c>
      <c r="W292">
        <f t="shared" si="98"/>
        <v>6.7151819496785721E-11</v>
      </c>
      <c r="X292">
        <f t="shared" si="99"/>
        <v>0.13341271251523806</v>
      </c>
      <c r="Y292" s="9"/>
    </row>
    <row r="293" spans="1:25">
      <c r="A293" s="21">
        <v>45526</v>
      </c>
      <c r="B293" s="24">
        <v>48.87</v>
      </c>
      <c r="C293" s="29">
        <f t="shared" si="91"/>
        <v>-1.3723511604439955E-2</v>
      </c>
      <c r="D293" s="24">
        <f t="shared" si="95"/>
        <v>2.2207237840643327E-2</v>
      </c>
      <c r="E293" s="24">
        <v>49.8</v>
      </c>
      <c r="F293" s="24">
        <v>48.76</v>
      </c>
      <c r="G293" s="24">
        <f t="shared" si="96"/>
        <v>2.1103896103896087E-2</v>
      </c>
      <c r="H293" s="24">
        <v>48.8</v>
      </c>
      <c r="I293" s="24">
        <v>48.78</v>
      </c>
      <c r="J293" s="24">
        <f t="shared" si="92"/>
        <v>4.0992006558712897E-4</v>
      </c>
      <c r="K293" s="24">
        <v>773142</v>
      </c>
      <c r="L293" s="24">
        <v>1517696526</v>
      </c>
      <c r="M293" s="24">
        <f t="shared" si="93"/>
        <v>37783449.539999999</v>
      </c>
      <c r="N293" s="24">
        <f t="shared" si="97"/>
        <v>6850000</v>
      </c>
      <c r="O293" s="24">
        <f t="shared" si="94"/>
        <v>0.11286744525547446</v>
      </c>
      <c r="P293" s="24">
        <v>78793.41</v>
      </c>
      <c r="Q293" s="27">
        <v>0.17469999999999999</v>
      </c>
      <c r="R293" s="24">
        <v>1419399864</v>
      </c>
      <c r="S293" s="24">
        <v>1325084816</v>
      </c>
      <c r="T293" s="24">
        <v>15032458</v>
      </c>
      <c r="U293" s="24">
        <v>95964851</v>
      </c>
      <c r="V293" s="24">
        <v>189365986</v>
      </c>
      <c r="W293">
        <f t="shared" si="98"/>
        <v>3.6321489359809142E-10</v>
      </c>
      <c r="X293">
        <f t="shared" si="99"/>
        <v>0.13341271251523806</v>
      </c>
      <c r="Y293" s="9"/>
    </row>
    <row r="294" spans="1:25">
      <c r="A294" s="21">
        <v>45525</v>
      </c>
      <c r="B294" s="24">
        <v>49.55</v>
      </c>
      <c r="C294" s="29">
        <f t="shared" si="91"/>
        <v>2.5031030202730526E-2</v>
      </c>
      <c r="D294" s="24">
        <f t="shared" si="95"/>
        <v>2.2207237840643327E-2</v>
      </c>
      <c r="E294" s="24">
        <v>50.25</v>
      </c>
      <c r="F294" s="24">
        <v>48.3</v>
      </c>
      <c r="G294" s="24">
        <f t="shared" si="96"/>
        <v>3.9573820395738264E-2</v>
      </c>
      <c r="H294" s="24">
        <v>49.6</v>
      </c>
      <c r="I294" s="24">
        <v>49.59</v>
      </c>
      <c r="J294" s="24">
        <f t="shared" si="92"/>
        <v>2.0163322915612482E-4</v>
      </c>
      <c r="K294" s="24">
        <v>3563055</v>
      </c>
      <c r="L294" s="24">
        <v>1517696526</v>
      </c>
      <c r="M294" s="24">
        <f t="shared" si="93"/>
        <v>176549375.25</v>
      </c>
      <c r="N294" s="24">
        <f t="shared" si="97"/>
        <v>6850000</v>
      </c>
      <c r="O294" s="24">
        <f t="shared" si="94"/>
        <v>0.52015401459854016</v>
      </c>
      <c r="P294" s="24">
        <v>78260.86</v>
      </c>
      <c r="Q294" s="27">
        <v>0.17469999999999999</v>
      </c>
      <c r="R294" s="24">
        <v>1419399864</v>
      </c>
      <c r="S294" s="24">
        <v>1325084816</v>
      </c>
      <c r="T294" s="24">
        <v>15032458</v>
      </c>
      <c r="U294" s="24">
        <v>95964851</v>
      </c>
      <c r="V294" s="24">
        <v>189365986</v>
      </c>
      <c r="W294">
        <f t="shared" si="98"/>
        <v>1.4177920577337487E-10</v>
      </c>
      <c r="X294">
        <f t="shared" si="99"/>
        <v>0.13341271251523806</v>
      </c>
      <c r="Y294" s="9"/>
    </row>
    <row r="295" spans="1:25">
      <c r="A295" s="21">
        <v>45524</v>
      </c>
      <c r="B295" s="24">
        <v>48.34</v>
      </c>
      <c r="C295" s="29">
        <f t="shared" si="91"/>
        <v>1.2780222082547801E-2</v>
      </c>
      <c r="D295" s="24">
        <f t="shared" si="95"/>
        <v>2.2207237840643327E-2</v>
      </c>
      <c r="E295" s="24">
        <v>48.8</v>
      </c>
      <c r="F295" s="24">
        <v>47.5</v>
      </c>
      <c r="G295" s="24">
        <f t="shared" si="96"/>
        <v>2.6998961578400774E-2</v>
      </c>
      <c r="H295" s="24">
        <v>48.23</v>
      </c>
      <c r="I295" s="24">
        <v>48.16</v>
      </c>
      <c r="J295" s="24">
        <f t="shared" si="92"/>
        <v>1.4524328249818507E-3</v>
      </c>
      <c r="K295" s="24">
        <v>2043066</v>
      </c>
      <c r="L295" s="24">
        <v>1517696526</v>
      </c>
      <c r="M295" s="24">
        <f t="shared" si="93"/>
        <v>98761810.440000013</v>
      </c>
      <c r="N295" s="24">
        <f t="shared" si="97"/>
        <v>6850000</v>
      </c>
      <c r="O295" s="24">
        <f t="shared" si="94"/>
        <v>0.29825781021897813</v>
      </c>
      <c r="P295" s="24">
        <v>77745.52</v>
      </c>
      <c r="Q295" s="27">
        <v>0.189</v>
      </c>
      <c r="R295" s="24">
        <v>1419399864</v>
      </c>
      <c r="S295" s="24">
        <v>1325084816</v>
      </c>
      <c r="T295" s="24">
        <v>15032458</v>
      </c>
      <c r="U295" s="24">
        <v>95964851</v>
      </c>
      <c r="V295" s="24">
        <v>189365986</v>
      </c>
      <c r="W295">
        <f t="shared" si="98"/>
        <v>1.2940449375735239E-10</v>
      </c>
      <c r="X295">
        <f t="shared" si="99"/>
        <v>0.13341271251523806</v>
      </c>
      <c r="Y295" s="9"/>
    </row>
    <row r="296" spans="1:25">
      <c r="A296" s="21">
        <v>45523</v>
      </c>
      <c r="B296" s="24">
        <v>47.73</v>
      </c>
      <c r="C296" s="29">
        <f t="shared" si="91"/>
        <v>2.0089762769822564E-2</v>
      </c>
      <c r="D296" s="24">
        <f t="shared" si="95"/>
        <v>2.2207237840643327E-2</v>
      </c>
      <c r="E296" s="24">
        <v>48.19</v>
      </c>
      <c r="F296" s="24">
        <v>46.51</v>
      </c>
      <c r="G296" s="24">
        <f t="shared" si="96"/>
        <v>3.5480464625131991E-2</v>
      </c>
      <c r="H296" s="24">
        <v>47.98</v>
      </c>
      <c r="I296" s="24">
        <v>47.7</v>
      </c>
      <c r="J296" s="24">
        <f t="shared" si="92"/>
        <v>5.8528428093644232E-3</v>
      </c>
      <c r="K296" s="24">
        <v>853506</v>
      </c>
      <c r="L296" s="24">
        <v>1517696526</v>
      </c>
      <c r="M296" s="24">
        <f t="shared" si="93"/>
        <v>40737841.379999995</v>
      </c>
      <c r="N296" s="24">
        <f t="shared" si="97"/>
        <v>6850000</v>
      </c>
      <c r="O296" s="24">
        <f t="shared" si="94"/>
        <v>0.12459941605839416</v>
      </c>
      <c r="P296" s="24">
        <v>77830.34</v>
      </c>
      <c r="Q296" s="27">
        <v>0.189</v>
      </c>
      <c r="R296" s="24">
        <v>1419399864</v>
      </c>
      <c r="S296" s="24">
        <v>1325084816</v>
      </c>
      <c r="T296" s="24">
        <v>15032458</v>
      </c>
      <c r="U296" s="24">
        <v>95964851</v>
      </c>
      <c r="V296" s="24">
        <v>189365986</v>
      </c>
      <c r="W296">
        <f t="shared" si="98"/>
        <v>4.9314745429014103E-10</v>
      </c>
      <c r="X296">
        <f t="shared" si="99"/>
        <v>0.13341271251523806</v>
      </c>
      <c r="Y296" s="9"/>
    </row>
    <row r="297" spans="1:25">
      <c r="A297" s="21">
        <v>45520</v>
      </c>
      <c r="B297" s="24">
        <v>46.79</v>
      </c>
      <c r="C297" s="29">
        <f t="shared" si="91"/>
        <v>-1.7223272421760142E-2</v>
      </c>
      <c r="D297" s="24">
        <f t="shared" si="95"/>
        <v>2.2207237840643327E-2</v>
      </c>
      <c r="E297" s="24">
        <v>47.9</v>
      </c>
      <c r="F297" s="24">
        <v>46.7</v>
      </c>
      <c r="G297" s="24">
        <f t="shared" si="96"/>
        <v>2.5369978858350864E-2</v>
      </c>
      <c r="H297" s="24">
        <v>47.07</v>
      </c>
      <c r="I297" s="24">
        <v>47</v>
      </c>
      <c r="J297" s="24">
        <f t="shared" si="92"/>
        <v>1.488253428298082E-3</v>
      </c>
      <c r="K297" s="24">
        <v>1301674</v>
      </c>
      <c r="L297" s="24">
        <v>1517696526</v>
      </c>
      <c r="M297" s="24">
        <f t="shared" si="93"/>
        <v>60905326.460000001</v>
      </c>
      <c r="N297" s="24">
        <f t="shared" si="97"/>
        <v>6850000</v>
      </c>
      <c r="O297" s="24">
        <f t="shared" si="94"/>
        <v>0.19002540145985403</v>
      </c>
      <c r="P297" s="24">
        <v>78045.31</v>
      </c>
      <c r="Q297" s="27">
        <v>0.189</v>
      </c>
      <c r="R297" s="24">
        <v>1419399864</v>
      </c>
      <c r="S297" s="24">
        <v>1325084816</v>
      </c>
      <c r="T297" s="24">
        <v>15032458</v>
      </c>
      <c r="U297" s="24">
        <v>95964851</v>
      </c>
      <c r="V297" s="24">
        <v>189365986</v>
      </c>
      <c r="W297">
        <f t="shared" si="98"/>
        <v>2.8278762175376642E-10</v>
      </c>
      <c r="X297">
        <f t="shared" si="99"/>
        <v>0.13341271251523806</v>
      </c>
      <c r="Y297" s="9"/>
    </row>
    <row r="298" spans="1:25">
      <c r="A298" s="21">
        <v>45519</v>
      </c>
      <c r="B298" s="24">
        <v>47.61</v>
      </c>
      <c r="C298" s="29">
        <f t="shared" si="91"/>
        <v>-1.3264248704663225E-2</v>
      </c>
      <c r="D298" s="24">
        <f t="shared" si="95"/>
        <v>2.2207237840643327E-2</v>
      </c>
      <c r="E298" s="24">
        <v>48.8</v>
      </c>
      <c r="F298" s="24">
        <v>47.5</v>
      </c>
      <c r="G298" s="24">
        <f t="shared" si="96"/>
        <v>2.6998961578400774E-2</v>
      </c>
      <c r="H298" s="24">
        <v>47.69</v>
      </c>
      <c r="I298" s="24">
        <v>47.6</v>
      </c>
      <c r="J298" s="24">
        <f t="shared" si="92"/>
        <v>1.8889705110713886E-3</v>
      </c>
      <c r="K298" s="24">
        <v>1194126</v>
      </c>
      <c r="L298" s="24">
        <v>1517696526</v>
      </c>
      <c r="M298" s="24">
        <f t="shared" si="93"/>
        <v>56852338.859999999</v>
      </c>
      <c r="N298" s="24">
        <f t="shared" si="97"/>
        <v>6850000</v>
      </c>
      <c r="O298" s="24">
        <f t="shared" si="94"/>
        <v>0.17432496350364962</v>
      </c>
      <c r="P298" s="24">
        <v>78105.98</v>
      </c>
      <c r="Q298" s="27">
        <v>0.189</v>
      </c>
      <c r="R298" s="24">
        <v>1419399864</v>
      </c>
      <c r="S298" s="24">
        <v>1325084816</v>
      </c>
      <c r="T298" s="24">
        <v>15032458</v>
      </c>
      <c r="U298" s="24">
        <v>95964851</v>
      </c>
      <c r="V298" s="24">
        <v>189365986</v>
      </c>
      <c r="W298">
        <f t="shared" si="98"/>
        <v>2.3331051933196096E-10</v>
      </c>
      <c r="X298">
        <f t="shared" si="99"/>
        <v>0.13341271251523806</v>
      </c>
      <c r="Y298" s="9"/>
    </row>
    <row r="299" spans="1:25">
      <c r="A299" s="21">
        <v>45517</v>
      </c>
      <c r="B299" s="24">
        <v>48.25</v>
      </c>
      <c r="C299" s="29">
        <f t="shared" si="91"/>
        <v>-1.2686719869040259E-2</v>
      </c>
      <c r="D299" s="24">
        <f t="shared" si="95"/>
        <v>2.2207237840643327E-2</v>
      </c>
      <c r="E299" s="24">
        <v>48.75</v>
      </c>
      <c r="F299" s="24">
        <v>48.01</v>
      </c>
      <c r="G299" s="24">
        <f t="shared" si="96"/>
        <v>1.5295576684580448E-2</v>
      </c>
      <c r="H299" s="24">
        <v>48.29</v>
      </c>
      <c r="I299" s="24">
        <v>48.1</v>
      </c>
      <c r="J299" s="24">
        <f t="shared" si="92"/>
        <v>3.9423176678078167E-3</v>
      </c>
      <c r="K299" s="24">
        <v>515099</v>
      </c>
      <c r="L299" s="24">
        <v>1517696526</v>
      </c>
      <c r="M299" s="24">
        <f t="shared" si="93"/>
        <v>24853526.75</v>
      </c>
      <c r="N299" s="24">
        <f t="shared" si="97"/>
        <v>6850000</v>
      </c>
      <c r="O299" s="24">
        <f t="shared" si="94"/>
        <v>7.5196934306569346E-2</v>
      </c>
      <c r="P299" s="24">
        <v>77877.42</v>
      </c>
      <c r="Q299" s="27">
        <v>0.189</v>
      </c>
      <c r="R299" s="24">
        <v>1419399864</v>
      </c>
      <c r="S299" s="24">
        <v>1325084816</v>
      </c>
      <c r="T299" s="24">
        <v>15032458</v>
      </c>
      <c r="U299" s="24">
        <v>95964851</v>
      </c>
      <c r="V299" s="24">
        <v>189365986</v>
      </c>
      <c r="W299">
        <f t="shared" si="98"/>
        <v>5.1045954148299125E-10</v>
      </c>
      <c r="X299">
        <f t="shared" si="99"/>
        <v>0.13341271251523806</v>
      </c>
      <c r="Y299" s="9"/>
    </row>
    <row r="300" spans="1:25">
      <c r="A300" s="21">
        <v>45516</v>
      </c>
      <c r="B300" s="24">
        <v>48.87</v>
      </c>
      <c r="C300" s="29">
        <f t="shared" si="91"/>
        <v>-6.9091648039017149E-3</v>
      </c>
      <c r="D300" s="24">
        <f t="shared" si="95"/>
        <v>2.2207237840643327E-2</v>
      </c>
      <c r="E300" s="24">
        <v>49.95</v>
      </c>
      <c r="F300" s="24">
        <v>48.51</v>
      </c>
      <c r="G300" s="24">
        <f t="shared" si="96"/>
        <v>2.9250457038391322E-2</v>
      </c>
      <c r="H300" s="24">
        <v>48.83</v>
      </c>
      <c r="I300" s="24">
        <v>48.77</v>
      </c>
      <c r="J300" s="24">
        <f t="shared" si="92"/>
        <v>1.2295081967212125E-3</v>
      </c>
      <c r="K300" s="24">
        <v>1006447</v>
      </c>
      <c r="L300" s="24">
        <v>1517696526</v>
      </c>
      <c r="M300" s="24">
        <f t="shared" si="93"/>
        <v>49185064.890000001</v>
      </c>
      <c r="N300" s="24">
        <f t="shared" si="97"/>
        <v>6850000</v>
      </c>
      <c r="O300" s="24">
        <f t="shared" si="94"/>
        <v>0.14692656934306569</v>
      </c>
      <c r="P300" s="24">
        <v>77980.289999999994</v>
      </c>
      <c r="Q300" s="27">
        <v>0.189</v>
      </c>
      <c r="R300" s="24">
        <v>1419399864</v>
      </c>
      <c r="S300" s="24">
        <v>1325084816</v>
      </c>
      <c r="T300" s="24">
        <v>15032458</v>
      </c>
      <c r="U300" s="24">
        <v>95964851</v>
      </c>
      <c r="V300" s="24">
        <v>189365986</v>
      </c>
      <c r="W300">
        <f t="shared" si="98"/>
        <v>1.4047282075064302E-10</v>
      </c>
      <c r="X300">
        <f t="shared" si="99"/>
        <v>0.13341271251523806</v>
      </c>
      <c r="Y300" s="9"/>
    </row>
    <row r="301" spans="1:25">
      <c r="A301" s="21">
        <v>45513</v>
      </c>
      <c r="B301" s="24">
        <v>49.21</v>
      </c>
      <c r="C301" s="29">
        <f t="shared" si="91"/>
        <v>2.4444897127724064E-3</v>
      </c>
      <c r="D301" s="24">
        <f t="shared" si="95"/>
        <v>2.2207237840643327E-2</v>
      </c>
      <c r="E301" s="24">
        <v>49.85</v>
      </c>
      <c r="F301" s="24">
        <v>48.92</v>
      </c>
      <c r="G301" s="24">
        <f t="shared" si="96"/>
        <v>1.8831629037157023E-2</v>
      </c>
      <c r="H301" s="24">
        <v>49.25</v>
      </c>
      <c r="I301" s="24">
        <v>49.21</v>
      </c>
      <c r="J301" s="24">
        <f t="shared" si="92"/>
        <v>8.1251269551085002E-4</v>
      </c>
      <c r="K301" s="24">
        <v>1113717</v>
      </c>
      <c r="L301" s="24">
        <v>1517696526</v>
      </c>
      <c r="M301" s="24">
        <f t="shared" si="93"/>
        <v>54806013.57</v>
      </c>
      <c r="N301" s="24">
        <f t="shared" si="97"/>
        <v>6850000</v>
      </c>
      <c r="O301" s="24">
        <f t="shared" si="94"/>
        <v>0.16258642335766424</v>
      </c>
      <c r="P301" s="24">
        <v>78569.59</v>
      </c>
      <c r="Q301" s="27">
        <v>0.189</v>
      </c>
      <c r="R301" s="24">
        <v>1419399864</v>
      </c>
      <c r="S301" s="24">
        <v>1325084816</v>
      </c>
      <c r="T301" s="24">
        <v>15032458</v>
      </c>
      <c r="U301" s="24">
        <v>95964851</v>
      </c>
      <c r="V301" s="24">
        <v>189365986</v>
      </c>
      <c r="W301">
        <f t="shared" si="98"/>
        <v>4.460258197123251E-11</v>
      </c>
      <c r="X301">
        <f t="shared" si="99"/>
        <v>0.13341271251523806</v>
      </c>
      <c r="Y301" s="9"/>
    </row>
    <row r="302" spans="1:25">
      <c r="A302" s="21">
        <v>45512</v>
      </c>
      <c r="B302" s="24">
        <v>49.09</v>
      </c>
      <c r="C302" s="29">
        <f t="shared" si="91"/>
        <v>-6.8784139186727957E-3</v>
      </c>
      <c r="D302" s="24">
        <f t="shared" si="95"/>
        <v>2.2207237840643327E-2</v>
      </c>
      <c r="E302" s="24">
        <v>49.99</v>
      </c>
      <c r="F302" s="24">
        <v>48.52</v>
      </c>
      <c r="G302" s="24">
        <f t="shared" si="96"/>
        <v>2.9844685818698584E-2</v>
      </c>
      <c r="H302" s="24">
        <v>49.4</v>
      </c>
      <c r="I302" s="24">
        <v>49.38</v>
      </c>
      <c r="J302" s="24">
        <f t="shared" si="92"/>
        <v>4.049402713099012E-4</v>
      </c>
      <c r="K302" s="24">
        <v>1959563</v>
      </c>
      <c r="L302" s="24">
        <v>1517696526</v>
      </c>
      <c r="M302" s="24">
        <f t="shared" si="93"/>
        <v>96194947.670000002</v>
      </c>
      <c r="N302" s="24">
        <f t="shared" si="97"/>
        <v>6850000</v>
      </c>
      <c r="O302" s="24">
        <f t="shared" si="94"/>
        <v>0.28606759124087588</v>
      </c>
      <c r="P302" s="24">
        <v>77874.22</v>
      </c>
      <c r="Q302" s="27">
        <v>0.189</v>
      </c>
      <c r="R302" s="24">
        <v>1419399864</v>
      </c>
      <c r="S302" s="24">
        <v>1325084816</v>
      </c>
      <c r="T302" s="24">
        <v>15032458</v>
      </c>
      <c r="U302" s="24">
        <v>95964851</v>
      </c>
      <c r="V302" s="24">
        <v>189365986</v>
      </c>
      <c r="W302">
        <f t="shared" si="98"/>
        <v>7.1504939555343653E-11</v>
      </c>
      <c r="X302">
        <f t="shared" si="99"/>
        <v>0.13341271251523806</v>
      </c>
      <c r="Y302" s="9"/>
    </row>
    <row r="303" spans="1:25">
      <c r="A303" s="21">
        <v>45511</v>
      </c>
      <c r="B303" s="24">
        <v>49.43</v>
      </c>
      <c r="C303" s="29">
        <f t="shared" si="91"/>
        <v>1.3948717948717942E-2</v>
      </c>
      <c r="D303" s="24">
        <f t="shared" si="95"/>
        <v>2.2207237840643327E-2</v>
      </c>
      <c r="E303" s="24">
        <v>49.9</v>
      </c>
      <c r="F303" s="24">
        <v>48.27</v>
      </c>
      <c r="G303" s="24">
        <f t="shared" si="96"/>
        <v>3.3207700926963339E-2</v>
      </c>
      <c r="H303" s="24">
        <v>49.35</v>
      </c>
      <c r="I303" s="24">
        <v>49.3</v>
      </c>
      <c r="J303" s="24">
        <f t="shared" si="92"/>
        <v>1.0136847440446884E-3</v>
      </c>
      <c r="K303" s="24">
        <v>1540062</v>
      </c>
      <c r="L303" s="24">
        <v>1517696526</v>
      </c>
      <c r="M303" s="24">
        <f t="shared" si="93"/>
        <v>76125264.659999996</v>
      </c>
      <c r="N303" s="24">
        <f t="shared" si="97"/>
        <v>6850000</v>
      </c>
      <c r="O303" s="24">
        <f t="shared" si="94"/>
        <v>0.22482656934306569</v>
      </c>
      <c r="P303" s="24">
        <v>77114.490000000005</v>
      </c>
      <c r="Q303" s="27">
        <v>0.189</v>
      </c>
      <c r="R303" s="24">
        <v>1419399864</v>
      </c>
      <c r="S303" s="24">
        <v>1325084816</v>
      </c>
      <c r="T303" s="24">
        <v>15032458</v>
      </c>
      <c r="U303" s="24">
        <v>95964851</v>
      </c>
      <c r="V303" s="24">
        <v>189365986</v>
      </c>
      <c r="W303">
        <f t="shared" si="98"/>
        <v>1.8323375309126895E-10</v>
      </c>
      <c r="X303">
        <f t="shared" si="99"/>
        <v>0.13341271251523806</v>
      </c>
      <c r="Y303" s="9"/>
    </row>
    <row r="304" spans="1:25">
      <c r="A304" s="21">
        <v>45510</v>
      </c>
      <c r="B304" s="24">
        <v>48.75</v>
      </c>
      <c r="C304" s="29">
        <f t="shared" si="91"/>
        <v>-2.4554941682012983E-3</v>
      </c>
      <c r="D304" s="24">
        <f t="shared" si="95"/>
        <v>2.2207237840643327E-2</v>
      </c>
      <c r="E304" s="24">
        <v>49.5</v>
      </c>
      <c r="F304" s="24">
        <v>48.41</v>
      </c>
      <c r="G304" s="24">
        <f t="shared" si="96"/>
        <v>2.2265345725666498E-2</v>
      </c>
      <c r="H304" s="24">
        <v>48.5</v>
      </c>
      <c r="I304" s="24">
        <v>48.49</v>
      </c>
      <c r="J304" s="24">
        <f t="shared" si="92"/>
        <v>2.0620682544588123E-4</v>
      </c>
      <c r="K304" s="24">
        <v>1275716</v>
      </c>
      <c r="L304" s="24">
        <v>1517696526</v>
      </c>
      <c r="M304" s="24">
        <f t="shared" si="93"/>
        <v>62191155</v>
      </c>
      <c r="N304" s="24">
        <f t="shared" si="97"/>
        <v>6850000</v>
      </c>
      <c r="O304" s="24">
        <f t="shared" si="94"/>
        <v>0.18623591240875911</v>
      </c>
      <c r="P304" s="24">
        <v>77191.34</v>
      </c>
      <c r="Q304" s="27">
        <v>0.19489999999999999</v>
      </c>
      <c r="R304" s="24">
        <v>1419399864</v>
      </c>
      <c r="S304" s="24">
        <v>1325084816</v>
      </c>
      <c r="T304" s="24">
        <v>15032458</v>
      </c>
      <c r="U304" s="24">
        <v>95964851</v>
      </c>
      <c r="V304" s="24">
        <v>189365986</v>
      </c>
      <c r="W304">
        <f t="shared" si="98"/>
        <v>3.9483012788575773E-11</v>
      </c>
      <c r="X304">
        <f t="shared" si="99"/>
        <v>0.13341271251523806</v>
      </c>
      <c r="Y304" s="9"/>
    </row>
    <row r="305" spans="1:25">
      <c r="A305" s="21">
        <v>45509</v>
      </c>
      <c r="B305" s="24">
        <v>48.87</v>
      </c>
      <c r="C305" s="29">
        <f t="shared" si="91"/>
        <v>-7.3126142595977949E-3</v>
      </c>
      <c r="D305" s="24">
        <f t="shared" si="95"/>
        <v>2.2207237840643327E-2</v>
      </c>
      <c r="E305" s="24">
        <v>49.69</v>
      </c>
      <c r="F305" s="24">
        <v>47.55</v>
      </c>
      <c r="G305" s="24">
        <f t="shared" si="96"/>
        <v>4.4014808720691086E-2</v>
      </c>
      <c r="H305" s="24">
        <v>48.65</v>
      </c>
      <c r="I305" s="24">
        <v>48.64</v>
      </c>
      <c r="J305" s="24">
        <f t="shared" si="92"/>
        <v>2.0557097337851806E-4</v>
      </c>
      <c r="K305" s="24">
        <v>2325807</v>
      </c>
      <c r="L305" s="24">
        <v>1517696526</v>
      </c>
      <c r="M305" s="24">
        <f t="shared" si="93"/>
        <v>113662188.08999999</v>
      </c>
      <c r="N305" s="24">
        <f t="shared" si="97"/>
        <v>6850000</v>
      </c>
      <c r="O305" s="24">
        <f t="shared" si="94"/>
        <v>0.33953386861313867</v>
      </c>
      <c r="P305" s="24">
        <v>77084.490000000005</v>
      </c>
      <c r="Q305" s="27">
        <v>0.19489999999999999</v>
      </c>
      <c r="R305" s="24">
        <v>1419399864</v>
      </c>
      <c r="S305" s="24">
        <v>1325084816</v>
      </c>
      <c r="T305" s="24">
        <v>15032458</v>
      </c>
      <c r="U305" s="24">
        <v>95964851</v>
      </c>
      <c r="V305" s="24">
        <v>189365986</v>
      </c>
      <c r="W305">
        <f t="shared" si="98"/>
        <v>6.4336384707001429E-11</v>
      </c>
      <c r="X305">
        <f t="shared" si="99"/>
        <v>0.13341271251523806</v>
      </c>
      <c r="Y305" s="9"/>
    </row>
    <row r="306" spans="1:25">
      <c r="A306" s="21">
        <v>45506</v>
      </c>
      <c r="B306" s="24">
        <v>49.23</v>
      </c>
      <c r="C306" s="29">
        <f t="shared" si="91"/>
        <v>7.3664825046040406E-3</v>
      </c>
      <c r="D306" s="24">
        <f t="shared" si="95"/>
        <v>2.2207237840643327E-2</v>
      </c>
      <c r="E306" s="24">
        <v>50.39</v>
      </c>
      <c r="F306" s="24">
        <v>49</v>
      </c>
      <c r="G306" s="24">
        <f t="shared" si="96"/>
        <v>2.7970620786799488E-2</v>
      </c>
      <c r="H306" s="24">
        <v>49.37</v>
      </c>
      <c r="I306" s="24">
        <v>49.25</v>
      </c>
      <c r="J306" s="24">
        <f t="shared" si="92"/>
        <v>2.4335834516324771E-3</v>
      </c>
      <c r="K306" s="24">
        <v>1713702</v>
      </c>
      <c r="L306" s="24">
        <v>1517696526</v>
      </c>
      <c r="M306" s="24">
        <f t="shared" si="93"/>
        <v>84365549.459999993</v>
      </c>
      <c r="N306" s="24">
        <f t="shared" si="97"/>
        <v>6850000</v>
      </c>
      <c r="O306" s="24">
        <f t="shared" si="94"/>
        <v>0.25017547445255472</v>
      </c>
      <c r="P306" s="24">
        <v>78225.98</v>
      </c>
      <c r="Q306" s="27">
        <v>0.19489999999999999</v>
      </c>
      <c r="R306" s="24">
        <v>1419399864</v>
      </c>
      <c r="S306" s="24">
        <v>1325084816</v>
      </c>
      <c r="T306" s="24">
        <v>15032458</v>
      </c>
      <c r="U306" s="24">
        <v>95964851</v>
      </c>
      <c r="V306" s="24">
        <v>189365986</v>
      </c>
      <c r="W306">
        <f t="shared" si="98"/>
        <v>8.7316239291450247E-11</v>
      </c>
      <c r="X306">
        <f t="shared" si="99"/>
        <v>0.13341271251523806</v>
      </c>
      <c r="Y306" s="9"/>
    </row>
    <row r="307" spans="1:25">
      <c r="A307" s="21">
        <v>45505</v>
      </c>
      <c r="B307" s="24">
        <v>48.87</v>
      </c>
      <c r="C307" s="29">
        <f t="shared" si="91"/>
        <v>-2.0052135552436335E-2</v>
      </c>
      <c r="D307" s="24">
        <f t="shared" si="95"/>
        <v>2.2207237840643327E-2</v>
      </c>
      <c r="E307" s="24">
        <v>50.85</v>
      </c>
      <c r="F307" s="24">
        <v>48.7</v>
      </c>
      <c r="G307" s="24">
        <f t="shared" si="96"/>
        <v>4.3194374686087361E-2</v>
      </c>
      <c r="H307" s="24">
        <v>48.75</v>
      </c>
      <c r="I307" s="24">
        <v>48.73</v>
      </c>
      <c r="J307" s="24">
        <f t="shared" si="92"/>
        <v>4.1034058268369158E-4</v>
      </c>
      <c r="K307" s="24">
        <v>1850813</v>
      </c>
      <c r="L307" s="24">
        <v>1517696526</v>
      </c>
      <c r="M307" s="24">
        <f t="shared" si="93"/>
        <v>90449231.310000002</v>
      </c>
      <c r="N307" s="24">
        <f t="shared" si="97"/>
        <v>6850000</v>
      </c>
      <c r="O307" s="24">
        <f t="shared" si="94"/>
        <v>0.27019167883211681</v>
      </c>
      <c r="P307" s="24">
        <v>77740.31</v>
      </c>
      <c r="Q307" s="27">
        <v>0.19489999999999999</v>
      </c>
      <c r="R307" s="24">
        <v>1419399864</v>
      </c>
      <c r="S307" s="24">
        <v>1325084816</v>
      </c>
      <c r="T307" s="24">
        <v>15032458</v>
      </c>
      <c r="U307" s="24">
        <v>95964851</v>
      </c>
      <c r="V307" s="24">
        <v>189365986</v>
      </c>
      <c r="W307">
        <f t="shared" si="98"/>
        <v>2.2169492500948857E-10</v>
      </c>
      <c r="X307">
        <f t="shared" si="99"/>
        <v>0.13341271251523806</v>
      </c>
      <c r="Y307" s="9"/>
    </row>
    <row r="308" spans="1:25">
      <c r="A308" s="21">
        <v>45504</v>
      </c>
      <c r="B308" s="24">
        <v>49.87</v>
      </c>
      <c r="C308" s="29">
        <f t="shared" si="91"/>
        <v>-1.8014411529224061E-3</v>
      </c>
      <c r="D308" s="24">
        <f t="shared" si="95"/>
        <v>2.2207237840643327E-2</v>
      </c>
      <c r="E308" s="24">
        <v>51.31</v>
      </c>
      <c r="F308" s="24">
        <v>49.63</v>
      </c>
      <c r="G308" s="24">
        <f t="shared" si="96"/>
        <v>3.3287101248266289E-2</v>
      </c>
      <c r="H308" s="24">
        <v>50.18</v>
      </c>
      <c r="I308" s="24">
        <v>50.05</v>
      </c>
      <c r="J308" s="24">
        <f t="shared" si="92"/>
        <v>2.5940337224384432E-3</v>
      </c>
      <c r="K308" s="24">
        <v>1455911</v>
      </c>
      <c r="L308" s="24">
        <v>1517696526</v>
      </c>
      <c r="M308" s="24">
        <f t="shared" si="93"/>
        <v>72606281.569999993</v>
      </c>
      <c r="N308" s="24">
        <f t="shared" si="97"/>
        <v>6850000</v>
      </c>
      <c r="O308" s="24">
        <f t="shared" si="94"/>
        <v>0.21254175182481752</v>
      </c>
      <c r="P308" s="24">
        <v>77886.990000000005</v>
      </c>
      <c r="Q308" s="27">
        <v>0.19489999999999999</v>
      </c>
      <c r="R308" s="24">
        <v>1419399864</v>
      </c>
      <c r="S308" s="24">
        <v>1325084816</v>
      </c>
      <c r="T308" s="24">
        <v>15032458</v>
      </c>
      <c r="U308" s="24">
        <v>95964851</v>
      </c>
      <c r="V308" s="24">
        <v>189365986</v>
      </c>
      <c r="W308">
        <f t="shared" si="98"/>
        <v>2.4811092290763158E-11</v>
      </c>
      <c r="X308">
        <f t="shared" si="99"/>
        <v>0.13341271251523806</v>
      </c>
      <c r="Y308" s="9"/>
    </row>
    <row r="309" spans="1:25">
      <c r="A309" s="21">
        <v>45503</v>
      </c>
      <c r="B309" s="24">
        <v>49.96</v>
      </c>
      <c r="C309" s="29">
        <f t="shared" si="91"/>
        <v>-2.6500389711613396E-2</v>
      </c>
      <c r="D309" s="24">
        <f t="shared" si="95"/>
        <v>2.2207237840643327E-2</v>
      </c>
      <c r="E309" s="24">
        <v>51.55</v>
      </c>
      <c r="F309" s="24">
        <v>49.64</v>
      </c>
      <c r="G309" s="24">
        <f t="shared" si="96"/>
        <v>3.7750765885957042E-2</v>
      </c>
      <c r="H309" s="24">
        <v>49.8</v>
      </c>
      <c r="I309" s="24">
        <v>49.79</v>
      </c>
      <c r="J309" s="24">
        <f t="shared" si="92"/>
        <v>2.0082337584090791E-4</v>
      </c>
      <c r="K309" s="24">
        <v>2587604</v>
      </c>
      <c r="L309" s="24">
        <v>1517696526</v>
      </c>
      <c r="M309" s="24">
        <f t="shared" si="93"/>
        <v>129276695.84</v>
      </c>
      <c r="N309" s="24">
        <f t="shared" si="97"/>
        <v>6850000</v>
      </c>
      <c r="O309" s="24">
        <f t="shared" si="94"/>
        <v>0.37775240875912408</v>
      </c>
      <c r="P309" s="24">
        <v>78628.81</v>
      </c>
      <c r="Q309" s="27">
        <v>0.19489999999999999</v>
      </c>
      <c r="R309" s="24">
        <v>1419399864</v>
      </c>
      <c r="S309" s="24">
        <v>1325084816</v>
      </c>
      <c r="T309" s="24">
        <v>15032458</v>
      </c>
      <c r="U309" s="24">
        <v>95964851</v>
      </c>
      <c r="V309" s="24">
        <v>189365986</v>
      </c>
      <c r="W309">
        <f t="shared" si="98"/>
        <v>2.049896892817538E-10</v>
      </c>
      <c r="X309">
        <f t="shared" si="99"/>
        <v>0.13341271251523806</v>
      </c>
      <c r="Y309" s="9"/>
    </row>
    <row r="310" spans="1:25">
      <c r="A310" s="21">
        <v>45502</v>
      </c>
      <c r="B310" s="24">
        <v>51.32</v>
      </c>
      <c r="C310" s="29">
        <f t="shared" si="91"/>
        <v>-7.3500967117988885E-3</v>
      </c>
      <c r="D310" s="24">
        <f t="shared" si="95"/>
        <v>2.2207237840643327E-2</v>
      </c>
      <c r="E310" s="24">
        <v>53.13</v>
      </c>
      <c r="F310" s="24">
        <v>51.02</v>
      </c>
      <c r="G310" s="24">
        <f t="shared" si="96"/>
        <v>4.0518482957273151E-2</v>
      </c>
      <c r="H310" s="24">
        <v>51.2</v>
      </c>
      <c r="I310" s="24">
        <v>51.16</v>
      </c>
      <c r="J310" s="24">
        <f t="shared" si="92"/>
        <v>7.8155529503724601E-4</v>
      </c>
      <c r="K310" s="24">
        <v>2913766</v>
      </c>
      <c r="L310" s="24">
        <v>1517696526</v>
      </c>
      <c r="M310" s="24">
        <f t="shared" si="93"/>
        <v>149534471.12</v>
      </c>
      <c r="N310" s="24">
        <f t="shared" si="97"/>
        <v>6850000</v>
      </c>
      <c r="O310" s="24">
        <f t="shared" si="94"/>
        <v>0.425367299270073</v>
      </c>
      <c r="P310" s="24">
        <v>78827.740000000005</v>
      </c>
      <c r="Q310" s="27">
        <v>0.19489999999999999</v>
      </c>
      <c r="R310" s="24">
        <v>1419399864</v>
      </c>
      <c r="S310" s="24">
        <v>1325084816</v>
      </c>
      <c r="T310" s="24">
        <v>15032458</v>
      </c>
      <c r="U310" s="24">
        <v>95964851</v>
      </c>
      <c r="V310" s="24">
        <v>189365986</v>
      </c>
      <c r="W310">
        <f t="shared" si="98"/>
        <v>4.9153192951078853E-11</v>
      </c>
      <c r="X310">
        <f t="shared" si="99"/>
        <v>0.13341271251523806</v>
      </c>
      <c r="Y310" s="9"/>
    </row>
    <row r="311" spans="1:25">
      <c r="A311" s="21">
        <v>45499</v>
      </c>
      <c r="B311" s="24">
        <v>51.7</v>
      </c>
      <c r="C311" s="29">
        <f t="shared" si="91"/>
        <v>-1.1591962905717769E-3</v>
      </c>
      <c r="D311" s="24">
        <f t="shared" si="95"/>
        <v>2.2207237840643327E-2</v>
      </c>
      <c r="E311" s="24">
        <v>52.8</v>
      </c>
      <c r="F311" s="24">
        <v>50.51</v>
      </c>
      <c r="G311" s="24">
        <f t="shared" si="96"/>
        <v>4.4332591230277787E-2</v>
      </c>
      <c r="H311" s="24">
        <v>51.68</v>
      </c>
      <c r="I311" s="24">
        <v>51.49</v>
      </c>
      <c r="J311" s="24">
        <f t="shared" si="92"/>
        <v>3.6832412523019817E-3</v>
      </c>
      <c r="K311" s="24">
        <v>3078466</v>
      </c>
      <c r="L311" s="24">
        <v>1517696526</v>
      </c>
      <c r="M311" s="24">
        <f t="shared" si="93"/>
        <v>159156692.20000002</v>
      </c>
      <c r="N311" s="24">
        <f t="shared" si="97"/>
        <v>6850000</v>
      </c>
      <c r="O311" s="24">
        <f t="shared" si="94"/>
        <v>0.44941109489051095</v>
      </c>
      <c r="P311" s="24">
        <v>78029.509999999995</v>
      </c>
      <c r="Q311" s="27">
        <v>0.19489999999999999</v>
      </c>
      <c r="R311" s="24">
        <v>1419399864</v>
      </c>
      <c r="S311" s="24">
        <v>1325084816</v>
      </c>
      <c r="T311" s="24">
        <v>15032458</v>
      </c>
      <c r="U311" s="24">
        <v>95964851</v>
      </c>
      <c r="V311" s="24">
        <v>189365986</v>
      </c>
      <c r="W311">
        <f t="shared" si="98"/>
        <v>7.2833650570916846E-12</v>
      </c>
      <c r="X311">
        <f t="shared" si="99"/>
        <v>0.13341271251523806</v>
      </c>
      <c r="Y311" s="9"/>
    </row>
    <row r="312" spans="1:25">
      <c r="A312" s="21">
        <v>45498</v>
      </c>
      <c r="B312" s="24">
        <v>51.76</v>
      </c>
      <c r="C312" s="29">
        <f t="shared" si="91"/>
        <v>7.5919797547206657E-3</v>
      </c>
      <c r="D312" s="24">
        <f t="shared" si="95"/>
        <v>2.2207237840643327E-2</v>
      </c>
      <c r="E312" s="24">
        <v>54.5</v>
      </c>
      <c r="F312" s="24">
        <v>51.1</v>
      </c>
      <c r="G312" s="24">
        <f t="shared" si="96"/>
        <v>6.4393939393939365E-2</v>
      </c>
      <c r="H312" s="24">
        <v>52</v>
      </c>
      <c r="I312" s="24">
        <v>51.86</v>
      </c>
      <c r="J312" s="24">
        <f t="shared" si="92"/>
        <v>2.6959368380512338E-3</v>
      </c>
      <c r="K312" s="24">
        <v>9209700</v>
      </c>
      <c r="L312" s="24">
        <v>1517696526</v>
      </c>
      <c r="M312" s="24">
        <f t="shared" si="93"/>
        <v>476694072</v>
      </c>
      <c r="N312" s="24">
        <f t="shared" si="97"/>
        <v>6850000</v>
      </c>
      <c r="O312" s="24">
        <f t="shared" si="94"/>
        <v>1.3444817518248176</v>
      </c>
      <c r="P312" s="24">
        <v>78469.33</v>
      </c>
      <c r="Q312" s="27">
        <v>0.19489999999999999</v>
      </c>
      <c r="R312" s="24">
        <v>1419399864</v>
      </c>
      <c r="S312" s="24">
        <v>1325084816</v>
      </c>
      <c r="T312" s="24">
        <v>15032458</v>
      </c>
      <c r="U312" s="24">
        <v>95964851</v>
      </c>
      <c r="V312" s="24">
        <v>189365986</v>
      </c>
      <c r="W312">
        <f t="shared" si="98"/>
        <v>1.5926314591805256E-11</v>
      </c>
      <c r="X312">
        <f t="shared" si="99"/>
        <v>0.13341271251523806</v>
      </c>
      <c r="Y312" s="9"/>
    </row>
    <row r="313" spans="1:25">
      <c r="A313" s="21">
        <v>45497</v>
      </c>
      <c r="B313" s="24">
        <v>51.37</v>
      </c>
      <c r="C313" s="29">
        <f t="shared" si="91"/>
        <v>9.0426661006155762E-2</v>
      </c>
      <c r="D313" s="24">
        <f t="shared" si="95"/>
        <v>2.2207237840643327E-2</v>
      </c>
      <c r="E313" s="24">
        <v>51.75</v>
      </c>
      <c r="F313" s="24">
        <v>47.4</v>
      </c>
      <c r="G313" s="24">
        <f t="shared" si="96"/>
        <v>8.7745839636913792E-2</v>
      </c>
      <c r="H313" s="24">
        <v>51.74</v>
      </c>
      <c r="I313" s="24">
        <v>51.72</v>
      </c>
      <c r="J313" s="24">
        <f t="shared" si="92"/>
        <v>3.8662284941046057E-4</v>
      </c>
      <c r="K313" s="24">
        <v>7668429</v>
      </c>
      <c r="L313" s="24">
        <v>1517696526</v>
      </c>
      <c r="M313" s="24">
        <f t="shared" si="93"/>
        <v>393927197.72999996</v>
      </c>
      <c r="N313" s="24">
        <f t="shared" si="97"/>
        <v>6850000</v>
      </c>
      <c r="O313" s="24">
        <f t="shared" si="94"/>
        <v>1.1194786861313868</v>
      </c>
      <c r="P313" s="24">
        <v>79397.009999999995</v>
      </c>
      <c r="Q313" s="27">
        <v>0.19489999999999999</v>
      </c>
      <c r="R313" s="24">
        <v>1419399864</v>
      </c>
      <c r="S313" s="24">
        <v>1325084816</v>
      </c>
      <c r="T313" s="24">
        <v>15032458</v>
      </c>
      <c r="U313" s="24">
        <v>95964851</v>
      </c>
      <c r="V313" s="24">
        <v>189365986</v>
      </c>
      <c r="W313">
        <f t="shared" si="98"/>
        <v>2.295517078466228E-10</v>
      </c>
      <c r="X313">
        <f t="shared" si="99"/>
        <v>0.13341271251523806</v>
      </c>
      <c r="Y313" s="9"/>
    </row>
    <row r="314" spans="1:25">
      <c r="A314" s="21">
        <v>45496</v>
      </c>
      <c r="B314" s="24">
        <v>47.11</v>
      </c>
      <c r="C314" s="29">
        <f t="shared" si="91"/>
        <v>-3.3244407962240867E-2</v>
      </c>
      <c r="D314" s="24">
        <f t="shared" si="95"/>
        <v>2.2207237840643327E-2</v>
      </c>
      <c r="E314" s="24">
        <v>50</v>
      </c>
      <c r="F314" s="24">
        <v>46.27</v>
      </c>
      <c r="G314" s="24">
        <f t="shared" si="96"/>
        <v>7.7490391606938741E-2</v>
      </c>
      <c r="H314" s="24">
        <v>47.69</v>
      </c>
      <c r="I314" s="24">
        <v>47.6</v>
      </c>
      <c r="J314" s="24">
        <f t="shared" si="92"/>
        <v>1.8889705110713886E-3</v>
      </c>
      <c r="K314" s="24">
        <v>5806771</v>
      </c>
      <c r="L314" s="24">
        <v>1517696526</v>
      </c>
      <c r="M314" s="24">
        <f t="shared" si="93"/>
        <v>273556981.81</v>
      </c>
      <c r="N314" s="24">
        <f t="shared" si="97"/>
        <v>6850000</v>
      </c>
      <c r="O314" s="24">
        <f t="shared" si="94"/>
        <v>0.84770379562043796</v>
      </c>
      <c r="P314" s="24">
        <v>78987.09</v>
      </c>
      <c r="Q314" s="27">
        <v>0.19489999999999999</v>
      </c>
      <c r="R314" s="24">
        <v>1419399864</v>
      </c>
      <c r="S314" s="24">
        <v>1325084816</v>
      </c>
      <c r="T314" s="24">
        <v>15032458</v>
      </c>
      <c r="U314" s="24">
        <v>95964851</v>
      </c>
      <c r="V314" s="24">
        <v>189365986</v>
      </c>
      <c r="W314">
        <f t="shared" si="98"/>
        <v>1.2152644667402747E-10</v>
      </c>
      <c r="X314">
        <f t="shared" si="99"/>
        <v>0.13341271251523806</v>
      </c>
      <c r="Y314" s="9"/>
    </row>
    <row r="315" spans="1:25" ht="15" customHeight="1" thickBot="1">
      <c r="A315" s="21">
        <v>45495</v>
      </c>
      <c r="B315" s="24">
        <v>48.73</v>
      </c>
      <c r="C315" s="29">
        <f>IFERROR((B315-#REF!)/#REF!,0)</f>
        <v>0</v>
      </c>
      <c r="D315" s="24">
        <f t="shared" si="95"/>
        <v>2.2207237840643327E-2</v>
      </c>
      <c r="E315" s="24">
        <v>51</v>
      </c>
      <c r="F315" s="24">
        <v>48.25</v>
      </c>
      <c r="G315" s="24">
        <f t="shared" si="96"/>
        <v>5.5415617128463476E-2</v>
      </c>
      <c r="H315" s="24">
        <v>48.99</v>
      </c>
      <c r="I315" s="24">
        <v>48.82</v>
      </c>
      <c r="J315" s="24">
        <f t="shared" si="92"/>
        <v>3.4761271853594052E-3</v>
      </c>
      <c r="K315" s="24">
        <v>3079065</v>
      </c>
      <c r="L315" s="24">
        <v>1517696526</v>
      </c>
      <c r="M315" s="24">
        <f t="shared" si="93"/>
        <v>150042837.44999999</v>
      </c>
      <c r="N315" s="24">
        <f t="shared" si="97"/>
        <v>6850000</v>
      </c>
      <c r="O315" s="24">
        <f t="shared" si="94"/>
        <v>0.44949854014598539</v>
      </c>
      <c r="P315" s="24">
        <v>78539.19</v>
      </c>
      <c r="Q315" s="27">
        <v>0.19489999999999999</v>
      </c>
      <c r="R315" s="24">
        <v>1419399864</v>
      </c>
      <c r="S315" s="24">
        <v>1325084816</v>
      </c>
      <c r="T315" s="24">
        <v>15032458</v>
      </c>
      <c r="U315" s="24">
        <v>95964851</v>
      </c>
      <c r="V315" s="24">
        <v>189365986</v>
      </c>
      <c r="W315">
        <f t="shared" si="98"/>
        <v>0</v>
      </c>
      <c r="X315">
        <f t="shared" si="99"/>
        <v>0.13341271251523806</v>
      </c>
      <c r="Y315" s="9"/>
    </row>
    <row r="316" spans="1:25" ht="16" thickBot="1">
      <c r="A316" s="184" t="s">
        <v>44</v>
      </c>
      <c r="B316" s="185"/>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6"/>
      <c r="Y316" s="9"/>
    </row>
    <row r="317" spans="1:25" ht="43.5">
      <c r="A317" s="1" t="s">
        <v>14</v>
      </c>
      <c r="B317" s="2" t="s">
        <v>15</v>
      </c>
      <c r="C317" s="15" t="s">
        <v>16</v>
      </c>
      <c r="D317" s="15" t="s">
        <v>17</v>
      </c>
      <c r="E317" s="1" t="s">
        <v>0</v>
      </c>
      <c r="F317" s="1" t="s">
        <v>13</v>
      </c>
      <c r="G317" s="14" t="s">
        <v>18</v>
      </c>
      <c r="H317" s="1" t="s">
        <v>12</v>
      </c>
      <c r="I317" s="1" t="s">
        <v>1</v>
      </c>
      <c r="J317" s="14" t="s">
        <v>19</v>
      </c>
      <c r="K317" s="2" t="s">
        <v>2</v>
      </c>
      <c r="L317" s="2" t="s">
        <v>3</v>
      </c>
      <c r="M317" s="14" t="s">
        <v>20</v>
      </c>
      <c r="N317" s="2" t="s">
        <v>4</v>
      </c>
      <c r="O317" s="14" t="s">
        <v>21</v>
      </c>
      <c r="P317" s="2" t="s">
        <v>5</v>
      </c>
      <c r="Q317" s="2" t="s">
        <v>6</v>
      </c>
      <c r="R317" s="2" t="s">
        <v>7</v>
      </c>
      <c r="S317" s="2" t="s">
        <v>8</v>
      </c>
      <c r="T317" s="2" t="s">
        <v>9</v>
      </c>
      <c r="U317" s="2" t="s">
        <v>10</v>
      </c>
      <c r="V317" s="2" t="s">
        <v>11</v>
      </c>
      <c r="W317" s="7" t="s">
        <v>73</v>
      </c>
      <c r="X317" s="7" t="s">
        <v>72</v>
      </c>
      <c r="Y317" s="9"/>
    </row>
    <row r="318" spans="1:25">
      <c r="A318" s="21">
        <v>45555</v>
      </c>
      <c r="B318" s="24">
        <v>18.149999999999999</v>
      </c>
      <c r="C318" s="29">
        <f t="shared" ref="C318:C359" si="100">IFERROR((B318-B319)/B319,0)</f>
        <v>5.5126791620716703E-4</v>
      </c>
      <c r="D318" s="24">
        <f>_xlfn.STDEV.S($C$318:$C$360)</f>
        <v>1.3053671452031974E-2</v>
      </c>
      <c r="E318" s="24">
        <v>18.2</v>
      </c>
      <c r="F318" s="24">
        <v>18.100000000000001</v>
      </c>
      <c r="G318" s="24">
        <f t="shared" ref="G318:G360" si="101">(E318-F318)/((E318+F318)/2)</f>
        <v>5.50964187327812E-3</v>
      </c>
      <c r="H318" s="24">
        <v>18.14</v>
      </c>
      <c r="I318" s="24">
        <v>18.13</v>
      </c>
      <c r="J318" s="24">
        <f t="shared" ref="J318:J360" si="102">(H318-I318)/((H318+I318)/2)</f>
        <v>5.5141990625870224E-4</v>
      </c>
      <c r="K318" s="24">
        <v>583298</v>
      </c>
      <c r="L318" s="24">
        <v>251250000</v>
      </c>
      <c r="M318" s="24">
        <f t="shared" ref="M318:M360" si="103">K318*B318</f>
        <v>10586858.699999999</v>
      </c>
      <c r="N318" s="24">
        <v>125625000</v>
      </c>
      <c r="O318" s="24">
        <f>K318/N318</f>
        <v>4.6431681592039803E-3</v>
      </c>
      <c r="P318" s="24">
        <v>82074.45</v>
      </c>
      <c r="Q318" s="27">
        <v>0.1741</v>
      </c>
      <c r="R318" s="24">
        <v>6637990000</v>
      </c>
      <c r="S318" s="24">
        <v>4185060000</v>
      </c>
      <c r="T318" s="24">
        <v>1075910</v>
      </c>
      <c r="U318" s="24">
        <v>81270</v>
      </c>
      <c r="V318" s="24">
        <v>2685940</v>
      </c>
      <c r="W318">
        <f>IFERROR(ABS(C318)/M318,"0")</f>
        <v>5.2070961918776441E-11</v>
      </c>
      <c r="X318">
        <f>V318/R318</f>
        <v>4.0463152249400799E-4</v>
      </c>
      <c r="Y318" s="9"/>
    </row>
    <row r="319" spans="1:25">
      <c r="A319" s="21">
        <v>45554</v>
      </c>
      <c r="B319" s="24">
        <v>18.14</v>
      </c>
      <c r="C319" s="29">
        <f t="shared" si="100"/>
        <v>0</v>
      </c>
      <c r="D319" s="24">
        <f t="shared" ref="D319:D360" si="104">_xlfn.STDEV.S($C$318:$C$360)</f>
        <v>1.3053671452031974E-2</v>
      </c>
      <c r="E319" s="24">
        <v>18.16</v>
      </c>
      <c r="F319" s="24">
        <v>18.05</v>
      </c>
      <c r="G319" s="24">
        <f t="shared" si="101"/>
        <v>6.0756697045014872E-3</v>
      </c>
      <c r="H319" s="24">
        <v>18.149999999999999</v>
      </c>
      <c r="I319" s="24">
        <v>18.14</v>
      </c>
      <c r="J319" s="24">
        <f t="shared" si="102"/>
        <v>5.5111600991997851E-4</v>
      </c>
      <c r="K319" s="24">
        <v>338918</v>
      </c>
      <c r="L319" s="24">
        <v>251250000</v>
      </c>
      <c r="M319" s="24">
        <f t="shared" si="103"/>
        <v>6147972.5200000005</v>
      </c>
      <c r="N319" s="24">
        <v>125625000</v>
      </c>
      <c r="O319" s="24">
        <f t="shared" ref="O319:O360" si="105">K319/N319</f>
        <v>2.6978547263681592E-3</v>
      </c>
      <c r="P319" s="24">
        <v>81459.289999999994</v>
      </c>
      <c r="Q319" s="27">
        <v>0.1741</v>
      </c>
      <c r="R319" s="24">
        <v>6637990</v>
      </c>
      <c r="S319" s="24">
        <v>4185060.0000000005</v>
      </c>
      <c r="T319" s="24">
        <v>1075910</v>
      </c>
      <c r="U319" s="24">
        <v>81270</v>
      </c>
      <c r="V319" s="24">
        <v>2685940</v>
      </c>
      <c r="W319">
        <f t="shared" ref="W319:W360" si="106">IFERROR(ABS(C319)/M319,"0")</f>
        <v>0</v>
      </c>
      <c r="X319">
        <f t="shared" ref="X319:X360" si="107">V319/R319</f>
        <v>0.40463152249400797</v>
      </c>
      <c r="Y319" s="9"/>
    </row>
    <row r="320" spans="1:25">
      <c r="A320" s="21">
        <v>45553</v>
      </c>
      <c r="B320" s="24">
        <v>18.14</v>
      </c>
      <c r="C320" s="29">
        <f t="shared" si="100"/>
        <v>2.7639579878386243E-3</v>
      </c>
      <c r="D320" s="24">
        <f t="shared" si="104"/>
        <v>1.3053671452031974E-2</v>
      </c>
      <c r="E320" s="24">
        <v>18.149999999999999</v>
      </c>
      <c r="F320" s="24">
        <v>18.100000000000001</v>
      </c>
      <c r="G320" s="24">
        <f t="shared" si="101"/>
        <v>2.7586206896550156E-3</v>
      </c>
      <c r="H320" s="24">
        <v>18.14</v>
      </c>
      <c r="I320" s="24">
        <v>18.12</v>
      </c>
      <c r="J320" s="24">
        <f t="shared" si="102"/>
        <v>1.1031439602867937E-3</v>
      </c>
      <c r="K320" s="24">
        <v>619798</v>
      </c>
      <c r="L320" s="24">
        <v>251250000</v>
      </c>
      <c r="M320" s="24">
        <f t="shared" si="103"/>
        <v>11243135.720000001</v>
      </c>
      <c r="N320" s="24">
        <v>125625000</v>
      </c>
      <c r="O320" s="24">
        <f t="shared" si="105"/>
        <v>4.933715422885572E-3</v>
      </c>
      <c r="P320" s="24">
        <v>80461.34</v>
      </c>
      <c r="Q320" s="27">
        <v>0.1741</v>
      </c>
      <c r="R320" s="24">
        <v>6637990</v>
      </c>
      <c r="S320" s="24">
        <v>4185060.0000000005</v>
      </c>
      <c r="T320" s="24">
        <v>1075910</v>
      </c>
      <c r="U320" s="24">
        <v>81270</v>
      </c>
      <c r="V320" s="24">
        <v>2685940</v>
      </c>
      <c r="W320">
        <f t="shared" si="106"/>
        <v>2.458351528143453E-10</v>
      </c>
      <c r="X320">
        <f t="shared" si="107"/>
        <v>0.40463152249400797</v>
      </c>
      <c r="Y320" s="9"/>
    </row>
    <row r="321" spans="1:25">
      <c r="A321" s="21">
        <v>45551</v>
      </c>
      <c r="B321" s="24">
        <v>18.09</v>
      </c>
      <c r="C321" s="29">
        <f t="shared" si="100"/>
        <v>1.6611295681063754E-3</v>
      </c>
      <c r="D321" s="24">
        <f t="shared" si="104"/>
        <v>1.3053671452031974E-2</v>
      </c>
      <c r="E321" s="24">
        <v>18.100000000000001</v>
      </c>
      <c r="F321" s="24">
        <v>18.010000000000002</v>
      </c>
      <c r="G321" s="24">
        <f t="shared" si="101"/>
        <v>4.9847687621157495E-3</v>
      </c>
      <c r="H321" s="24">
        <v>18.09</v>
      </c>
      <c r="I321" s="24">
        <v>18.05</v>
      </c>
      <c r="J321" s="24">
        <f t="shared" si="102"/>
        <v>2.2136137244050439E-3</v>
      </c>
      <c r="K321" s="24">
        <v>201372</v>
      </c>
      <c r="L321" s="24">
        <v>251250000</v>
      </c>
      <c r="M321" s="24">
        <f t="shared" si="103"/>
        <v>3642819.48</v>
      </c>
      <c r="N321" s="24">
        <v>125625000</v>
      </c>
      <c r="O321" s="24">
        <f t="shared" si="105"/>
        <v>1.6029611940298507E-3</v>
      </c>
      <c r="P321" s="24">
        <v>79491.14</v>
      </c>
      <c r="Q321" s="27">
        <v>0.1741</v>
      </c>
      <c r="R321" s="24">
        <v>6637990</v>
      </c>
      <c r="S321" s="24">
        <v>4185060.0000000005</v>
      </c>
      <c r="T321" s="24">
        <v>1075910</v>
      </c>
      <c r="U321" s="24">
        <v>81270</v>
      </c>
      <c r="V321" s="24">
        <v>2685940</v>
      </c>
      <c r="W321">
        <f t="shared" si="106"/>
        <v>4.5600106654375732E-10</v>
      </c>
      <c r="X321">
        <f t="shared" si="107"/>
        <v>0.40463152249400797</v>
      </c>
      <c r="Y321" s="9"/>
    </row>
    <row r="322" spans="1:25">
      <c r="A322" s="21">
        <v>45548</v>
      </c>
      <c r="B322" s="24">
        <v>18.059999999999999</v>
      </c>
      <c r="C322" s="29">
        <f t="shared" si="100"/>
        <v>5.5679287305121306E-3</v>
      </c>
      <c r="D322" s="24">
        <f t="shared" si="104"/>
        <v>1.3053671452031974E-2</v>
      </c>
      <c r="E322" s="24">
        <v>18.489999999999998</v>
      </c>
      <c r="F322" s="24">
        <v>18.010000000000002</v>
      </c>
      <c r="G322" s="24">
        <f t="shared" si="101"/>
        <v>2.6301369863013527E-2</v>
      </c>
      <c r="H322" s="24">
        <v>18.09</v>
      </c>
      <c r="I322" s="24">
        <v>18.05</v>
      </c>
      <c r="J322" s="24">
        <f t="shared" si="102"/>
        <v>2.2136137244050439E-3</v>
      </c>
      <c r="K322" s="24">
        <v>1172044</v>
      </c>
      <c r="L322" s="24">
        <v>251250000</v>
      </c>
      <c r="M322" s="24">
        <f t="shared" si="103"/>
        <v>21167114.639999997</v>
      </c>
      <c r="N322" s="24">
        <v>125625000</v>
      </c>
      <c r="O322" s="24">
        <f t="shared" si="105"/>
        <v>9.329703482587064E-3</v>
      </c>
      <c r="P322" s="24">
        <v>79333.06</v>
      </c>
      <c r="Q322" s="27">
        <v>0.1741</v>
      </c>
      <c r="R322" s="24">
        <v>6637990</v>
      </c>
      <c r="S322" s="24">
        <v>4185060.0000000005</v>
      </c>
      <c r="T322" s="24">
        <v>1075910</v>
      </c>
      <c r="U322" s="24">
        <v>81270</v>
      </c>
      <c r="V322" s="24">
        <v>2685940</v>
      </c>
      <c r="W322">
        <f t="shared" si="106"/>
        <v>2.6304618391352613E-10</v>
      </c>
      <c r="X322">
        <f t="shared" si="107"/>
        <v>0.40463152249400797</v>
      </c>
      <c r="Y322" s="9"/>
    </row>
    <row r="323" spans="1:25">
      <c r="A323" s="21">
        <v>45547</v>
      </c>
      <c r="B323" s="24">
        <v>17.96</v>
      </c>
      <c r="C323" s="29">
        <f t="shared" si="100"/>
        <v>5.5710306406693945E-4</v>
      </c>
      <c r="D323" s="24">
        <f t="shared" si="104"/>
        <v>1.3053671452031974E-2</v>
      </c>
      <c r="E323" s="24">
        <v>18.100000000000001</v>
      </c>
      <c r="F323" s="24">
        <v>17.5</v>
      </c>
      <c r="G323" s="24">
        <f t="shared" si="101"/>
        <v>3.3707865168539401E-2</v>
      </c>
      <c r="H323" s="24">
        <v>18</v>
      </c>
      <c r="I323" s="24">
        <v>17.95</v>
      </c>
      <c r="J323" s="24">
        <f t="shared" si="102"/>
        <v>2.78164116828933E-3</v>
      </c>
      <c r="K323" s="24">
        <v>228190</v>
      </c>
      <c r="L323" s="24">
        <v>251250000</v>
      </c>
      <c r="M323" s="24">
        <f t="shared" si="103"/>
        <v>4098292.4000000004</v>
      </c>
      <c r="N323" s="24">
        <v>125625000</v>
      </c>
      <c r="O323" s="24">
        <f t="shared" si="105"/>
        <v>1.8164378109452736E-3</v>
      </c>
      <c r="P323" s="24">
        <v>79017.62</v>
      </c>
      <c r="Q323" s="27">
        <v>0.1741</v>
      </c>
      <c r="R323" s="24">
        <v>6637990</v>
      </c>
      <c r="S323" s="24">
        <v>4185060.0000000005</v>
      </c>
      <c r="T323" s="24">
        <v>1075910</v>
      </c>
      <c r="U323" s="24">
        <v>81270</v>
      </c>
      <c r="V323" s="24">
        <v>2685940</v>
      </c>
      <c r="W323">
        <f t="shared" si="106"/>
        <v>1.3593541155505142E-10</v>
      </c>
      <c r="X323">
        <f t="shared" si="107"/>
        <v>0.40463152249400797</v>
      </c>
      <c r="Y323" s="9"/>
    </row>
    <row r="324" spans="1:25">
      <c r="A324" s="21">
        <v>45546</v>
      </c>
      <c r="B324" s="24">
        <v>17.95</v>
      </c>
      <c r="C324" s="29">
        <f t="shared" si="100"/>
        <v>-1.1129660545353131E-3</v>
      </c>
      <c r="D324" s="24">
        <f t="shared" si="104"/>
        <v>1.3053671452031974E-2</v>
      </c>
      <c r="E324" s="24">
        <v>18.02</v>
      </c>
      <c r="F324" s="24">
        <v>17.86</v>
      </c>
      <c r="G324" s="24">
        <f t="shared" si="101"/>
        <v>8.9186176142697967E-3</v>
      </c>
      <c r="H324" s="24">
        <v>17.93</v>
      </c>
      <c r="I324" s="24">
        <v>17.920000000000002</v>
      </c>
      <c r="J324" s="24">
        <f t="shared" si="102"/>
        <v>5.5788005578789456E-4</v>
      </c>
      <c r="K324" s="24">
        <v>169481</v>
      </c>
      <c r="L324" s="24">
        <v>251250000</v>
      </c>
      <c r="M324" s="24">
        <f t="shared" si="103"/>
        <v>3042183.9499999997</v>
      </c>
      <c r="N324" s="24">
        <v>125625000</v>
      </c>
      <c r="O324" s="24">
        <f t="shared" si="105"/>
        <v>1.349102487562189E-3</v>
      </c>
      <c r="P324" s="24">
        <v>78651.8</v>
      </c>
      <c r="Q324" s="27">
        <v>0.1741</v>
      </c>
      <c r="R324" s="24">
        <v>6637990</v>
      </c>
      <c r="S324" s="24">
        <v>4185060.0000000005</v>
      </c>
      <c r="T324" s="24">
        <v>1075910</v>
      </c>
      <c r="U324" s="24">
        <v>81270</v>
      </c>
      <c r="V324" s="24">
        <v>2685940</v>
      </c>
      <c r="W324">
        <f t="shared" si="106"/>
        <v>3.6584443045770233E-10</v>
      </c>
      <c r="X324">
        <f t="shared" si="107"/>
        <v>0.40463152249400797</v>
      </c>
      <c r="Y324" s="9"/>
    </row>
    <row r="325" spans="1:25">
      <c r="A325" s="21">
        <v>45545</v>
      </c>
      <c r="B325" s="24">
        <v>17.97</v>
      </c>
      <c r="C325" s="29">
        <f t="shared" si="100"/>
        <v>0</v>
      </c>
      <c r="D325" s="24">
        <f t="shared" si="104"/>
        <v>1.3053671452031974E-2</v>
      </c>
      <c r="E325" s="24">
        <v>18</v>
      </c>
      <c r="F325" s="24">
        <v>17.899999999999999</v>
      </c>
      <c r="G325" s="24">
        <f t="shared" si="101"/>
        <v>5.5710306406686035E-3</v>
      </c>
      <c r="H325" s="24">
        <v>17.95</v>
      </c>
      <c r="I325" s="24">
        <v>17.940000000000001</v>
      </c>
      <c r="J325" s="24">
        <f t="shared" si="102"/>
        <v>5.5725828921694123E-4</v>
      </c>
      <c r="K325" s="24">
        <v>149001</v>
      </c>
      <c r="L325" s="24">
        <v>251250000</v>
      </c>
      <c r="M325" s="24">
        <f t="shared" si="103"/>
        <v>2677547.9699999997</v>
      </c>
      <c r="N325" s="24">
        <v>125625000</v>
      </c>
      <c r="O325" s="24">
        <f t="shared" si="105"/>
        <v>1.1860776119402986E-3</v>
      </c>
      <c r="P325" s="24">
        <v>79286.740000000005</v>
      </c>
      <c r="Q325" s="27">
        <v>0.1741</v>
      </c>
      <c r="R325" s="24">
        <v>6637990</v>
      </c>
      <c r="S325" s="24">
        <v>4185060.0000000005</v>
      </c>
      <c r="T325" s="24">
        <v>1075910</v>
      </c>
      <c r="U325" s="24">
        <v>81270</v>
      </c>
      <c r="V325" s="24">
        <v>2685940</v>
      </c>
      <c r="W325">
        <f t="shared" si="106"/>
        <v>0</v>
      </c>
      <c r="X325">
        <f t="shared" si="107"/>
        <v>0.40463152249400797</v>
      </c>
      <c r="Y325" s="9"/>
    </row>
    <row r="326" spans="1:25">
      <c r="A326" s="21">
        <v>45544</v>
      </c>
      <c r="B326" s="24">
        <v>17.97</v>
      </c>
      <c r="C326" s="29">
        <f t="shared" si="100"/>
        <v>-5.5617352614024268E-4</v>
      </c>
      <c r="D326" s="24">
        <f t="shared" si="104"/>
        <v>1.3053671452031974E-2</v>
      </c>
      <c r="E326" s="24">
        <v>18.010000000000002</v>
      </c>
      <c r="F326" s="24">
        <v>17.899999999999999</v>
      </c>
      <c r="G326" s="24">
        <f t="shared" si="101"/>
        <v>6.1264271790589251E-3</v>
      </c>
      <c r="H326" s="24">
        <v>17.98</v>
      </c>
      <c r="I326" s="24">
        <v>17.96</v>
      </c>
      <c r="J326" s="24">
        <f t="shared" si="102"/>
        <v>1.1129660545353131E-3</v>
      </c>
      <c r="K326" s="24">
        <v>98340</v>
      </c>
      <c r="L326" s="24">
        <v>251250000</v>
      </c>
      <c r="M326" s="24">
        <f t="shared" si="103"/>
        <v>1767169.7999999998</v>
      </c>
      <c r="N326" s="24">
        <v>125625000</v>
      </c>
      <c r="O326" s="24">
        <f t="shared" si="105"/>
        <v>7.8280597014925371E-4</v>
      </c>
      <c r="P326" s="24">
        <v>78615</v>
      </c>
      <c r="Q326" s="27">
        <v>0.1741</v>
      </c>
      <c r="R326" s="24">
        <v>6637990</v>
      </c>
      <c r="S326" s="24">
        <v>4185060.0000000005</v>
      </c>
      <c r="T326" s="24">
        <v>1075910</v>
      </c>
      <c r="U326" s="24">
        <v>81270</v>
      </c>
      <c r="V326" s="24">
        <v>2685940</v>
      </c>
      <c r="W326">
        <f t="shared" si="106"/>
        <v>3.1472557200798856E-10</v>
      </c>
      <c r="X326">
        <f t="shared" si="107"/>
        <v>0.40463152249400797</v>
      </c>
      <c r="Y326" s="9"/>
    </row>
    <row r="327" spans="1:25">
      <c r="A327" s="21">
        <v>45541</v>
      </c>
      <c r="B327" s="24">
        <v>17.98</v>
      </c>
      <c r="C327" s="29">
        <f t="shared" si="100"/>
        <v>-1.1111111111110875E-3</v>
      </c>
      <c r="D327" s="24">
        <f t="shared" si="104"/>
        <v>1.3053671452031974E-2</v>
      </c>
      <c r="E327" s="24">
        <v>18.100000000000001</v>
      </c>
      <c r="F327" s="24">
        <v>17.899999999999999</v>
      </c>
      <c r="G327" s="24">
        <f t="shared" si="101"/>
        <v>1.1111111111111269E-2</v>
      </c>
      <c r="H327" s="24">
        <v>18</v>
      </c>
      <c r="I327" s="24">
        <v>17.97</v>
      </c>
      <c r="J327" s="24">
        <f t="shared" si="102"/>
        <v>1.6680567139283368E-3</v>
      </c>
      <c r="K327" s="24">
        <v>62975</v>
      </c>
      <c r="L327" s="24">
        <v>251250000</v>
      </c>
      <c r="M327" s="24">
        <f t="shared" si="103"/>
        <v>1132290.5</v>
      </c>
      <c r="N327" s="24">
        <v>125625000</v>
      </c>
      <c r="O327" s="24">
        <f t="shared" si="105"/>
        <v>5.0129353233830851E-4</v>
      </c>
      <c r="P327" s="24">
        <v>78897.73</v>
      </c>
      <c r="Q327" s="27">
        <v>0.1741</v>
      </c>
      <c r="R327" s="24">
        <v>6637990</v>
      </c>
      <c r="S327" s="24">
        <v>4185060.0000000005</v>
      </c>
      <c r="T327" s="24">
        <v>1075910</v>
      </c>
      <c r="U327" s="24">
        <v>81270</v>
      </c>
      <c r="V327" s="24">
        <v>2685940</v>
      </c>
      <c r="W327">
        <f t="shared" si="106"/>
        <v>9.8129509265606967E-10</v>
      </c>
      <c r="X327">
        <f t="shared" si="107"/>
        <v>0.40463152249400797</v>
      </c>
      <c r="Y327" s="9"/>
    </row>
    <row r="328" spans="1:25">
      <c r="A328" s="21">
        <v>45540</v>
      </c>
      <c r="B328" s="24">
        <v>18</v>
      </c>
      <c r="C328" s="29">
        <f t="shared" si="100"/>
        <v>6.1486864169927012E-3</v>
      </c>
      <c r="D328" s="24">
        <f t="shared" si="104"/>
        <v>1.3053671452031974E-2</v>
      </c>
      <c r="E328" s="24">
        <v>18.059999999999999</v>
      </c>
      <c r="F328" s="24">
        <v>17.8</v>
      </c>
      <c r="G328" s="24">
        <f t="shared" si="101"/>
        <v>1.4500836586726046E-2</v>
      </c>
      <c r="H328" s="24">
        <v>18</v>
      </c>
      <c r="I328" s="24">
        <v>17.98</v>
      </c>
      <c r="J328" s="24">
        <f t="shared" si="102"/>
        <v>1.1117287381878583E-3</v>
      </c>
      <c r="K328" s="24">
        <v>679221</v>
      </c>
      <c r="L328" s="24">
        <v>251250000</v>
      </c>
      <c r="M328" s="24">
        <f t="shared" si="103"/>
        <v>12225978</v>
      </c>
      <c r="N328" s="24">
        <v>125625000</v>
      </c>
      <c r="O328" s="24">
        <f t="shared" si="105"/>
        <v>5.4067343283582085E-3</v>
      </c>
      <c r="P328" s="24">
        <v>78863.34</v>
      </c>
      <c r="Q328" s="27">
        <v>0.1741</v>
      </c>
      <c r="R328" s="24">
        <v>6637990</v>
      </c>
      <c r="S328" s="24">
        <v>4185060.0000000005</v>
      </c>
      <c r="T328" s="24">
        <v>1075910</v>
      </c>
      <c r="U328" s="24">
        <v>81270</v>
      </c>
      <c r="V328" s="24">
        <v>2685940</v>
      </c>
      <c r="W328">
        <f t="shared" si="106"/>
        <v>5.0291980052579032E-10</v>
      </c>
      <c r="X328">
        <f t="shared" si="107"/>
        <v>0.40463152249400797</v>
      </c>
      <c r="Y328" s="9"/>
    </row>
    <row r="329" spans="1:25">
      <c r="A329" s="21">
        <v>45539</v>
      </c>
      <c r="B329" s="24">
        <v>17.89</v>
      </c>
      <c r="C329" s="29">
        <f t="shared" si="100"/>
        <v>-6.2368972746331124E-2</v>
      </c>
      <c r="D329" s="24">
        <f t="shared" si="104"/>
        <v>1.3053671452031974E-2</v>
      </c>
      <c r="E329" s="24">
        <v>18.09</v>
      </c>
      <c r="F329" s="24">
        <v>17.7</v>
      </c>
      <c r="G329" s="24">
        <f t="shared" si="101"/>
        <v>2.1793797150041944E-2</v>
      </c>
      <c r="H329" s="24">
        <v>17.899999999999999</v>
      </c>
      <c r="I329" s="24">
        <v>17.809999999999999</v>
      </c>
      <c r="J329" s="24">
        <f t="shared" si="102"/>
        <v>5.040604872584703E-3</v>
      </c>
      <c r="K329" s="24">
        <v>598912</v>
      </c>
      <c r="L329" s="24">
        <v>251250000</v>
      </c>
      <c r="M329" s="24">
        <f t="shared" si="103"/>
        <v>10714535.68</v>
      </c>
      <c r="N329" s="24">
        <v>125625000</v>
      </c>
      <c r="O329" s="24">
        <f t="shared" si="105"/>
        <v>4.7674587064676617E-3</v>
      </c>
      <c r="P329" s="24">
        <v>78848.009999999995</v>
      </c>
      <c r="Q329" s="27">
        <v>0.1741</v>
      </c>
      <c r="R329" s="24">
        <v>6637990</v>
      </c>
      <c r="S329" s="24">
        <v>4185060.0000000005</v>
      </c>
      <c r="T329" s="24">
        <v>1075910</v>
      </c>
      <c r="U329" s="24">
        <v>81270</v>
      </c>
      <c r="V329" s="24">
        <v>2685940</v>
      </c>
      <c r="W329">
        <f t="shared" si="106"/>
        <v>5.8209683190238929E-9</v>
      </c>
      <c r="X329">
        <f t="shared" si="107"/>
        <v>0.40463152249400797</v>
      </c>
      <c r="Y329" s="9"/>
    </row>
    <row r="330" spans="1:25">
      <c r="A330" s="21">
        <v>45538</v>
      </c>
      <c r="B330" s="24">
        <v>19.079999999999998</v>
      </c>
      <c r="C330" s="29">
        <f t="shared" si="100"/>
        <v>-9.8598858329009484E-3</v>
      </c>
      <c r="D330" s="24">
        <f t="shared" si="104"/>
        <v>1.3053671452031974E-2</v>
      </c>
      <c r="E330" s="24">
        <v>19.350000000000001</v>
      </c>
      <c r="F330" s="24">
        <v>19</v>
      </c>
      <c r="G330" s="24">
        <f t="shared" si="101"/>
        <v>1.825293350717087E-2</v>
      </c>
      <c r="H330" s="24">
        <v>19.2</v>
      </c>
      <c r="I330" s="24">
        <v>19.190000000000001</v>
      </c>
      <c r="J330" s="24">
        <f t="shared" si="102"/>
        <v>5.2096900234425687E-4</v>
      </c>
      <c r="K330" s="24">
        <v>308525</v>
      </c>
      <c r="L330" s="24">
        <v>251250000</v>
      </c>
      <c r="M330" s="24">
        <f t="shared" si="103"/>
        <v>5886656.9999999991</v>
      </c>
      <c r="N330" s="24">
        <v>125625000</v>
      </c>
      <c r="O330" s="24">
        <f t="shared" si="105"/>
        <v>2.4559203980099504E-3</v>
      </c>
      <c r="P330" s="24">
        <v>78356.320000000007</v>
      </c>
      <c r="Q330" s="27">
        <v>0.17469999999999999</v>
      </c>
      <c r="R330" s="24">
        <v>6637990</v>
      </c>
      <c r="S330" s="24">
        <v>4185060.0000000005</v>
      </c>
      <c r="T330" s="24">
        <v>1075910</v>
      </c>
      <c r="U330" s="24">
        <v>81270</v>
      </c>
      <c r="V330" s="24">
        <v>2685940</v>
      </c>
      <c r="W330">
        <f t="shared" si="106"/>
        <v>1.6749550437372095E-9</v>
      </c>
      <c r="X330">
        <f t="shared" si="107"/>
        <v>0.40463152249400797</v>
      </c>
      <c r="Y330" s="9"/>
    </row>
    <row r="331" spans="1:25">
      <c r="A331" s="21">
        <v>45537</v>
      </c>
      <c r="B331" s="24">
        <v>19.27</v>
      </c>
      <c r="C331" s="29">
        <f t="shared" si="100"/>
        <v>2.6014568158168948E-3</v>
      </c>
      <c r="D331" s="24">
        <f t="shared" si="104"/>
        <v>1.3053671452031974E-2</v>
      </c>
      <c r="E331" s="24">
        <v>19.32</v>
      </c>
      <c r="F331" s="24">
        <v>19.2</v>
      </c>
      <c r="G331" s="24">
        <f t="shared" si="101"/>
        <v>6.2305295950156282E-3</v>
      </c>
      <c r="H331" s="24">
        <v>19.27</v>
      </c>
      <c r="I331" s="24">
        <v>19.22</v>
      </c>
      <c r="J331" s="24">
        <f t="shared" si="102"/>
        <v>2.5980774227072341E-3</v>
      </c>
      <c r="K331" s="24">
        <v>299839</v>
      </c>
      <c r="L331" s="24">
        <v>251250000</v>
      </c>
      <c r="M331" s="24">
        <f t="shared" si="103"/>
        <v>5777897.5300000003</v>
      </c>
      <c r="N331" s="24">
        <v>125625000</v>
      </c>
      <c r="O331" s="24">
        <f t="shared" si="105"/>
        <v>2.3867781094527364E-3</v>
      </c>
      <c r="P331" s="24">
        <v>78283.3</v>
      </c>
      <c r="Q331" s="27">
        <v>0.17469999999999999</v>
      </c>
      <c r="R331" s="24">
        <v>6637990</v>
      </c>
      <c r="S331" s="24">
        <v>4185060.0000000005</v>
      </c>
      <c r="T331" s="24">
        <v>1075910</v>
      </c>
      <c r="U331" s="24">
        <v>81270</v>
      </c>
      <c r="V331" s="24">
        <v>2685940</v>
      </c>
      <c r="W331">
        <f t="shared" si="106"/>
        <v>4.5024280931075888E-10</v>
      </c>
      <c r="X331">
        <f t="shared" si="107"/>
        <v>0.40463152249400797</v>
      </c>
      <c r="Y331" s="9"/>
    </row>
    <row r="332" spans="1:25">
      <c r="A332" s="21">
        <v>45534</v>
      </c>
      <c r="B332" s="24">
        <v>19.22</v>
      </c>
      <c r="C332" s="29">
        <f t="shared" si="100"/>
        <v>1.0515247108307008E-2</v>
      </c>
      <c r="D332" s="24">
        <f t="shared" si="104"/>
        <v>1.3053671452031974E-2</v>
      </c>
      <c r="E332" s="24">
        <v>19.29</v>
      </c>
      <c r="F332" s="24">
        <v>19.05</v>
      </c>
      <c r="G332" s="24">
        <f t="shared" si="101"/>
        <v>1.251956181533638E-2</v>
      </c>
      <c r="H332" s="24">
        <v>19.23</v>
      </c>
      <c r="I332" s="24">
        <v>19.22</v>
      </c>
      <c r="J332" s="24">
        <f t="shared" si="102"/>
        <v>5.2015604681412552E-4</v>
      </c>
      <c r="K332" s="24">
        <v>560277</v>
      </c>
      <c r="L332" s="24">
        <v>251250000</v>
      </c>
      <c r="M332" s="24">
        <f t="shared" si="103"/>
        <v>10768523.939999999</v>
      </c>
      <c r="N332" s="24">
        <v>125625000</v>
      </c>
      <c r="O332" s="24">
        <f t="shared" si="105"/>
        <v>4.459916417910448E-3</v>
      </c>
      <c r="P332" s="24">
        <v>78488.22</v>
      </c>
      <c r="Q332" s="27">
        <v>0.17469999999999999</v>
      </c>
      <c r="R332" s="24">
        <v>6637990</v>
      </c>
      <c r="S332" s="24">
        <v>4185060.0000000005</v>
      </c>
      <c r="T332" s="24">
        <v>1075910</v>
      </c>
      <c r="U332" s="24">
        <v>81270</v>
      </c>
      <c r="V332" s="24">
        <v>2685940</v>
      </c>
      <c r="W332">
        <f t="shared" si="106"/>
        <v>9.7647989333503842E-10</v>
      </c>
      <c r="X332">
        <f t="shared" si="107"/>
        <v>0.40463152249400797</v>
      </c>
      <c r="Y332" s="9"/>
    </row>
    <row r="333" spans="1:25">
      <c r="A333" s="21">
        <v>45533</v>
      </c>
      <c r="B333" s="24">
        <v>19.02</v>
      </c>
      <c r="C333" s="29">
        <f t="shared" si="100"/>
        <v>-2.6219192448872948E-3</v>
      </c>
      <c r="D333" s="24">
        <f t="shared" si="104"/>
        <v>1.3053671452031974E-2</v>
      </c>
      <c r="E333" s="24">
        <v>19.350000000000001</v>
      </c>
      <c r="F333" s="24">
        <v>19</v>
      </c>
      <c r="G333" s="24">
        <f t="shared" si="101"/>
        <v>1.825293350717087E-2</v>
      </c>
      <c r="H333" s="24">
        <v>19.18</v>
      </c>
      <c r="I333" s="24">
        <v>19.11</v>
      </c>
      <c r="J333" s="24">
        <f t="shared" si="102"/>
        <v>3.6563071297989178E-3</v>
      </c>
      <c r="K333" s="24">
        <v>320123</v>
      </c>
      <c r="L333" s="24">
        <v>251250000</v>
      </c>
      <c r="M333" s="24">
        <f t="shared" si="103"/>
        <v>6088739.46</v>
      </c>
      <c r="N333" s="24">
        <v>125625000</v>
      </c>
      <c r="O333" s="24">
        <f t="shared" si="105"/>
        <v>2.5482427860696517E-3</v>
      </c>
      <c r="P333" s="24">
        <v>78349.66</v>
      </c>
      <c r="Q333" s="27">
        <v>0.17469999999999999</v>
      </c>
      <c r="R333" s="24">
        <v>6637990</v>
      </c>
      <c r="S333" s="24">
        <v>4185060.0000000005</v>
      </c>
      <c r="T333" s="24">
        <v>1075910</v>
      </c>
      <c r="U333" s="24">
        <v>81270</v>
      </c>
      <c r="V333" s="24">
        <v>2685940</v>
      </c>
      <c r="W333">
        <f t="shared" si="106"/>
        <v>4.306177431489727E-10</v>
      </c>
      <c r="X333">
        <f t="shared" si="107"/>
        <v>0.40463152249400797</v>
      </c>
      <c r="Y333" s="9"/>
    </row>
    <row r="334" spans="1:25">
      <c r="A334" s="21">
        <v>45532</v>
      </c>
      <c r="B334" s="24">
        <v>19.07</v>
      </c>
      <c r="C334" s="29">
        <f t="shared" si="100"/>
        <v>-2.0041109969167553E-2</v>
      </c>
      <c r="D334" s="24">
        <f t="shared" si="104"/>
        <v>1.3053671452031974E-2</v>
      </c>
      <c r="E334" s="24">
        <v>19.66</v>
      </c>
      <c r="F334" s="24">
        <v>19</v>
      </c>
      <c r="G334" s="24">
        <f t="shared" si="101"/>
        <v>3.4143817899637878E-2</v>
      </c>
      <c r="H334" s="24">
        <v>19.21</v>
      </c>
      <c r="I334" s="24">
        <v>19.2</v>
      </c>
      <c r="J334" s="24">
        <f t="shared" si="102"/>
        <v>5.2069773496493438E-4</v>
      </c>
      <c r="K334" s="24">
        <v>1285786</v>
      </c>
      <c r="L334" s="24">
        <v>251250000</v>
      </c>
      <c r="M334" s="24">
        <f t="shared" si="103"/>
        <v>24519939.02</v>
      </c>
      <c r="N334" s="24">
        <v>125625000</v>
      </c>
      <c r="O334" s="24">
        <f t="shared" si="105"/>
        <v>1.0235112437810945E-2</v>
      </c>
      <c r="P334" s="24">
        <v>77992.789999999994</v>
      </c>
      <c r="Q334" s="27">
        <v>0.17469999999999999</v>
      </c>
      <c r="R334" s="24">
        <v>6637990</v>
      </c>
      <c r="S334" s="24">
        <v>4185060.0000000005</v>
      </c>
      <c r="T334" s="24">
        <v>1075910</v>
      </c>
      <c r="U334" s="24">
        <v>81270</v>
      </c>
      <c r="V334" s="24">
        <v>2685940</v>
      </c>
      <c r="W334">
        <f t="shared" si="106"/>
        <v>8.1733930711739398E-10</v>
      </c>
      <c r="X334">
        <f t="shared" si="107"/>
        <v>0.40463152249400797</v>
      </c>
      <c r="Y334" s="9"/>
    </row>
    <row r="335" spans="1:25">
      <c r="A335" s="21">
        <v>45531</v>
      </c>
      <c r="B335" s="24">
        <v>19.46</v>
      </c>
      <c r="C335" s="29">
        <f t="shared" si="100"/>
        <v>4.6463603510583304E-3</v>
      </c>
      <c r="D335" s="24">
        <f t="shared" si="104"/>
        <v>1.3053671452031974E-2</v>
      </c>
      <c r="E335" s="24">
        <v>19.66</v>
      </c>
      <c r="F335" s="24">
        <v>19.3</v>
      </c>
      <c r="G335" s="24">
        <f t="shared" si="101"/>
        <v>1.8480492813141656E-2</v>
      </c>
      <c r="H335" s="24">
        <v>19.48</v>
      </c>
      <c r="I335" s="24">
        <v>19.46</v>
      </c>
      <c r="J335" s="24">
        <f t="shared" si="102"/>
        <v>1.0272213662043952E-3</v>
      </c>
      <c r="K335" s="24">
        <v>492968</v>
      </c>
      <c r="L335" s="24">
        <v>251250000</v>
      </c>
      <c r="M335" s="24">
        <f t="shared" si="103"/>
        <v>9593157.2800000012</v>
      </c>
      <c r="N335" s="24">
        <v>125625000</v>
      </c>
      <c r="O335" s="24">
        <f t="shared" si="105"/>
        <v>3.9241233830845769E-3</v>
      </c>
      <c r="P335" s="24">
        <v>78084.240000000005</v>
      </c>
      <c r="Q335" s="27">
        <v>0.17469999999999999</v>
      </c>
      <c r="R335" s="24">
        <v>6637990</v>
      </c>
      <c r="S335" s="24">
        <v>4185060.0000000005</v>
      </c>
      <c r="T335" s="24">
        <v>1075910</v>
      </c>
      <c r="U335" s="24">
        <v>81270</v>
      </c>
      <c r="V335" s="24">
        <v>2685940</v>
      </c>
      <c r="W335">
        <f t="shared" si="106"/>
        <v>4.8434110016575587E-10</v>
      </c>
      <c r="X335">
        <f t="shared" si="107"/>
        <v>0.40463152249400797</v>
      </c>
      <c r="Y335" s="9"/>
    </row>
    <row r="336" spans="1:25">
      <c r="A336" s="21">
        <v>45530</v>
      </c>
      <c r="B336" s="24">
        <v>19.37</v>
      </c>
      <c r="C336" s="29">
        <f t="shared" si="100"/>
        <v>1.466736511262447E-2</v>
      </c>
      <c r="D336" s="24">
        <f t="shared" si="104"/>
        <v>1.3053671452031974E-2</v>
      </c>
      <c r="E336" s="24">
        <v>19.89</v>
      </c>
      <c r="F336" s="24">
        <v>19.149999999999999</v>
      </c>
      <c r="G336" s="24">
        <f t="shared" si="101"/>
        <v>3.7909836065573875E-2</v>
      </c>
      <c r="H336" s="24">
        <v>19.46</v>
      </c>
      <c r="I336" s="24">
        <v>19.45</v>
      </c>
      <c r="J336" s="24">
        <f t="shared" si="102"/>
        <v>5.1400668208694748E-4</v>
      </c>
      <c r="K336" s="24">
        <v>293601</v>
      </c>
      <c r="L336" s="24">
        <v>251250000</v>
      </c>
      <c r="M336" s="24">
        <f t="shared" si="103"/>
        <v>5687051.3700000001</v>
      </c>
      <c r="N336" s="24">
        <v>125625000</v>
      </c>
      <c r="O336" s="24">
        <f t="shared" si="105"/>
        <v>2.3371223880597016E-3</v>
      </c>
      <c r="P336" s="24">
        <v>78571.06</v>
      </c>
      <c r="Q336" s="27">
        <v>0.17469999999999999</v>
      </c>
      <c r="R336" s="24">
        <v>6637990</v>
      </c>
      <c r="S336" s="24">
        <v>4185060.0000000005</v>
      </c>
      <c r="T336" s="24">
        <v>1075910</v>
      </c>
      <c r="U336" s="24">
        <v>81270</v>
      </c>
      <c r="V336" s="24">
        <v>2685940</v>
      </c>
      <c r="W336">
        <f t="shared" si="106"/>
        <v>2.5790808203345752E-9</v>
      </c>
      <c r="X336">
        <f t="shared" si="107"/>
        <v>0.40463152249400797</v>
      </c>
      <c r="Y336" s="9"/>
    </row>
    <row r="337" spans="1:25">
      <c r="A337" s="21">
        <v>45527</v>
      </c>
      <c r="B337" s="24">
        <v>19.09</v>
      </c>
      <c r="C337" s="29">
        <f t="shared" si="100"/>
        <v>3.6803364879074807E-3</v>
      </c>
      <c r="D337" s="24">
        <f t="shared" si="104"/>
        <v>1.3053671452031974E-2</v>
      </c>
      <c r="E337" s="24">
        <v>19.239999999999998</v>
      </c>
      <c r="F337" s="24">
        <v>18.91</v>
      </c>
      <c r="G337" s="24">
        <f t="shared" si="101"/>
        <v>1.7300131061598861E-2</v>
      </c>
      <c r="H337" s="24">
        <v>19.100000000000001</v>
      </c>
      <c r="I337" s="24">
        <v>19.07</v>
      </c>
      <c r="J337" s="24">
        <f t="shared" si="102"/>
        <v>1.571915116583764E-3</v>
      </c>
      <c r="K337" s="24">
        <v>162750</v>
      </c>
      <c r="L337" s="24">
        <v>251250000</v>
      </c>
      <c r="M337" s="24">
        <f t="shared" si="103"/>
        <v>3106897.5</v>
      </c>
      <c r="N337" s="24">
        <v>125625000</v>
      </c>
      <c r="O337" s="24">
        <f t="shared" si="105"/>
        <v>1.2955223880597015E-3</v>
      </c>
      <c r="P337" s="24">
        <v>78801.429999999993</v>
      </c>
      <c r="Q337" s="27">
        <v>0.17469999999999999</v>
      </c>
      <c r="R337" s="24">
        <v>6637990</v>
      </c>
      <c r="S337" s="24">
        <v>4185060.0000000005</v>
      </c>
      <c r="T337" s="24">
        <v>1075910</v>
      </c>
      <c r="U337" s="24">
        <v>81270</v>
      </c>
      <c r="V337" s="24">
        <v>2685940</v>
      </c>
      <c r="W337">
        <f t="shared" si="106"/>
        <v>1.1845696512058993E-9</v>
      </c>
      <c r="X337">
        <f t="shared" si="107"/>
        <v>0.40463152249400797</v>
      </c>
      <c r="Y337" s="9"/>
    </row>
    <row r="338" spans="1:25">
      <c r="A338" s="21">
        <v>45526</v>
      </c>
      <c r="B338" s="24">
        <v>19.02</v>
      </c>
      <c r="C338" s="29">
        <f t="shared" si="100"/>
        <v>8.483563096500538E-3</v>
      </c>
      <c r="D338" s="24">
        <f t="shared" si="104"/>
        <v>1.3053671452031974E-2</v>
      </c>
      <c r="E338" s="24">
        <v>19.05</v>
      </c>
      <c r="F338" s="24">
        <v>18.88</v>
      </c>
      <c r="G338" s="24">
        <f t="shared" si="101"/>
        <v>8.9638808331137208E-3</v>
      </c>
      <c r="H338" s="24">
        <v>19</v>
      </c>
      <c r="I338" s="24">
        <v>18.97</v>
      </c>
      <c r="J338" s="24">
        <f t="shared" si="102"/>
        <v>1.5801948907032467E-3</v>
      </c>
      <c r="K338" s="24">
        <v>260894</v>
      </c>
      <c r="L338" s="24">
        <v>251250000</v>
      </c>
      <c r="M338" s="24">
        <f t="shared" si="103"/>
        <v>4962203.88</v>
      </c>
      <c r="N338" s="24">
        <v>125625000</v>
      </c>
      <c r="O338" s="24">
        <f t="shared" si="105"/>
        <v>2.07676815920398E-3</v>
      </c>
      <c r="P338" s="24">
        <v>78793.41</v>
      </c>
      <c r="Q338" s="27">
        <v>0.17469999999999999</v>
      </c>
      <c r="R338" s="24">
        <v>6637990</v>
      </c>
      <c r="S338" s="24">
        <v>4185060.0000000005</v>
      </c>
      <c r="T338" s="24">
        <v>1075910</v>
      </c>
      <c r="U338" s="24">
        <v>81270</v>
      </c>
      <c r="V338" s="24">
        <v>2685940</v>
      </c>
      <c r="W338">
        <f t="shared" si="106"/>
        <v>1.7096361418548846E-9</v>
      </c>
      <c r="X338">
        <f t="shared" si="107"/>
        <v>0.40463152249400797</v>
      </c>
      <c r="Y338" s="9"/>
    </row>
    <row r="339" spans="1:25">
      <c r="A339" s="21">
        <v>45525</v>
      </c>
      <c r="B339" s="24">
        <v>18.86</v>
      </c>
      <c r="C339" s="29">
        <f t="shared" si="100"/>
        <v>-2.1164021164020714E-3</v>
      </c>
      <c r="D339" s="24">
        <f t="shared" si="104"/>
        <v>1.3053671452031974E-2</v>
      </c>
      <c r="E339" s="24">
        <v>19.059999999999999</v>
      </c>
      <c r="F339" s="24">
        <v>18.809999999999999</v>
      </c>
      <c r="G339" s="24">
        <f t="shared" si="101"/>
        <v>1.320306311064167E-2</v>
      </c>
      <c r="H339" s="24">
        <v>18.899999999999999</v>
      </c>
      <c r="I339" s="24">
        <v>18.89</v>
      </c>
      <c r="J339" s="24">
        <f t="shared" si="102"/>
        <v>5.2924053982524532E-4</v>
      </c>
      <c r="K339" s="24">
        <v>72752</v>
      </c>
      <c r="L339" s="24">
        <v>251250000</v>
      </c>
      <c r="M339" s="24">
        <f t="shared" si="103"/>
        <v>1372102.72</v>
      </c>
      <c r="N339" s="24">
        <v>125625000</v>
      </c>
      <c r="O339" s="24">
        <f t="shared" si="105"/>
        <v>5.7912039800995022E-4</v>
      </c>
      <c r="P339" s="24">
        <v>78260.86</v>
      </c>
      <c r="Q339" s="27">
        <v>0.17469999999999999</v>
      </c>
      <c r="R339" s="24">
        <v>6637990</v>
      </c>
      <c r="S339" s="24">
        <v>4185060.0000000005</v>
      </c>
      <c r="T339" s="24">
        <v>1075910</v>
      </c>
      <c r="U339" s="24">
        <v>81270</v>
      </c>
      <c r="V339" s="24">
        <v>2685940</v>
      </c>
      <c r="W339">
        <f t="shared" si="106"/>
        <v>1.5424516587228043E-9</v>
      </c>
      <c r="X339">
        <f t="shared" si="107"/>
        <v>0.40463152249400797</v>
      </c>
      <c r="Y339" s="9"/>
    </row>
    <row r="340" spans="1:25">
      <c r="A340" s="21">
        <v>45524</v>
      </c>
      <c r="B340" s="24">
        <v>18.899999999999999</v>
      </c>
      <c r="C340" s="29">
        <f t="shared" si="100"/>
        <v>9.6153846153846003E-3</v>
      </c>
      <c r="D340" s="24">
        <f t="shared" si="104"/>
        <v>1.3053671452031974E-2</v>
      </c>
      <c r="E340" s="24">
        <v>19.05</v>
      </c>
      <c r="F340" s="24">
        <v>16.850000000000001</v>
      </c>
      <c r="G340" s="24">
        <f t="shared" si="101"/>
        <v>0.12256267409470746</v>
      </c>
      <c r="H340" s="24">
        <v>18.91</v>
      </c>
      <c r="I340" s="24">
        <v>18.809999999999999</v>
      </c>
      <c r="J340" s="24">
        <f t="shared" si="102"/>
        <v>5.3022269353129071E-3</v>
      </c>
      <c r="K340" s="24">
        <v>257862</v>
      </c>
      <c r="L340" s="24">
        <v>251250000</v>
      </c>
      <c r="M340" s="24">
        <f t="shared" si="103"/>
        <v>4873591.8</v>
      </c>
      <c r="N340" s="24">
        <v>125625000</v>
      </c>
      <c r="O340" s="24">
        <f t="shared" si="105"/>
        <v>2.0526328358208955E-3</v>
      </c>
      <c r="P340" s="24">
        <v>77745.52</v>
      </c>
      <c r="Q340" s="27">
        <v>0.189</v>
      </c>
      <c r="R340" s="24">
        <v>6637990</v>
      </c>
      <c r="S340" s="24">
        <v>4185060.0000000005</v>
      </c>
      <c r="T340" s="24">
        <v>1075910</v>
      </c>
      <c r="U340" s="24">
        <v>81270</v>
      </c>
      <c r="V340" s="24">
        <v>2685940</v>
      </c>
      <c r="W340">
        <f t="shared" si="106"/>
        <v>1.9729564990208248E-9</v>
      </c>
      <c r="X340">
        <f t="shared" si="107"/>
        <v>0.40463152249400797</v>
      </c>
      <c r="Y340" s="9"/>
    </row>
    <row r="341" spans="1:25">
      <c r="A341" s="21">
        <v>45523</v>
      </c>
      <c r="B341" s="24">
        <v>18.72</v>
      </c>
      <c r="C341" s="29">
        <f t="shared" si="100"/>
        <v>-7.4231177094379944E-3</v>
      </c>
      <c r="D341" s="24">
        <f t="shared" si="104"/>
        <v>1.3053671452031974E-2</v>
      </c>
      <c r="E341" s="24">
        <v>18.86</v>
      </c>
      <c r="F341" s="24">
        <v>18.649999999999999</v>
      </c>
      <c r="G341" s="24">
        <f t="shared" si="101"/>
        <v>1.1197014129565495E-2</v>
      </c>
      <c r="H341" s="24">
        <v>18.7</v>
      </c>
      <c r="I341" s="24">
        <v>18.649999999999999</v>
      </c>
      <c r="J341" s="24">
        <f t="shared" si="102"/>
        <v>2.6773761713521135E-3</v>
      </c>
      <c r="K341" s="24">
        <v>87830</v>
      </c>
      <c r="L341" s="24">
        <v>251250000</v>
      </c>
      <c r="M341" s="24">
        <f t="shared" si="103"/>
        <v>1644177.5999999999</v>
      </c>
      <c r="N341" s="24">
        <v>125625000</v>
      </c>
      <c r="O341" s="24">
        <f t="shared" si="105"/>
        <v>6.9914427860696515E-4</v>
      </c>
      <c r="P341" s="24">
        <v>77830.34</v>
      </c>
      <c r="Q341" s="27">
        <v>0.189</v>
      </c>
      <c r="R341" s="24">
        <v>6637990</v>
      </c>
      <c r="S341" s="24">
        <v>4185060.0000000005</v>
      </c>
      <c r="T341" s="24">
        <v>1075910</v>
      </c>
      <c r="U341" s="24">
        <v>81270</v>
      </c>
      <c r="V341" s="24">
        <v>2685940</v>
      </c>
      <c r="W341">
        <f t="shared" si="106"/>
        <v>4.5147906828544522E-9</v>
      </c>
      <c r="X341">
        <f t="shared" si="107"/>
        <v>0.40463152249400797</v>
      </c>
      <c r="Y341" s="9"/>
    </row>
    <row r="342" spans="1:25">
      <c r="A342" s="21">
        <v>45520</v>
      </c>
      <c r="B342" s="24">
        <v>18.86</v>
      </c>
      <c r="C342" s="29">
        <f t="shared" si="100"/>
        <v>3.72538584353381E-3</v>
      </c>
      <c r="D342" s="24">
        <f t="shared" si="104"/>
        <v>1.3053671452031974E-2</v>
      </c>
      <c r="E342" s="24">
        <v>18.89</v>
      </c>
      <c r="F342" s="24">
        <v>18.559999999999999</v>
      </c>
      <c r="G342" s="24">
        <f t="shared" si="101"/>
        <v>1.762349799732987E-2</v>
      </c>
      <c r="H342" s="24">
        <v>18.89</v>
      </c>
      <c r="I342" s="24">
        <v>18.829999999999998</v>
      </c>
      <c r="J342" s="24">
        <f t="shared" si="102"/>
        <v>3.1813361611878195E-3</v>
      </c>
      <c r="K342" s="24">
        <v>198142</v>
      </c>
      <c r="L342" s="24">
        <v>251250000</v>
      </c>
      <c r="M342" s="24">
        <f t="shared" si="103"/>
        <v>3736958.12</v>
      </c>
      <c r="N342" s="24">
        <v>125625000</v>
      </c>
      <c r="O342" s="24">
        <f t="shared" si="105"/>
        <v>1.5772497512437811E-3</v>
      </c>
      <c r="P342" s="24">
        <v>78045.31</v>
      </c>
      <c r="Q342" s="27">
        <v>0.189</v>
      </c>
      <c r="R342" s="24">
        <v>6637990</v>
      </c>
      <c r="S342" s="24">
        <v>4185060.0000000005</v>
      </c>
      <c r="T342" s="24">
        <v>1075910</v>
      </c>
      <c r="U342" s="24">
        <v>81270</v>
      </c>
      <c r="V342" s="24">
        <v>2685940</v>
      </c>
      <c r="W342">
        <f t="shared" si="106"/>
        <v>9.9690328976280049E-10</v>
      </c>
      <c r="X342">
        <f t="shared" si="107"/>
        <v>0.40463152249400797</v>
      </c>
      <c r="Y342" s="9"/>
    </row>
    <row r="343" spans="1:25">
      <c r="A343" s="21">
        <v>45519</v>
      </c>
      <c r="B343" s="24">
        <v>18.79</v>
      </c>
      <c r="C343" s="29">
        <f t="shared" si="100"/>
        <v>9.1299677765842181E-3</v>
      </c>
      <c r="D343" s="24">
        <f t="shared" si="104"/>
        <v>1.3053671452031974E-2</v>
      </c>
      <c r="E343" s="24">
        <v>18.98</v>
      </c>
      <c r="F343" s="24">
        <v>18.5</v>
      </c>
      <c r="G343" s="24">
        <f t="shared" si="101"/>
        <v>2.5613660618996819E-2</v>
      </c>
      <c r="H343" s="24">
        <v>18.89</v>
      </c>
      <c r="I343" s="24">
        <v>18.809999999999999</v>
      </c>
      <c r="J343" s="24">
        <f t="shared" si="102"/>
        <v>4.2440318302388244E-3</v>
      </c>
      <c r="K343" s="24">
        <v>63389</v>
      </c>
      <c r="L343" s="24">
        <v>251250000</v>
      </c>
      <c r="M343" s="24">
        <f t="shared" si="103"/>
        <v>1191079.31</v>
      </c>
      <c r="N343" s="24">
        <v>125625000</v>
      </c>
      <c r="O343" s="24">
        <f t="shared" si="105"/>
        <v>5.0458905472636813E-4</v>
      </c>
      <c r="P343" s="24">
        <v>78105.98</v>
      </c>
      <c r="Q343" s="27">
        <v>0.189</v>
      </c>
      <c r="R343" s="24">
        <v>6637990</v>
      </c>
      <c r="S343" s="24">
        <v>4185060.0000000005</v>
      </c>
      <c r="T343" s="24">
        <v>1075910</v>
      </c>
      <c r="U343" s="24">
        <v>81270</v>
      </c>
      <c r="V343" s="24">
        <v>2685940</v>
      </c>
      <c r="W343">
        <f t="shared" si="106"/>
        <v>7.665289540277731E-9</v>
      </c>
      <c r="X343">
        <f t="shared" si="107"/>
        <v>0.40463152249400797</v>
      </c>
      <c r="Y343" s="9"/>
    </row>
    <row r="344" spans="1:25">
      <c r="A344" s="21">
        <v>45517</v>
      </c>
      <c r="B344" s="24">
        <v>18.62</v>
      </c>
      <c r="C344" s="29">
        <f t="shared" si="100"/>
        <v>5.3995680345573123E-3</v>
      </c>
      <c r="D344" s="24">
        <f t="shared" si="104"/>
        <v>1.3053671452031974E-2</v>
      </c>
      <c r="E344" s="24">
        <v>18.7</v>
      </c>
      <c r="F344" s="24">
        <v>18.5</v>
      </c>
      <c r="G344" s="24">
        <f t="shared" si="101"/>
        <v>1.0752688172042972E-2</v>
      </c>
      <c r="H344" s="24">
        <v>18.690000000000001</v>
      </c>
      <c r="I344" s="24">
        <v>18.61</v>
      </c>
      <c r="J344" s="24">
        <f t="shared" si="102"/>
        <v>4.2895442359250323E-3</v>
      </c>
      <c r="K344" s="24">
        <v>138568</v>
      </c>
      <c r="L344" s="24">
        <v>251250000</v>
      </c>
      <c r="M344" s="24">
        <f t="shared" si="103"/>
        <v>2580136.16</v>
      </c>
      <c r="N344" s="24">
        <v>125625000</v>
      </c>
      <c r="O344" s="24">
        <f t="shared" si="105"/>
        <v>1.1030288557213931E-3</v>
      </c>
      <c r="P344" s="24">
        <v>77877.42</v>
      </c>
      <c r="Q344" s="27">
        <v>0.189</v>
      </c>
      <c r="R344" s="24">
        <v>6637990</v>
      </c>
      <c r="S344" s="24">
        <v>4185060.0000000005</v>
      </c>
      <c r="T344" s="24">
        <v>1075910</v>
      </c>
      <c r="U344" s="24">
        <v>81270</v>
      </c>
      <c r="V344" s="24">
        <v>2685940</v>
      </c>
      <c r="W344">
        <f t="shared" si="106"/>
        <v>2.0927453823046736E-9</v>
      </c>
      <c r="X344">
        <f t="shared" si="107"/>
        <v>0.40463152249400797</v>
      </c>
      <c r="Y344" s="9"/>
    </row>
    <row r="345" spans="1:25">
      <c r="A345" s="21">
        <v>45516</v>
      </c>
      <c r="B345" s="24">
        <v>18.52</v>
      </c>
      <c r="C345" s="29">
        <f t="shared" si="100"/>
        <v>-1.1739594450373474E-2</v>
      </c>
      <c r="D345" s="24">
        <f t="shared" si="104"/>
        <v>1.3053671452031974E-2</v>
      </c>
      <c r="E345" s="24">
        <v>18.649999999999999</v>
      </c>
      <c r="F345" s="24">
        <v>18.5</v>
      </c>
      <c r="G345" s="24">
        <f t="shared" si="101"/>
        <v>8.0753701211304756E-3</v>
      </c>
      <c r="H345" s="24">
        <v>18.62</v>
      </c>
      <c r="I345" s="24">
        <v>18.559999999999999</v>
      </c>
      <c r="J345" s="24">
        <f t="shared" si="102"/>
        <v>3.2275416890802729E-3</v>
      </c>
      <c r="K345" s="24">
        <v>167407</v>
      </c>
      <c r="L345" s="24">
        <v>251250000</v>
      </c>
      <c r="M345" s="24">
        <f t="shared" si="103"/>
        <v>3100377.64</v>
      </c>
      <c r="N345" s="24">
        <v>125625000</v>
      </c>
      <c r="O345" s="24">
        <f t="shared" si="105"/>
        <v>1.3325930348258707E-3</v>
      </c>
      <c r="P345" s="24">
        <v>77980.289999999994</v>
      </c>
      <c r="Q345" s="27">
        <v>0.189</v>
      </c>
      <c r="R345" s="24">
        <v>6637990</v>
      </c>
      <c r="S345" s="24">
        <v>4185060.0000000005</v>
      </c>
      <c r="T345" s="24">
        <v>1075910</v>
      </c>
      <c r="U345" s="24">
        <v>81270</v>
      </c>
      <c r="V345" s="24">
        <v>2685940</v>
      </c>
      <c r="W345">
        <f t="shared" si="106"/>
        <v>3.7865046821759018E-9</v>
      </c>
      <c r="X345">
        <f t="shared" si="107"/>
        <v>0.40463152249400797</v>
      </c>
      <c r="Y345" s="9"/>
    </row>
    <row r="346" spans="1:25">
      <c r="A346" s="21">
        <v>45513</v>
      </c>
      <c r="B346" s="24">
        <v>18.739999999999998</v>
      </c>
      <c r="C346" s="29">
        <f t="shared" si="100"/>
        <v>-1.8848167539267172E-2</v>
      </c>
      <c r="D346" s="24">
        <f t="shared" si="104"/>
        <v>1.3053671452031974E-2</v>
      </c>
      <c r="E346" s="24">
        <v>19.010000000000002</v>
      </c>
      <c r="F346" s="24">
        <v>18.5</v>
      </c>
      <c r="G346" s="24">
        <f t="shared" si="101"/>
        <v>2.7192748600373313E-2</v>
      </c>
      <c r="H346" s="24">
        <v>18.77</v>
      </c>
      <c r="I346" s="24">
        <v>18.7</v>
      </c>
      <c r="J346" s="24">
        <f t="shared" si="102"/>
        <v>3.7363223912463455E-3</v>
      </c>
      <c r="K346" s="24">
        <v>485251</v>
      </c>
      <c r="L346" s="24">
        <v>251250000</v>
      </c>
      <c r="M346" s="24">
        <f t="shared" si="103"/>
        <v>9093603.7399999984</v>
      </c>
      <c r="N346" s="24">
        <v>125625000</v>
      </c>
      <c r="O346" s="24">
        <f t="shared" si="105"/>
        <v>3.8626945273631842E-3</v>
      </c>
      <c r="P346" s="24">
        <v>78569.59</v>
      </c>
      <c r="Q346" s="27">
        <v>0.189</v>
      </c>
      <c r="R346" s="24">
        <v>6637990</v>
      </c>
      <c r="S346" s="24">
        <v>4185060.0000000005</v>
      </c>
      <c r="T346" s="24">
        <v>1075910</v>
      </c>
      <c r="U346" s="24">
        <v>81270</v>
      </c>
      <c r="V346" s="24">
        <v>2685940</v>
      </c>
      <c r="W346">
        <f t="shared" si="106"/>
        <v>2.0726840621347743E-9</v>
      </c>
      <c r="X346">
        <f t="shared" si="107"/>
        <v>0.40463152249400797</v>
      </c>
      <c r="Y346" s="9"/>
    </row>
    <row r="347" spans="1:25">
      <c r="A347" s="21">
        <v>45512</v>
      </c>
      <c r="B347" s="24">
        <v>19.100000000000001</v>
      </c>
      <c r="C347" s="29">
        <f t="shared" si="100"/>
        <v>-6.2434963579603249E-3</v>
      </c>
      <c r="D347" s="24">
        <f t="shared" si="104"/>
        <v>1.3053671452031974E-2</v>
      </c>
      <c r="E347" s="24">
        <v>19.29</v>
      </c>
      <c r="F347" s="24">
        <v>19.03</v>
      </c>
      <c r="G347" s="24">
        <f t="shared" si="101"/>
        <v>1.356993736951973E-2</v>
      </c>
      <c r="H347" s="24">
        <v>19.14</v>
      </c>
      <c r="I347" s="24">
        <v>19.079999999999998</v>
      </c>
      <c r="J347" s="24">
        <f t="shared" si="102"/>
        <v>3.1397174254318302E-3</v>
      </c>
      <c r="K347" s="24">
        <v>207576</v>
      </c>
      <c r="L347" s="24">
        <v>251250000</v>
      </c>
      <c r="M347" s="24">
        <f t="shared" si="103"/>
        <v>3964701.6</v>
      </c>
      <c r="N347" s="24">
        <v>125625000</v>
      </c>
      <c r="O347" s="24">
        <f t="shared" si="105"/>
        <v>1.6523462686567165E-3</v>
      </c>
      <c r="P347" s="24">
        <v>77874.22</v>
      </c>
      <c r="Q347" s="27">
        <v>0.189</v>
      </c>
      <c r="R347" s="24">
        <v>6637990</v>
      </c>
      <c r="S347" s="24">
        <v>4185060.0000000005</v>
      </c>
      <c r="T347" s="24">
        <v>1075910</v>
      </c>
      <c r="U347" s="24">
        <v>81270</v>
      </c>
      <c r="V347" s="24">
        <v>2685940</v>
      </c>
      <c r="W347">
        <f t="shared" si="106"/>
        <v>1.5747708119976354E-9</v>
      </c>
      <c r="X347">
        <f t="shared" si="107"/>
        <v>0.40463152249400797</v>
      </c>
      <c r="Y347" s="9"/>
    </row>
    <row r="348" spans="1:25">
      <c r="A348" s="21">
        <v>45511</v>
      </c>
      <c r="B348" s="24">
        <v>19.22</v>
      </c>
      <c r="C348" s="29">
        <f t="shared" si="100"/>
        <v>1.0515247108307008E-2</v>
      </c>
      <c r="D348" s="24">
        <f t="shared" si="104"/>
        <v>1.3053671452031974E-2</v>
      </c>
      <c r="E348" s="24">
        <v>19.28</v>
      </c>
      <c r="F348" s="24">
        <v>18.899999999999999</v>
      </c>
      <c r="G348" s="24">
        <f t="shared" si="101"/>
        <v>1.990570979570469E-2</v>
      </c>
      <c r="H348" s="24">
        <v>19.2</v>
      </c>
      <c r="I348" s="24">
        <v>19.16</v>
      </c>
      <c r="J348" s="24">
        <f t="shared" si="102"/>
        <v>2.085505735140727E-3</v>
      </c>
      <c r="K348" s="24">
        <v>365086</v>
      </c>
      <c r="L348" s="24">
        <v>251250000</v>
      </c>
      <c r="M348" s="24">
        <f t="shared" si="103"/>
        <v>7016952.9199999999</v>
      </c>
      <c r="N348" s="24">
        <v>125625000</v>
      </c>
      <c r="O348" s="24">
        <f t="shared" si="105"/>
        <v>2.9061572139303482E-3</v>
      </c>
      <c r="P348" s="24">
        <v>77114.490000000005</v>
      </c>
      <c r="Q348" s="27">
        <v>0.189</v>
      </c>
      <c r="R348" s="24">
        <v>6637990</v>
      </c>
      <c r="S348" s="24">
        <v>4185060.0000000005</v>
      </c>
      <c r="T348" s="24">
        <v>1075910</v>
      </c>
      <c r="U348" s="24">
        <v>81270</v>
      </c>
      <c r="V348" s="24">
        <v>2685940</v>
      </c>
      <c r="W348">
        <f t="shared" si="106"/>
        <v>1.4985489040885582E-9</v>
      </c>
      <c r="X348">
        <f t="shared" si="107"/>
        <v>0.40463152249400797</v>
      </c>
      <c r="Y348" s="9"/>
    </row>
    <row r="349" spans="1:25">
      <c r="A349" s="21">
        <v>45510</v>
      </c>
      <c r="B349" s="24">
        <v>19.02</v>
      </c>
      <c r="C349" s="29">
        <f t="shared" si="100"/>
        <v>2.8108108108108085E-2</v>
      </c>
      <c r="D349" s="24">
        <f t="shared" si="104"/>
        <v>1.3053671452031974E-2</v>
      </c>
      <c r="E349" s="24">
        <v>19.2</v>
      </c>
      <c r="F349" s="24">
        <v>18.5</v>
      </c>
      <c r="G349" s="24">
        <f t="shared" si="101"/>
        <v>3.7135278514588817E-2</v>
      </c>
      <c r="H349" s="24">
        <v>19.03</v>
      </c>
      <c r="I349" s="24">
        <v>19</v>
      </c>
      <c r="J349" s="24">
        <f t="shared" si="102"/>
        <v>1.5777018143571463E-3</v>
      </c>
      <c r="K349" s="24">
        <v>874411</v>
      </c>
      <c r="L349" s="24">
        <v>251250000</v>
      </c>
      <c r="M349" s="24">
        <f t="shared" si="103"/>
        <v>16631297.219999999</v>
      </c>
      <c r="N349" s="24">
        <v>125625000</v>
      </c>
      <c r="O349" s="24">
        <f t="shared" si="105"/>
        <v>6.9604855721393036E-3</v>
      </c>
      <c r="P349" s="24">
        <v>77191.34</v>
      </c>
      <c r="Q349" s="27">
        <v>0.19489999999999999</v>
      </c>
      <c r="R349" s="24">
        <v>6637990</v>
      </c>
      <c r="S349" s="24">
        <v>4185060.0000000005</v>
      </c>
      <c r="T349" s="24">
        <v>1075910</v>
      </c>
      <c r="U349" s="24">
        <v>81270</v>
      </c>
      <c r="V349" s="24">
        <v>2685940</v>
      </c>
      <c r="W349">
        <f t="shared" si="106"/>
        <v>1.6900731035163405E-9</v>
      </c>
      <c r="X349">
        <f t="shared" si="107"/>
        <v>0.40463152249400797</v>
      </c>
      <c r="Y349" s="9"/>
    </row>
    <row r="350" spans="1:25">
      <c r="A350" s="21">
        <v>45509</v>
      </c>
      <c r="B350" s="24">
        <v>18.5</v>
      </c>
      <c r="C350" s="29">
        <f t="shared" si="100"/>
        <v>-5.3763440860215813E-3</v>
      </c>
      <c r="D350" s="24">
        <f t="shared" si="104"/>
        <v>1.3053671452031974E-2</v>
      </c>
      <c r="E350" s="24">
        <v>18.649999999999999</v>
      </c>
      <c r="F350" s="24">
        <v>18.399999999999999</v>
      </c>
      <c r="G350" s="24">
        <f t="shared" si="101"/>
        <v>1.3495276653171391E-2</v>
      </c>
      <c r="H350" s="24">
        <v>18.47</v>
      </c>
      <c r="I350" s="24">
        <v>18.46</v>
      </c>
      <c r="J350" s="24">
        <f t="shared" si="102"/>
        <v>5.4156512320595773E-4</v>
      </c>
      <c r="K350" s="24">
        <v>176714</v>
      </c>
      <c r="L350" s="24">
        <v>251250000</v>
      </c>
      <c r="M350" s="24">
        <f t="shared" si="103"/>
        <v>3269209</v>
      </c>
      <c r="N350" s="24">
        <v>125625000</v>
      </c>
      <c r="O350" s="24">
        <f t="shared" si="105"/>
        <v>1.406678606965174E-3</v>
      </c>
      <c r="P350" s="24">
        <v>77084.490000000005</v>
      </c>
      <c r="Q350" s="27">
        <v>0.19489999999999999</v>
      </c>
      <c r="R350" s="24">
        <v>6637990</v>
      </c>
      <c r="S350" s="24">
        <v>4185060.0000000005</v>
      </c>
      <c r="T350" s="24">
        <v>1075910</v>
      </c>
      <c r="U350" s="24">
        <v>81270</v>
      </c>
      <c r="V350" s="24">
        <v>2685940</v>
      </c>
      <c r="W350">
        <f t="shared" si="106"/>
        <v>1.644539729953509E-9</v>
      </c>
      <c r="X350">
        <f t="shared" si="107"/>
        <v>0.40463152249400797</v>
      </c>
      <c r="Y350" s="9"/>
    </row>
    <row r="351" spans="1:25">
      <c r="A351" s="21">
        <v>45506</v>
      </c>
      <c r="B351" s="24">
        <v>18.600000000000001</v>
      </c>
      <c r="C351" s="29">
        <f t="shared" si="100"/>
        <v>9.2240911557244544E-3</v>
      </c>
      <c r="D351" s="24">
        <f t="shared" si="104"/>
        <v>1.3053671452031974E-2</v>
      </c>
      <c r="E351" s="24">
        <v>18.72</v>
      </c>
      <c r="F351" s="24">
        <v>18.25</v>
      </c>
      <c r="G351" s="24">
        <f t="shared" si="101"/>
        <v>2.5426021098187659E-2</v>
      </c>
      <c r="H351" s="24">
        <v>18.64</v>
      </c>
      <c r="I351" s="24">
        <v>18.600000000000001</v>
      </c>
      <c r="J351" s="24">
        <f t="shared" si="102"/>
        <v>2.1482277121374405E-3</v>
      </c>
      <c r="K351" s="24">
        <v>105095</v>
      </c>
      <c r="L351" s="24">
        <v>251250000</v>
      </c>
      <c r="M351" s="24">
        <f t="shared" si="103"/>
        <v>1954767.0000000002</v>
      </c>
      <c r="N351" s="24">
        <v>125625000</v>
      </c>
      <c r="O351" s="24">
        <f t="shared" si="105"/>
        <v>8.3657711442786066E-4</v>
      </c>
      <c r="P351" s="24">
        <v>78225.98</v>
      </c>
      <c r="Q351" s="27">
        <v>0.19489999999999999</v>
      </c>
      <c r="R351" s="24">
        <v>6637990</v>
      </c>
      <c r="S351" s="24">
        <v>4185060.0000000005</v>
      </c>
      <c r="T351" s="24">
        <v>1075910</v>
      </c>
      <c r="U351" s="24">
        <v>81270</v>
      </c>
      <c r="V351" s="24">
        <v>2685940</v>
      </c>
      <c r="W351">
        <f t="shared" si="106"/>
        <v>4.7187675849471851E-9</v>
      </c>
      <c r="X351">
        <f t="shared" si="107"/>
        <v>0.40463152249400797</v>
      </c>
      <c r="Y351" s="9"/>
    </row>
    <row r="352" spans="1:25">
      <c r="A352" s="21">
        <v>45505</v>
      </c>
      <c r="B352" s="24">
        <v>18.43</v>
      </c>
      <c r="C352" s="29">
        <f t="shared" si="100"/>
        <v>6.0043668122270431E-3</v>
      </c>
      <c r="D352" s="24">
        <f t="shared" si="104"/>
        <v>1.3053671452031974E-2</v>
      </c>
      <c r="E352" s="24">
        <v>18.8</v>
      </c>
      <c r="F352" s="24">
        <v>18.25</v>
      </c>
      <c r="G352" s="24">
        <f t="shared" si="101"/>
        <v>2.9689608636977099E-2</v>
      </c>
      <c r="H352" s="24">
        <v>18.48</v>
      </c>
      <c r="I352" s="24">
        <v>18.420000000000002</v>
      </c>
      <c r="J352" s="24">
        <f t="shared" si="102"/>
        <v>3.2520325203251334E-3</v>
      </c>
      <c r="K352" s="24">
        <v>201388</v>
      </c>
      <c r="L352" s="24">
        <v>251250000</v>
      </c>
      <c r="M352" s="24">
        <f t="shared" si="103"/>
        <v>3711580.84</v>
      </c>
      <c r="N352" s="24">
        <v>125625000</v>
      </c>
      <c r="O352" s="24">
        <f t="shared" si="105"/>
        <v>1.6030885572139303E-3</v>
      </c>
      <c r="P352" s="24">
        <v>77740.31</v>
      </c>
      <c r="Q352" s="27">
        <v>0.19489999999999999</v>
      </c>
      <c r="R352" s="24">
        <v>6637990</v>
      </c>
      <c r="S352" s="24">
        <v>4185060.0000000005</v>
      </c>
      <c r="T352" s="24">
        <v>1075910</v>
      </c>
      <c r="U352" s="24">
        <v>81270</v>
      </c>
      <c r="V352" s="24">
        <v>2685940</v>
      </c>
      <c r="W352">
        <f t="shared" si="106"/>
        <v>1.6177383899381923E-9</v>
      </c>
      <c r="X352">
        <f t="shared" si="107"/>
        <v>0.40463152249400797</v>
      </c>
      <c r="Y352" s="9"/>
    </row>
    <row r="353" spans="1:25">
      <c r="A353" s="21">
        <v>45504</v>
      </c>
      <c r="B353" s="24">
        <v>18.32</v>
      </c>
      <c r="C353" s="29">
        <f t="shared" si="100"/>
        <v>2.7367268746579482E-3</v>
      </c>
      <c r="D353" s="24">
        <f t="shared" si="104"/>
        <v>1.3053671452031974E-2</v>
      </c>
      <c r="E353" s="24">
        <v>18.899999999999999</v>
      </c>
      <c r="F353" s="24">
        <v>18.25</v>
      </c>
      <c r="G353" s="24">
        <f t="shared" si="101"/>
        <v>3.4993270524898985E-2</v>
      </c>
      <c r="H353" s="24">
        <v>18.36</v>
      </c>
      <c r="I353" s="24">
        <v>18.309999999999999</v>
      </c>
      <c r="J353" s="24">
        <f t="shared" si="102"/>
        <v>2.7270248159258635E-3</v>
      </c>
      <c r="K353" s="24">
        <v>59886</v>
      </c>
      <c r="L353" s="24">
        <v>251250000</v>
      </c>
      <c r="M353" s="24">
        <f t="shared" si="103"/>
        <v>1097111.52</v>
      </c>
      <c r="N353" s="24">
        <v>125625000</v>
      </c>
      <c r="O353" s="24">
        <f t="shared" si="105"/>
        <v>4.7670447761194028E-4</v>
      </c>
      <c r="P353" s="24">
        <v>77886.990000000005</v>
      </c>
      <c r="Q353" s="27">
        <v>0.19489999999999999</v>
      </c>
      <c r="R353" s="24">
        <v>6637990</v>
      </c>
      <c r="S353" s="24">
        <v>4185060.0000000005</v>
      </c>
      <c r="T353" s="24">
        <v>1075910</v>
      </c>
      <c r="U353" s="24">
        <v>81270</v>
      </c>
      <c r="V353" s="24">
        <v>2685940</v>
      </c>
      <c r="W353">
        <f t="shared" si="106"/>
        <v>2.4944837646568036E-9</v>
      </c>
      <c r="X353">
        <f t="shared" si="107"/>
        <v>0.40463152249400797</v>
      </c>
      <c r="Y353" s="9"/>
    </row>
    <row r="354" spans="1:25">
      <c r="A354" s="21">
        <v>45503</v>
      </c>
      <c r="B354" s="24">
        <v>18.27</v>
      </c>
      <c r="C354" s="29">
        <f t="shared" si="100"/>
        <v>-1.639344262295144E-3</v>
      </c>
      <c r="D354" s="24">
        <f t="shared" si="104"/>
        <v>1.3053671452031974E-2</v>
      </c>
      <c r="E354" s="24">
        <v>18.38</v>
      </c>
      <c r="F354" s="24">
        <v>18.059999999999999</v>
      </c>
      <c r="G354" s="24">
        <f t="shared" si="101"/>
        <v>1.7563117453347987E-2</v>
      </c>
      <c r="H354" s="24">
        <v>18.309999999999999</v>
      </c>
      <c r="I354" s="24">
        <v>18.3</v>
      </c>
      <c r="J354" s="24">
        <f t="shared" si="102"/>
        <v>5.4629882545741658E-4</v>
      </c>
      <c r="K354" s="24">
        <v>98706</v>
      </c>
      <c r="L354" s="24">
        <v>251250000</v>
      </c>
      <c r="M354" s="24">
        <f t="shared" si="103"/>
        <v>1803358.6199999999</v>
      </c>
      <c r="N354" s="24">
        <v>125625000</v>
      </c>
      <c r="O354" s="24">
        <f t="shared" si="105"/>
        <v>7.8571940298507461E-4</v>
      </c>
      <c r="P354" s="24">
        <v>78628.81</v>
      </c>
      <c r="Q354" s="27">
        <v>0.19489999999999999</v>
      </c>
      <c r="R354" s="24">
        <v>6637990</v>
      </c>
      <c r="S354" s="24">
        <v>4185060.0000000005</v>
      </c>
      <c r="T354" s="24">
        <v>1075910</v>
      </c>
      <c r="U354" s="24">
        <v>81270</v>
      </c>
      <c r="V354" s="24">
        <v>2685940</v>
      </c>
      <c r="W354">
        <f t="shared" si="106"/>
        <v>9.0905061484395385E-10</v>
      </c>
      <c r="X354">
        <f t="shared" si="107"/>
        <v>0.40463152249400797</v>
      </c>
      <c r="Y354" s="9"/>
    </row>
    <row r="355" spans="1:25">
      <c r="A355" s="21">
        <v>45502</v>
      </c>
      <c r="B355" s="24">
        <v>18.3</v>
      </c>
      <c r="C355" s="29">
        <f t="shared" si="100"/>
        <v>-1.0917030567685357E-3</v>
      </c>
      <c r="D355" s="24">
        <f t="shared" si="104"/>
        <v>1.3053671452031974E-2</v>
      </c>
      <c r="E355" s="24">
        <v>18.5</v>
      </c>
      <c r="F355" s="24">
        <v>18</v>
      </c>
      <c r="G355" s="24">
        <f t="shared" si="101"/>
        <v>2.7397260273972601E-2</v>
      </c>
      <c r="H355" s="24">
        <v>18.3</v>
      </c>
      <c r="I355" s="24">
        <v>18.29</v>
      </c>
      <c r="J355" s="24">
        <f t="shared" si="102"/>
        <v>5.4659743099215972E-4</v>
      </c>
      <c r="K355" s="24">
        <v>206683</v>
      </c>
      <c r="L355" s="24">
        <v>251250000</v>
      </c>
      <c r="M355" s="24">
        <f t="shared" si="103"/>
        <v>3782298.9000000004</v>
      </c>
      <c r="N355" s="24">
        <v>125625000</v>
      </c>
      <c r="O355" s="24">
        <f t="shared" si="105"/>
        <v>1.6452378109452737E-3</v>
      </c>
      <c r="P355" s="24">
        <v>78827.740000000005</v>
      </c>
      <c r="Q355" s="27">
        <v>0.19489999999999999</v>
      </c>
      <c r="R355" s="24">
        <v>6637990</v>
      </c>
      <c r="S355" s="24">
        <v>4185060.0000000005</v>
      </c>
      <c r="T355" s="24">
        <v>1075910</v>
      </c>
      <c r="U355" s="24">
        <v>81270</v>
      </c>
      <c r="V355" s="24">
        <v>2685940</v>
      </c>
      <c r="W355">
        <f t="shared" si="106"/>
        <v>2.8863479212828355E-10</v>
      </c>
      <c r="X355">
        <f t="shared" si="107"/>
        <v>0.40463152249400797</v>
      </c>
      <c r="Y355" s="9"/>
    </row>
    <row r="356" spans="1:25">
      <c r="A356" s="21">
        <v>45499</v>
      </c>
      <c r="B356" s="24">
        <v>18.32</v>
      </c>
      <c r="C356" s="29">
        <f t="shared" si="100"/>
        <v>-1.1866235167205981E-2</v>
      </c>
      <c r="D356" s="24">
        <f t="shared" si="104"/>
        <v>1.3053671452031974E-2</v>
      </c>
      <c r="E356" s="24">
        <v>18.68</v>
      </c>
      <c r="F356" s="24">
        <v>18.25</v>
      </c>
      <c r="G356" s="24">
        <f t="shared" si="101"/>
        <v>2.3287300297860802E-2</v>
      </c>
      <c r="H356" s="24">
        <v>18.399999999999999</v>
      </c>
      <c r="I356" s="24">
        <v>18.25</v>
      </c>
      <c r="J356" s="24">
        <f t="shared" si="102"/>
        <v>8.1855388813096095E-3</v>
      </c>
      <c r="K356" s="24">
        <v>328767</v>
      </c>
      <c r="L356" s="24">
        <v>251250000</v>
      </c>
      <c r="M356" s="24">
        <f t="shared" si="103"/>
        <v>6023011.4400000004</v>
      </c>
      <c r="N356" s="24">
        <v>125625000</v>
      </c>
      <c r="O356" s="24">
        <f t="shared" si="105"/>
        <v>2.6170507462686568E-3</v>
      </c>
      <c r="P356" s="24">
        <v>78029.509999999995</v>
      </c>
      <c r="Q356" s="27">
        <v>0.19489999999999999</v>
      </c>
      <c r="R356" s="24">
        <v>6637990</v>
      </c>
      <c r="S356" s="24">
        <v>4185060.0000000005</v>
      </c>
      <c r="T356" s="24">
        <v>1075910</v>
      </c>
      <c r="U356" s="24">
        <v>81270</v>
      </c>
      <c r="V356" s="24">
        <v>2685940</v>
      </c>
      <c r="W356">
        <f t="shared" si="106"/>
        <v>1.9701498636379776E-9</v>
      </c>
      <c r="X356">
        <f t="shared" si="107"/>
        <v>0.40463152249400797</v>
      </c>
      <c r="Y356" s="9"/>
    </row>
    <row r="357" spans="1:25">
      <c r="A357" s="21">
        <v>45498</v>
      </c>
      <c r="B357" s="24">
        <v>18.54</v>
      </c>
      <c r="C357" s="29">
        <f t="shared" si="100"/>
        <v>-1.3829787234042636E-2</v>
      </c>
      <c r="D357" s="24">
        <f t="shared" si="104"/>
        <v>1.3053671452031974E-2</v>
      </c>
      <c r="E357" s="24">
        <v>19</v>
      </c>
      <c r="F357" s="24">
        <v>18.5</v>
      </c>
      <c r="G357" s="24">
        <f t="shared" si="101"/>
        <v>2.6666666666666668E-2</v>
      </c>
      <c r="H357" s="24">
        <v>18.5</v>
      </c>
      <c r="I357" s="24">
        <v>18.489999999999998</v>
      </c>
      <c r="J357" s="24">
        <f t="shared" si="102"/>
        <v>5.4068667207361797E-4</v>
      </c>
      <c r="K357" s="24">
        <v>231933</v>
      </c>
      <c r="L357" s="24">
        <v>251250000</v>
      </c>
      <c r="M357" s="24">
        <f t="shared" si="103"/>
        <v>4300037.8199999994</v>
      </c>
      <c r="N357" s="24">
        <v>125625000</v>
      </c>
      <c r="O357" s="24">
        <f t="shared" si="105"/>
        <v>1.8462328358208955E-3</v>
      </c>
      <c r="P357" s="24">
        <v>78469.33</v>
      </c>
      <c r="Q357" s="27">
        <v>0.19489999999999999</v>
      </c>
      <c r="R357" s="24">
        <v>6637990</v>
      </c>
      <c r="S357" s="24">
        <v>4185060.0000000005</v>
      </c>
      <c r="T357" s="24">
        <v>1075910</v>
      </c>
      <c r="U357" s="24">
        <v>81270</v>
      </c>
      <c r="V357" s="24">
        <v>2685940</v>
      </c>
      <c r="W357">
        <f t="shared" si="106"/>
        <v>3.2162013016998621E-9</v>
      </c>
      <c r="X357">
        <f t="shared" si="107"/>
        <v>0.40463152249400797</v>
      </c>
      <c r="Y357" s="9"/>
    </row>
    <row r="358" spans="1:25">
      <c r="A358" s="21">
        <v>45497</v>
      </c>
      <c r="B358" s="24">
        <v>18.8</v>
      </c>
      <c r="C358" s="29">
        <f t="shared" si="100"/>
        <v>6.9630423138724688E-3</v>
      </c>
      <c r="D358" s="24">
        <f t="shared" si="104"/>
        <v>1.3053671452031974E-2</v>
      </c>
      <c r="E358" s="24">
        <v>18.899999999999999</v>
      </c>
      <c r="F358" s="24">
        <v>18.55</v>
      </c>
      <c r="G358" s="24">
        <f t="shared" si="101"/>
        <v>1.8691588785046613E-2</v>
      </c>
      <c r="H358" s="24">
        <v>18.89</v>
      </c>
      <c r="I358" s="24">
        <v>18.63</v>
      </c>
      <c r="J358" s="24">
        <f t="shared" si="102"/>
        <v>1.385927505330499E-2</v>
      </c>
      <c r="K358" s="24">
        <v>144954</v>
      </c>
      <c r="L358" s="24">
        <v>251250000</v>
      </c>
      <c r="M358" s="24">
        <f t="shared" si="103"/>
        <v>2725135.2</v>
      </c>
      <c r="N358" s="24">
        <v>125625000</v>
      </c>
      <c r="O358" s="24">
        <f t="shared" si="105"/>
        <v>1.1538626865671641E-3</v>
      </c>
      <c r="P358" s="24">
        <v>79397.009999999995</v>
      </c>
      <c r="Q358" s="27">
        <v>0.19489999999999999</v>
      </c>
      <c r="R358" s="24">
        <v>6637990</v>
      </c>
      <c r="S358" s="24">
        <v>4185060.0000000005</v>
      </c>
      <c r="T358" s="24">
        <v>1075910</v>
      </c>
      <c r="U358" s="24">
        <v>81270</v>
      </c>
      <c r="V358" s="24">
        <v>2685940</v>
      </c>
      <c r="W358">
        <f t="shared" si="106"/>
        <v>2.5551181144599608E-9</v>
      </c>
      <c r="X358">
        <f t="shared" si="107"/>
        <v>0.40463152249400797</v>
      </c>
      <c r="Y358" s="9"/>
    </row>
    <row r="359" spans="1:25">
      <c r="A359" s="21">
        <v>45496</v>
      </c>
      <c r="B359" s="24">
        <v>18.670000000000002</v>
      </c>
      <c r="C359" s="29">
        <f t="shared" si="100"/>
        <v>-1.0700909577313843E-3</v>
      </c>
      <c r="D359" s="24">
        <f t="shared" si="104"/>
        <v>1.3053671452031974E-2</v>
      </c>
      <c r="E359" s="24">
        <v>18.78</v>
      </c>
      <c r="F359" s="24">
        <v>18.61</v>
      </c>
      <c r="G359" s="24">
        <f t="shared" si="101"/>
        <v>9.0933404653651614E-3</v>
      </c>
      <c r="H359" s="24">
        <v>18.72</v>
      </c>
      <c r="I359" s="24">
        <v>18.71</v>
      </c>
      <c r="J359" s="24">
        <f t="shared" si="102"/>
        <v>5.3433075073459847E-4</v>
      </c>
      <c r="K359" s="24">
        <v>77312</v>
      </c>
      <c r="L359" s="24">
        <v>251250000</v>
      </c>
      <c r="M359" s="24">
        <f t="shared" si="103"/>
        <v>1443415.04</v>
      </c>
      <c r="N359" s="24">
        <v>125625000</v>
      </c>
      <c r="O359" s="24">
        <f t="shared" si="105"/>
        <v>6.1541890547263682E-4</v>
      </c>
      <c r="P359" s="24">
        <v>78987.09</v>
      </c>
      <c r="Q359" s="27">
        <v>0.19489999999999999</v>
      </c>
      <c r="R359" s="24">
        <v>6637990</v>
      </c>
      <c r="S359" s="24">
        <v>4185060.0000000005</v>
      </c>
      <c r="T359" s="24">
        <v>1075910</v>
      </c>
      <c r="U359" s="24">
        <v>81270</v>
      </c>
      <c r="V359" s="24">
        <v>2685940</v>
      </c>
      <c r="W359">
        <f t="shared" si="106"/>
        <v>7.4136054293253336E-10</v>
      </c>
      <c r="X359">
        <f t="shared" si="107"/>
        <v>0.40463152249400797</v>
      </c>
      <c r="Y359" s="9"/>
    </row>
    <row r="360" spans="1:25" ht="15" thickBot="1">
      <c r="A360" s="21">
        <v>45495</v>
      </c>
      <c r="B360" s="24">
        <v>18.690000000000001</v>
      </c>
      <c r="C360" s="29">
        <f>IFERROR((B360-#REF!)/#REF!,0)</f>
        <v>0</v>
      </c>
      <c r="D360" s="24">
        <f t="shared" si="104"/>
        <v>1.3053671452031974E-2</v>
      </c>
      <c r="E360" s="24">
        <v>19.010000000000002</v>
      </c>
      <c r="F360" s="24">
        <v>18.600000000000001</v>
      </c>
      <c r="G360" s="24">
        <f t="shared" si="101"/>
        <v>2.1802712044668979E-2</v>
      </c>
      <c r="H360" s="24">
        <v>18.73</v>
      </c>
      <c r="I360" s="24">
        <v>18.7</v>
      </c>
      <c r="J360" s="24">
        <f t="shared" si="102"/>
        <v>1.6029922522041752E-3</v>
      </c>
      <c r="K360" s="24">
        <v>202448</v>
      </c>
      <c r="L360" s="24">
        <v>251250000</v>
      </c>
      <c r="M360" s="24">
        <f t="shared" si="103"/>
        <v>3783753.12</v>
      </c>
      <c r="N360" s="24">
        <v>125625000</v>
      </c>
      <c r="O360" s="24">
        <f t="shared" si="105"/>
        <v>1.6115263681592039E-3</v>
      </c>
      <c r="P360" s="24">
        <v>78539.19</v>
      </c>
      <c r="Q360" s="27">
        <v>0.19489999999999999</v>
      </c>
      <c r="R360" s="24">
        <v>6637990</v>
      </c>
      <c r="S360" s="24">
        <v>4185060.0000000005</v>
      </c>
      <c r="T360" s="24">
        <v>1075910</v>
      </c>
      <c r="U360" s="24">
        <v>81270</v>
      </c>
      <c r="V360" s="24">
        <v>2685940</v>
      </c>
      <c r="W360">
        <f t="shared" si="106"/>
        <v>0</v>
      </c>
      <c r="X360">
        <f t="shared" si="107"/>
        <v>0.40463152249400797</v>
      </c>
      <c r="Y360" s="9"/>
    </row>
    <row r="361" spans="1:25" ht="16" thickBot="1">
      <c r="A361" s="184" t="s">
        <v>45</v>
      </c>
      <c r="B361" s="185"/>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6"/>
      <c r="Y361" s="9"/>
    </row>
    <row r="362" spans="1:25" ht="43.5">
      <c r="A362" s="1" t="s">
        <v>14</v>
      </c>
      <c r="B362" s="2" t="s">
        <v>15</v>
      </c>
      <c r="C362" s="15" t="s">
        <v>16</v>
      </c>
      <c r="D362" s="15" t="s">
        <v>17</v>
      </c>
      <c r="E362" s="1" t="s">
        <v>0</v>
      </c>
      <c r="F362" s="2" t="s">
        <v>13</v>
      </c>
      <c r="G362" s="14" t="s">
        <v>18</v>
      </c>
      <c r="H362" s="1" t="s">
        <v>12</v>
      </c>
      <c r="I362" s="2" t="s">
        <v>1</v>
      </c>
      <c r="J362" s="14" t="s">
        <v>19</v>
      </c>
      <c r="K362" s="1" t="s">
        <v>2</v>
      </c>
      <c r="L362" s="2" t="s">
        <v>3</v>
      </c>
      <c r="M362" s="14" t="s">
        <v>20</v>
      </c>
      <c r="N362" s="2" t="s">
        <v>4</v>
      </c>
      <c r="O362" s="14" t="s">
        <v>21</v>
      </c>
      <c r="P362" s="1" t="s">
        <v>5</v>
      </c>
      <c r="Q362" s="2" t="s">
        <v>6</v>
      </c>
      <c r="R362" s="1" t="s">
        <v>7</v>
      </c>
      <c r="S362" s="2" t="s">
        <v>8</v>
      </c>
      <c r="T362" s="1" t="s">
        <v>9</v>
      </c>
      <c r="U362" s="2" t="s">
        <v>10</v>
      </c>
      <c r="V362" s="2" t="s">
        <v>11</v>
      </c>
      <c r="W362" s="7" t="s">
        <v>73</v>
      </c>
      <c r="X362" s="7" t="s">
        <v>72</v>
      </c>
      <c r="Y362" s="9"/>
    </row>
    <row r="363" spans="1:25">
      <c r="A363" s="21">
        <v>45555</v>
      </c>
      <c r="B363" s="24">
        <v>82.83</v>
      </c>
      <c r="C363" s="29">
        <f t="shared" ref="C363:C404" si="108">IFERROR((B363-B364)/B364,0)</f>
        <v>-5.7571964956195272E-2</v>
      </c>
      <c r="D363" s="24">
        <f>_xlfn.STDEV.S($C$363:$C$405)</f>
        <v>2.6048574082072319E-2</v>
      </c>
      <c r="E363" s="24">
        <v>87.8</v>
      </c>
      <c r="F363" s="24">
        <v>82.5</v>
      </c>
      <c r="G363" s="24">
        <f t="shared" ref="G363:G405" si="109">(E363-F363)/((E363+F363)/2)</f>
        <v>6.2243100411039302E-2</v>
      </c>
      <c r="H363" s="24">
        <v>83</v>
      </c>
      <c r="I363" s="24">
        <v>82.99</v>
      </c>
      <c r="J363" s="24">
        <f t="shared" ref="J363:J405" si="110">(H363-I363)/((H363+I363)/2)</f>
        <v>1.2048918609560956E-4</v>
      </c>
      <c r="K363" s="24">
        <v>1886283</v>
      </c>
      <c r="L363" s="24">
        <v>335633933</v>
      </c>
      <c r="M363" s="24">
        <f t="shared" ref="M363:M405" si="111">B363*K363</f>
        <v>156240820.88999999</v>
      </c>
      <c r="N363" s="24">
        <v>83908483</v>
      </c>
      <c r="O363" s="24">
        <f t="shared" ref="O363:O405" si="112">K363/N363</f>
        <v>2.2480241955989123E-2</v>
      </c>
      <c r="P363" s="24">
        <v>82074.45</v>
      </c>
      <c r="Q363" s="27">
        <v>0.1741</v>
      </c>
      <c r="R363" s="24">
        <f>70184196.88*1000</f>
        <v>70184196880</v>
      </c>
      <c r="S363" s="24">
        <f>43830600.46*1000</f>
        <v>43830600460</v>
      </c>
      <c r="T363" s="24">
        <v>1299238.8799999999</v>
      </c>
      <c r="U363" s="24">
        <v>3773765.74</v>
      </c>
      <c r="V363" s="24">
        <v>35369085.25</v>
      </c>
      <c r="W363">
        <f>IFERROR(ABS(C363)/M363,"0")</f>
        <v>3.6848222268832243E-10</v>
      </c>
      <c r="X363">
        <f>V363/R363</f>
        <v>5.0394656948876378E-4</v>
      </c>
      <c r="Y363" s="9"/>
    </row>
    <row r="364" spans="1:25">
      <c r="A364" s="21">
        <v>45554</v>
      </c>
      <c r="B364" s="24">
        <v>87.89</v>
      </c>
      <c r="C364" s="29">
        <f t="shared" si="108"/>
        <v>2.3166472642607624E-2</v>
      </c>
      <c r="D364" s="24">
        <f t="shared" ref="D364:D405" si="113">_xlfn.STDEV.S($C$363:$C$405)</f>
        <v>2.6048574082072319E-2</v>
      </c>
      <c r="E364" s="24">
        <v>90.2</v>
      </c>
      <c r="F364" s="24">
        <v>86</v>
      </c>
      <c r="G364" s="24">
        <f t="shared" si="109"/>
        <v>4.7673098751418876E-2</v>
      </c>
      <c r="H364" s="24">
        <v>88</v>
      </c>
      <c r="I364" s="24">
        <v>87.95</v>
      </c>
      <c r="J364" s="24">
        <f t="shared" si="110"/>
        <v>5.6834327934068949E-4</v>
      </c>
      <c r="K364" s="24">
        <v>616412</v>
      </c>
      <c r="L364" s="24">
        <v>335633933</v>
      </c>
      <c r="M364" s="24">
        <f t="shared" si="111"/>
        <v>54176450.68</v>
      </c>
      <c r="N364" s="24">
        <v>83908483</v>
      </c>
      <c r="O364" s="24">
        <f t="shared" si="112"/>
        <v>7.3462417381565583E-3</v>
      </c>
      <c r="P364" s="24">
        <v>81459.289999999994</v>
      </c>
      <c r="Q364" s="27">
        <v>0.1741</v>
      </c>
      <c r="R364" s="24">
        <f>70184196.88*1000</f>
        <v>70184196880</v>
      </c>
      <c r="S364" s="24">
        <v>43830600.460000001</v>
      </c>
      <c r="T364" s="24">
        <v>1299238.8799999999</v>
      </c>
      <c r="U364" s="24">
        <v>3773765.74</v>
      </c>
      <c r="V364" s="24">
        <v>35369085.25</v>
      </c>
      <c r="W364">
        <f t="shared" ref="W364:W405" si="114">IFERROR(ABS(C364)/M364,"0")</f>
        <v>4.2761148712829677E-10</v>
      </c>
      <c r="X364">
        <f t="shared" ref="X364:X405" si="115">V364/R364</f>
        <v>5.0394656948876378E-4</v>
      </c>
      <c r="Y364" s="9"/>
    </row>
    <row r="365" spans="1:25">
      <c r="A365" s="21">
        <v>45553</v>
      </c>
      <c r="B365" s="24">
        <v>85.9</v>
      </c>
      <c r="C365" s="29">
        <f t="shared" si="108"/>
        <v>-1.5923931721846724E-2</v>
      </c>
      <c r="D365" s="24">
        <f t="shared" si="113"/>
        <v>2.6048574082072319E-2</v>
      </c>
      <c r="E365" s="24">
        <v>87.24</v>
      </c>
      <c r="F365" s="24">
        <v>85.4</v>
      </c>
      <c r="G365" s="24">
        <f t="shared" si="109"/>
        <v>2.1316033364226012E-2</v>
      </c>
      <c r="H365" s="24">
        <v>85.5</v>
      </c>
      <c r="I365" s="24">
        <v>85.4</v>
      </c>
      <c r="J365" s="24">
        <f t="shared" si="110"/>
        <v>1.1702750146283711E-3</v>
      </c>
      <c r="K365" s="24">
        <v>94466</v>
      </c>
      <c r="L365" s="24">
        <v>335633933</v>
      </c>
      <c r="M365" s="24">
        <f t="shared" si="111"/>
        <v>8114629.4000000004</v>
      </c>
      <c r="N365" s="24">
        <v>83908483</v>
      </c>
      <c r="O365" s="24">
        <f t="shared" si="112"/>
        <v>1.1258218075519254E-3</v>
      </c>
      <c r="P365" s="24">
        <v>80461.34</v>
      </c>
      <c r="Q365" s="27">
        <v>0.1741</v>
      </c>
      <c r="R365" s="24">
        <v>70184196.879999995</v>
      </c>
      <c r="S365" s="24">
        <v>43830600.460000001</v>
      </c>
      <c r="T365" s="24">
        <v>1299238.8799999999</v>
      </c>
      <c r="U365" s="24">
        <v>3773765.74</v>
      </c>
      <c r="V365" s="24">
        <v>35369085.25</v>
      </c>
      <c r="W365">
        <f t="shared" si="114"/>
        <v>1.9623732566082098E-9</v>
      </c>
      <c r="X365">
        <f t="shared" si="115"/>
        <v>0.50394656948876382</v>
      </c>
      <c r="Y365" s="9"/>
    </row>
    <row r="366" spans="1:25">
      <c r="A366" s="21">
        <v>45551</v>
      </c>
      <c r="B366" s="24">
        <v>87.29</v>
      </c>
      <c r="C366" s="29">
        <f t="shared" si="108"/>
        <v>5.6451612903226853E-3</v>
      </c>
      <c r="D366" s="24">
        <f t="shared" si="113"/>
        <v>2.6048574082072319E-2</v>
      </c>
      <c r="E366" s="24">
        <v>88.48</v>
      </c>
      <c r="F366" s="24">
        <v>85.8</v>
      </c>
      <c r="G366" s="24">
        <f t="shared" si="109"/>
        <v>3.0755106724810726E-2</v>
      </c>
      <c r="H366" s="24">
        <v>87.5</v>
      </c>
      <c r="I366" s="24">
        <v>87.3</v>
      </c>
      <c r="J366" s="24">
        <f t="shared" si="110"/>
        <v>2.2883295194508334E-3</v>
      </c>
      <c r="K366" s="24">
        <v>159167</v>
      </c>
      <c r="L366" s="24">
        <v>335633933</v>
      </c>
      <c r="M366" s="24">
        <f t="shared" si="111"/>
        <v>13893687.430000002</v>
      </c>
      <c r="N366" s="24">
        <v>83908483</v>
      </c>
      <c r="O366" s="24">
        <f t="shared" si="112"/>
        <v>1.8969119010291248E-3</v>
      </c>
      <c r="P366" s="24">
        <v>79491.14</v>
      </c>
      <c r="Q366" s="27">
        <v>0.1741</v>
      </c>
      <c r="R366" s="24">
        <v>70184196.879999995</v>
      </c>
      <c r="S366" s="24">
        <v>43830600.460000001</v>
      </c>
      <c r="T366" s="24">
        <v>1299238.8799999999</v>
      </c>
      <c r="U366" s="24">
        <v>3773765.74</v>
      </c>
      <c r="V366" s="24">
        <v>35369085.25</v>
      </c>
      <c r="W366">
        <f t="shared" si="114"/>
        <v>4.0631123441954998E-10</v>
      </c>
      <c r="X366">
        <f t="shared" si="115"/>
        <v>0.50394656948876382</v>
      </c>
      <c r="Y366" s="9"/>
    </row>
    <row r="367" spans="1:25">
      <c r="A367" s="21">
        <v>45548</v>
      </c>
      <c r="B367" s="24">
        <v>86.8</v>
      </c>
      <c r="C367" s="29">
        <f t="shared" si="108"/>
        <v>-2.4938216131206458E-2</v>
      </c>
      <c r="D367" s="24">
        <f t="shared" si="113"/>
        <v>2.6048574082072319E-2</v>
      </c>
      <c r="E367" s="24">
        <v>96.75</v>
      </c>
      <c r="F367" s="24">
        <v>86</v>
      </c>
      <c r="G367" s="24">
        <f t="shared" si="109"/>
        <v>0.11764705882352941</v>
      </c>
      <c r="H367" s="24">
        <v>87.9</v>
      </c>
      <c r="I367" s="24">
        <v>87.52</v>
      </c>
      <c r="J367" s="24">
        <f t="shared" si="110"/>
        <v>4.3324592406796215E-3</v>
      </c>
      <c r="K367" s="24">
        <v>2394582</v>
      </c>
      <c r="L367" s="24">
        <v>335633933</v>
      </c>
      <c r="M367" s="24">
        <f t="shared" si="111"/>
        <v>207849717.59999999</v>
      </c>
      <c r="N367" s="24">
        <v>83908483</v>
      </c>
      <c r="O367" s="24">
        <f t="shared" si="112"/>
        <v>2.8538020404921396E-2</v>
      </c>
      <c r="P367" s="24">
        <v>79333.06</v>
      </c>
      <c r="Q367" s="27">
        <v>0.1741</v>
      </c>
      <c r="R367" s="24">
        <v>70184196.879999995</v>
      </c>
      <c r="S367" s="24">
        <v>43830600.460000001</v>
      </c>
      <c r="T367" s="24">
        <v>1299238.8799999999</v>
      </c>
      <c r="U367" s="24">
        <v>3773765.74</v>
      </c>
      <c r="V367" s="24">
        <v>35369085.25</v>
      </c>
      <c r="W367">
        <f t="shared" si="114"/>
        <v>1.1998195821078401E-10</v>
      </c>
      <c r="X367">
        <f t="shared" si="115"/>
        <v>0.50394656948876382</v>
      </c>
      <c r="Y367" s="9"/>
    </row>
    <row r="368" spans="1:25">
      <c r="A368" s="21">
        <v>45547</v>
      </c>
      <c r="B368" s="24">
        <v>89.02</v>
      </c>
      <c r="C368" s="29">
        <f t="shared" si="108"/>
        <v>3.7166491902598131E-2</v>
      </c>
      <c r="D368" s="24">
        <f t="shared" si="113"/>
        <v>2.6048574082072319E-2</v>
      </c>
      <c r="E368" s="24">
        <v>90.66</v>
      </c>
      <c r="F368" s="24">
        <v>85.5</v>
      </c>
      <c r="G368" s="24">
        <f t="shared" si="109"/>
        <v>5.8583106267029936E-2</v>
      </c>
      <c r="H368" s="24">
        <v>89</v>
      </c>
      <c r="I368" s="24">
        <v>88.81</v>
      </c>
      <c r="J368" s="24">
        <f t="shared" si="110"/>
        <v>2.1371126483324641E-3</v>
      </c>
      <c r="K368" s="24">
        <v>1232091</v>
      </c>
      <c r="L368" s="24">
        <v>335633933</v>
      </c>
      <c r="M368" s="24">
        <f t="shared" si="111"/>
        <v>109680740.81999999</v>
      </c>
      <c r="N368" s="24">
        <v>83908483</v>
      </c>
      <c r="O368" s="24">
        <f t="shared" si="112"/>
        <v>1.4683747768387137E-2</v>
      </c>
      <c r="P368" s="24">
        <v>79017.62</v>
      </c>
      <c r="Q368" s="27">
        <v>0.1741</v>
      </c>
      <c r="R368" s="24">
        <v>70184196.879999995</v>
      </c>
      <c r="S368" s="24">
        <v>43830600.460000001</v>
      </c>
      <c r="T368" s="24">
        <v>1299238.8799999999</v>
      </c>
      <c r="U368" s="24">
        <v>3773765.74</v>
      </c>
      <c r="V368" s="24">
        <v>35369085.25</v>
      </c>
      <c r="W368">
        <f t="shared" si="114"/>
        <v>3.388606935432088E-10</v>
      </c>
      <c r="X368">
        <f t="shared" si="115"/>
        <v>0.50394656948876382</v>
      </c>
      <c r="Y368" s="9"/>
    </row>
    <row r="369" spans="1:25">
      <c r="A369" s="21">
        <v>45546</v>
      </c>
      <c r="B369" s="24">
        <v>85.83</v>
      </c>
      <c r="C369" s="29">
        <f t="shared" si="108"/>
        <v>6.9216330361333116E-3</v>
      </c>
      <c r="D369" s="24">
        <f t="shared" si="113"/>
        <v>2.6048574082072319E-2</v>
      </c>
      <c r="E369" s="24">
        <v>86.75</v>
      </c>
      <c r="F369" s="24">
        <v>84.12</v>
      </c>
      <c r="G369" s="24">
        <f t="shared" si="109"/>
        <v>3.0783636682858259E-2</v>
      </c>
      <c r="H369" s="24">
        <v>86.75</v>
      </c>
      <c r="I369" s="24">
        <v>86.5</v>
      </c>
      <c r="J369" s="24">
        <f t="shared" si="110"/>
        <v>2.886002886002886E-3</v>
      </c>
      <c r="K369" s="24">
        <v>216306</v>
      </c>
      <c r="L369" s="24">
        <v>335633933</v>
      </c>
      <c r="M369" s="24">
        <f t="shared" si="111"/>
        <v>18565543.98</v>
      </c>
      <c r="N369" s="24">
        <v>83908483</v>
      </c>
      <c r="O369" s="24">
        <f t="shared" si="112"/>
        <v>2.577879998140355E-3</v>
      </c>
      <c r="P369" s="24">
        <v>78651.8</v>
      </c>
      <c r="Q369" s="27">
        <v>0.1741</v>
      </c>
      <c r="R369" s="24">
        <v>70184196.879999995</v>
      </c>
      <c r="S369" s="24">
        <v>43830600.460000001</v>
      </c>
      <c r="T369" s="24">
        <v>1299238.8799999999</v>
      </c>
      <c r="U369" s="24">
        <v>3773765.74</v>
      </c>
      <c r="V369" s="24">
        <v>35369085.25</v>
      </c>
      <c r="W369">
        <f t="shared" si="114"/>
        <v>3.7282145051013537E-10</v>
      </c>
      <c r="X369">
        <f t="shared" si="115"/>
        <v>0.50394656948876382</v>
      </c>
      <c r="Y369" s="9"/>
    </row>
    <row r="370" spans="1:25">
      <c r="A370" s="21">
        <v>45545</v>
      </c>
      <c r="B370" s="24">
        <v>85.24</v>
      </c>
      <c r="C370" s="29">
        <f t="shared" si="108"/>
        <v>3.8372517968083705E-2</v>
      </c>
      <c r="D370" s="24">
        <f t="shared" si="113"/>
        <v>2.6048574082072319E-2</v>
      </c>
      <c r="E370" s="24">
        <v>85.8</v>
      </c>
      <c r="F370" s="24">
        <v>82.09</v>
      </c>
      <c r="G370" s="24">
        <f t="shared" si="109"/>
        <v>4.4195604264697055E-2</v>
      </c>
      <c r="H370" s="24">
        <v>85.39</v>
      </c>
      <c r="I370" s="24">
        <v>85.2</v>
      </c>
      <c r="J370" s="24">
        <f t="shared" si="110"/>
        <v>2.2275631631396651E-3</v>
      </c>
      <c r="K370" s="24">
        <v>673556</v>
      </c>
      <c r="L370" s="24">
        <v>335633933</v>
      </c>
      <c r="M370" s="24">
        <f t="shared" si="111"/>
        <v>57413913.439999998</v>
      </c>
      <c r="N370" s="24">
        <v>83908483</v>
      </c>
      <c r="O370" s="24">
        <f t="shared" si="112"/>
        <v>8.0272694239985239E-3</v>
      </c>
      <c r="P370" s="24">
        <v>79286.740000000005</v>
      </c>
      <c r="Q370" s="27">
        <v>0.1741</v>
      </c>
      <c r="R370" s="24">
        <v>70184196.879999995</v>
      </c>
      <c r="S370" s="24">
        <v>43830600.460000001</v>
      </c>
      <c r="T370" s="24">
        <v>1299238.8799999999</v>
      </c>
      <c r="U370" s="24">
        <v>3773765.74</v>
      </c>
      <c r="V370" s="24">
        <v>35369085.25</v>
      </c>
      <c r="W370">
        <f t="shared" si="114"/>
        <v>6.6834876198057172E-10</v>
      </c>
      <c r="X370">
        <f t="shared" si="115"/>
        <v>0.50394656948876382</v>
      </c>
      <c r="Y370" s="9"/>
    </row>
    <row r="371" spans="1:25">
      <c r="A371" s="21">
        <v>45544</v>
      </c>
      <c r="B371" s="24">
        <v>82.09</v>
      </c>
      <c r="C371" s="29">
        <f t="shared" si="108"/>
        <v>-9.1732045866021843E-3</v>
      </c>
      <c r="D371" s="24">
        <f t="shared" si="113"/>
        <v>2.6048574082072319E-2</v>
      </c>
      <c r="E371" s="24">
        <v>83.89</v>
      </c>
      <c r="F371" s="24">
        <v>81.900000000000006</v>
      </c>
      <c r="G371" s="24">
        <f t="shared" si="109"/>
        <v>2.4006272995958679E-2</v>
      </c>
      <c r="H371" s="24">
        <v>82.98</v>
      </c>
      <c r="I371" s="24">
        <v>82.8</v>
      </c>
      <c r="J371" s="24">
        <f t="shared" si="110"/>
        <v>2.1715526601520907E-3</v>
      </c>
      <c r="K371" s="24">
        <v>153052</v>
      </c>
      <c r="L371" s="24">
        <v>335633933</v>
      </c>
      <c r="M371" s="24">
        <f t="shared" si="111"/>
        <v>12564038.68</v>
      </c>
      <c r="N371" s="24">
        <v>83908483</v>
      </c>
      <c r="O371" s="24">
        <f t="shared" si="112"/>
        <v>1.8240348833383152E-3</v>
      </c>
      <c r="P371" s="24">
        <v>78615</v>
      </c>
      <c r="Q371" s="27">
        <v>0.1741</v>
      </c>
      <c r="R371" s="24">
        <v>70184196.879999995</v>
      </c>
      <c r="S371" s="24">
        <v>43830600.460000001</v>
      </c>
      <c r="T371" s="24">
        <v>1299238.8799999999</v>
      </c>
      <c r="U371" s="24">
        <v>3773765.74</v>
      </c>
      <c r="V371" s="24">
        <v>35369085.25</v>
      </c>
      <c r="W371">
        <f t="shared" si="114"/>
        <v>7.3011591417690417E-10</v>
      </c>
      <c r="X371">
        <f t="shared" si="115"/>
        <v>0.50394656948876382</v>
      </c>
      <c r="Y371" s="9"/>
    </row>
    <row r="372" spans="1:25">
      <c r="A372" s="21">
        <v>45541</v>
      </c>
      <c r="B372" s="24">
        <v>82.85</v>
      </c>
      <c r="C372" s="29">
        <f t="shared" si="108"/>
        <v>-3.4832246039142693E-2</v>
      </c>
      <c r="D372" s="24">
        <f t="shared" si="113"/>
        <v>2.6048574082072319E-2</v>
      </c>
      <c r="E372" s="24">
        <v>85.9</v>
      </c>
      <c r="F372" s="24">
        <v>82.51</v>
      </c>
      <c r="G372" s="24">
        <f t="shared" si="109"/>
        <v>4.0258891989786834E-2</v>
      </c>
      <c r="H372" s="24">
        <v>83.43</v>
      </c>
      <c r="I372" s="24">
        <v>83</v>
      </c>
      <c r="J372" s="24">
        <f t="shared" si="110"/>
        <v>5.1673376194196572E-3</v>
      </c>
      <c r="K372" s="24">
        <v>185352</v>
      </c>
      <c r="L372" s="24">
        <v>335633933</v>
      </c>
      <c r="M372" s="24">
        <f t="shared" si="111"/>
        <v>15356413.199999999</v>
      </c>
      <c r="N372" s="24">
        <v>83908483</v>
      </c>
      <c r="O372" s="24">
        <f t="shared" si="112"/>
        <v>2.2089780838964756E-3</v>
      </c>
      <c r="P372" s="24">
        <v>78897.73</v>
      </c>
      <c r="Q372" s="27">
        <v>0.1741</v>
      </c>
      <c r="R372" s="24">
        <v>70184196.879999995</v>
      </c>
      <c r="S372" s="24">
        <v>43830600.460000001</v>
      </c>
      <c r="T372" s="24">
        <v>1299238.8799999999</v>
      </c>
      <c r="U372" s="24">
        <v>3773765.74</v>
      </c>
      <c r="V372" s="24">
        <v>35369085.25</v>
      </c>
      <c r="W372">
        <f t="shared" si="114"/>
        <v>2.2682540242628203E-9</v>
      </c>
      <c r="X372">
        <f t="shared" si="115"/>
        <v>0.50394656948876382</v>
      </c>
      <c r="Y372" s="9"/>
    </row>
    <row r="373" spans="1:25">
      <c r="A373" s="21">
        <v>45540</v>
      </c>
      <c r="B373" s="24">
        <v>85.84</v>
      </c>
      <c r="C373" s="29">
        <f t="shared" si="108"/>
        <v>-1.4352968193822481E-2</v>
      </c>
      <c r="D373" s="24">
        <f t="shared" si="113"/>
        <v>2.6048574082072319E-2</v>
      </c>
      <c r="E373" s="24">
        <v>88</v>
      </c>
      <c r="F373" s="24">
        <v>85.65</v>
      </c>
      <c r="G373" s="24">
        <f t="shared" si="109"/>
        <v>2.70659372300604E-2</v>
      </c>
      <c r="H373" s="24">
        <v>85.9</v>
      </c>
      <c r="I373" s="24">
        <v>85.7</v>
      </c>
      <c r="J373" s="24">
        <f t="shared" si="110"/>
        <v>2.331002331002364E-3</v>
      </c>
      <c r="K373" s="24">
        <v>55021</v>
      </c>
      <c r="L373" s="24">
        <v>335633933</v>
      </c>
      <c r="M373" s="24">
        <f t="shared" si="111"/>
        <v>4723002.6400000006</v>
      </c>
      <c r="N373" s="24">
        <v>83908483</v>
      </c>
      <c r="O373" s="24">
        <f t="shared" si="112"/>
        <v>6.5572631077122443E-4</v>
      </c>
      <c r="P373" s="24">
        <v>78863.34</v>
      </c>
      <c r="Q373" s="27">
        <v>0.1741</v>
      </c>
      <c r="R373" s="24">
        <v>70184196.879999995</v>
      </c>
      <c r="S373" s="24">
        <v>43830600.460000001</v>
      </c>
      <c r="T373" s="24">
        <v>1299238.8799999999</v>
      </c>
      <c r="U373" s="24">
        <v>3773765.74</v>
      </c>
      <c r="V373" s="24">
        <v>35369085.25</v>
      </c>
      <c r="W373">
        <f t="shared" si="114"/>
        <v>3.0389498562343549E-9</v>
      </c>
      <c r="X373">
        <f t="shared" si="115"/>
        <v>0.50394656948876382</v>
      </c>
      <c r="Y373" s="9"/>
    </row>
    <row r="374" spans="1:25">
      <c r="A374" s="21">
        <v>45539</v>
      </c>
      <c r="B374" s="24">
        <v>87.09</v>
      </c>
      <c r="C374" s="29">
        <f t="shared" si="108"/>
        <v>2.3865506701152141E-2</v>
      </c>
      <c r="D374" s="24">
        <f t="shared" si="113"/>
        <v>2.6048574082072319E-2</v>
      </c>
      <c r="E374" s="24">
        <v>87.5</v>
      </c>
      <c r="F374" s="24">
        <v>85.1</v>
      </c>
      <c r="G374" s="24">
        <f t="shared" si="109"/>
        <v>2.7809965237543519E-2</v>
      </c>
      <c r="H374" s="24">
        <v>87.53</v>
      </c>
      <c r="I374" s="24">
        <v>87.5</v>
      </c>
      <c r="J374" s="24">
        <f t="shared" si="110"/>
        <v>3.4279837742102651E-4</v>
      </c>
      <c r="K374" s="24">
        <v>365060</v>
      </c>
      <c r="L374" s="24">
        <v>335633933</v>
      </c>
      <c r="M374" s="24">
        <f t="shared" si="111"/>
        <v>31793075.400000002</v>
      </c>
      <c r="N374" s="24">
        <v>83908483</v>
      </c>
      <c r="O374" s="24">
        <f t="shared" si="112"/>
        <v>4.3506924085375256E-3</v>
      </c>
      <c r="P374" s="24">
        <v>78848.009999999995</v>
      </c>
      <c r="Q374" s="27">
        <v>0.1741</v>
      </c>
      <c r="R374" s="24">
        <v>70184196.879999995</v>
      </c>
      <c r="S374" s="24">
        <v>43830600.460000001</v>
      </c>
      <c r="T374" s="24">
        <v>1299238.8799999999</v>
      </c>
      <c r="U374" s="24">
        <v>3773765.74</v>
      </c>
      <c r="V374" s="24">
        <v>35369085.25</v>
      </c>
      <c r="W374">
        <f t="shared" si="114"/>
        <v>7.5065108992734127E-10</v>
      </c>
      <c r="X374">
        <f t="shared" si="115"/>
        <v>0.50394656948876382</v>
      </c>
      <c r="Y374" s="9"/>
    </row>
    <row r="375" spans="1:25">
      <c r="A375" s="21">
        <v>45538</v>
      </c>
      <c r="B375" s="24">
        <v>85.06</v>
      </c>
      <c r="C375" s="29">
        <f t="shared" si="108"/>
        <v>2.4078979051288224E-2</v>
      </c>
      <c r="D375" s="24">
        <f t="shared" si="113"/>
        <v>2.6048574082072319E-2</v>
      </c>
      <c r="E375" s="24">
        <v>86.7</v>
      </c>
      <c r="F375" s="24">
        <v>78.12</v>
      </c>
      <c r="G375" s="24">
        <f t="shared" si="109"/>
        <v>0.10411357844921731</v>
      </c>
      <c r="H375" s="24">
        <v>86.7</v>
      </c>
      <c r="I375" s="24">
        <v>86</v>
      </c>
      <c r="J375" s="24">
        <f t="shared" si="110"/>
        <v>8.1065431383903052E-3</v>
      </c>
      <c r="K375" s="24">
        <v>366935</v>
      </c>
      <c r="L375" s="24">
        <v>335633933</v>
      </c>
      <c r="M375" s="24">
        <f t="shared" si="111"/>
        <v>31211491.100000001</v>
      </c>
      <c r="N375" s="24">
        <v>83908483</v>
      </c>
      <c r="O375" s="24">
        <f t="shared" si="112"/>
        <v>4.3730381825637342E-3</v>
      </c>
      <c r="P375" s="24">
        <v>78356.320000000007</v>
      </c>
      <c r="Q375" s="27">
        <v>0.17469999999999999</v>
      </c>
      <c r="R375" s="24">
        <v>70184196.879999995</v>
      </c>
      <c r="S375" s="24">
        <v>43830600.460000001</v>
      </c>
      <c r="T375" s="24">
        <v>1299238.8799999999</v>
      </c>
      <c r="U375" s="24">
        <v>3773765.74</v>
      </c>
      <c r="V375" s="24">
        <v>35369085.25</v>
      </c>
      <c r="W375">
        <f t="shared" si="114"/>
        <v>7.7147801026680921E-10</v>
      </c>
      <c r="X375">
        <f t="shared" si="115"/>
        <v>0.50394656948876382</v>
      </c>
      <c r="Y375" s="9"/>
    </row>
    <row r="376" spans="1:25">
      <c r="A376" s="21">
        <v>45537</v>
      </c>
      <c r="B376" s="24">
        <v>83.06</v>
      </c>
      <c r="C376" s="29">
        <f t="shared" si="108"/>
        <v>7.2289156626508758E-4</v>
      </c>
      <c r="D376" s="24">
        <f t="shared" si="113"/>
        <v>2.6048574082072319E-2</v>
      </c>
      <c r="E376" s="24">
        <v>83.9</v>
      </c>
      <c r="F376" s="24">
        <v>82</v>
      </c>
      <c r="G376" s="24">
        <f t="shared" si="109"/>
        <v>2.2905364677516644E-2</v>
      </c>
      <c r="H376" s="24">
        <v>83.6</v>
      </c>
      <c r="I376" s="24">
        <v>82.6</v>
      </c>
      <c r="J376" s="24">
        <f t="shared" si="110"/>
        <v>1.2033694344163659E-2</v>
      </c>
      <c r="K376" s="24">
        <v>188912</v>
      </c>
      <c r="L376" s="24">
        <v>335633933</v>
      </c>
      <c r="M376" s="24">
        <f t="shared" si="111"/>
        <v>15691030.720000001</v>
      </c>
      <c r="N376" s="24">
        <v>83908483</v>
      </c>
      <c r="O376" s="24">
        <f t="shared" si="112"/>
        <v>2.2514052601809043E-3</v>
      </c>
      <c r="P376" s="24">
        <v>78283.3</v>
      </c>
      <c r="Q376" s="27">
        <v>0.17469999999999999</v>
      </c>
      <c r="R376" s="24">
        <v>70184196.879999995</v>
      </c>
      <c r="S376" s="24">
        <v>43830600.460000001</v>
      </c>
      <c r="T376" s="24">
        <v>1299238.8799999999</v>
      </c>
      <c r="U376" s="24">
        <v>3773765.74</v>
      </c>
      <c r="V376" s="24">
        <v>35369085.25</v>
      </c>
      <c r="W376">
        <f t="shared" si="114"/>
        <v>4.6070368426701263E-11</v>
      </c>
      <c r="X376">
        <f t="shared" si="115"/>
        <v>0.50394656948876382</v>
      </c>
      <c r="Y376" s="9"/>
    </row>
    <row r="377" spans="1:25">
      <c r="A377" s="21">
        <v>45534</v>
      </c>
      <c r="B377" s="24">
        <v>83</v>
      </c>
      <c r="C377" s="29">
        <f t="shared" si="108"/>
        <v>-4.3186180422264808E-3</v>
      </c>
      <c r="D377" s="24">
        <f t="shared" si="113"/>
        <v>2.6048574082072319E-2</v>
      </c>
      <c r="E377" s="24">
        <v>84</v>
      </c>
      <c r="F377" s="24">
        <v>82.2</v>
      </c>
      <c r="G377" s="24">
        <f t="shared" si="109"/>
        <v>2.1660649819494553E-2</v>
      </c>
      <c r="H377" s="24">
        <v>82.95</v>
      </c>
      <c r="I377" s="24">
        <v>82.94</v>
      </c>
      <c r="J377" s="24">
        <f t="shared" si="110"/>
        <v>1.2056181807227821E-4</v>
      </c>
      <c r="K377" s="24">
        <v>196012</v>
      </c>
      <c r="L377" s="24">
        <v>335633933</v>
      </c>
      <c r="M377" s="24">
        <f t="shared" si="111"/>
        <v>16268996</v>
      </c>
      <c r="N377" s="24">
        <v>83908483</v>
      </c>
      <c r="O377" s="24">
        <f t="shared" si="112"/>
        <v>2.3360212578268161E-3</v>
      </c>
      <c r="P377" s="24">
        <v>78488.22</v>
      </c>
      <c r="Q377" s="27">
        <v>0.17469999999999999</v>
      </c>
      <c r="R377" s="24">
        <v>70184196.879999995</v>
      </c>
      <c r="S377" s="24">
        <v>43830600.460000001</v>
      </c>
      <c r="T377" s="24">
        <v>1299238.8799999999</v>
      </c>
      <c r="U377" s="24">
        <v>3773765.74</v>
      </c>
      <c r="V377" s="24">
        <v>35369085.25</v>
      </c>
      <c r="W377">
        <f t="shared" si="114"/>
        <v>2.6545080238672879E-10</v>
      </c>
      <c r="X377">
        <f t="shared" si="115"/>
        <v>0.50394656948876382</v>
      </c>
      <c r="Y377" s="9"/>
    </row>
    <row r="378" spans="1:25">
      <c r="A378" s="21">
        <v>45533</v>
      </c>
      <c r="B378" s="24">
        <v>83.36</v>
      </c>
      <c r="C378" s="29">
        <f t="shared" si="108"/>
        <v>-1.676646706586833E-3</v>
      </c>
      <c r="D378" s="24">
        <f t="shared" si="113"/>
        <v>2.6048574082072319E-2</v>
      </c>
      <c r="E378" s="24">
        <v>84</v>
      </c>
      <c r="F378" s="24">
        <v>82</v>
      </c>
      <c r="G378" s="24">
        <f t="shared" si="109"/>
        <v>2.4096385542168676E-2</v>
      </c>
      <c r="H378" s="24">
        <v>83.5</v>
      </c>
      <c r="I378" s="24">
        <v>83.25</v>
      </c>
      <c r="J378" s="24">
        <f t="shared" si="110"/>
        <v>2.9985007496251873E-3</v>
      </c>
      <c r="K378" s="24">
        <v>156508</v>
      </c>
      <c r="L378" s="24">
        <v>335633933</v>
      </c>
      <c r="M378" s="24">
        <f t="shared" si="111"/>
        <v>13046506.880000001</v>
      </c>
      <c r="N378" s="24">
        <v>83908483</v>
      </c>
      <c r="O378" s="24">
        <f t="shared" si="112"/>
        <v>1.8652226140234236E-3</v>
      </c>
      <c r="P378" s="24">
        <v>78349.66</v>
      </c>
      <c r="Q378" s="27">
        <v>0.17469999999999999</v>
      </c>
      <c r="R378" s="24">
        <v>70184196.879999995</v>
      </c>
      <c r="S378" s="24">
        <v>43830600.460000001</v>
      </c>
      <c r="T378" s="24">
        <v>1299238.8799999999</v>
      </c>
      <c r="U378" s="24">
        <v>3773765.74</v>
      </c>
      <c r="V378" s="24">
        <v>35369085.25</v>
      </c>
      <c r="W378">
        <f t="shared" si="114"/>
        <v>1.285130741897737E-10</v>
      </c>
      <c r="X378">
        <f t="shared" si="115"/>
        <v>0.50394656948876382</v>
      </c>
      <c r="Y378" s="9"/>
    </row>
    <row r="379" spans="1:25">
      <c r="A379" s="21">
        <v>45532</v>
      </c>
      <c r="B379" s="24">
        <v>83.5</v>
      </c>
      <c r="C379" s="29">
        <f t="shared" si="108"/>
        <v>-1.3352239158690719E-2</v>
      </c>
      <c r="D379" s="24">
        <f t="shared" si="113"/>
        <v>2.6048574082072319E-2</v>
      </c>
      <c r="E379" s="24">
        <v>85.6</v>
      </c>
      <c r="F379" s="24">
        <v>83</v>
      </c>
      <c r="G379" s="24">
        <f t="shared" si="109"/>
        <v>3.084223013048629E-2</v>
      </c>
      <c r="H379" s="24">
        <v>83.68</v>
      </c>
      <c r="I379" s="24">
        <v>83.21</v>
      </c>
      <c r="J379" s="24">
        <f t="shared" si="110"/>
        <v>5.632452513631891E-3</v>
      </c>
      <c r="K379" s="24">
        <v>75615</v>
      </c>
      <c r="L379" s="24">
        <v>335633933</v>
      </c>
      <c r="M379" s="24">
        <f t="shared" si="111"/>
        <v>6313852.5</v>
      </c>
      <c r="N379" s="24">
        <v>83908483</v>
      </c>
      <c r="O379" s="24">
        <f t="shared" si="112"/>
        <v>9.0116037492895683E-4</v>
      </c>
      <c r="P379" s="24">
        <v>77992.789999999994</v>
      </c>
      <c r="Q379" s="27">
        <v>0.17469999999999999</v>
      </c>
      <c r="R379" s="24">
        <v>70184196.879999995</v>
      </c>
      <c r="S379" s="24">
        <v>43830600.460000001</v>
      </c>
      <c r="T379" s="24">
        <v>1299238.8799999999</v>
      </c>
      <c r="U379" s="24">
        <v>3773765.74</v>
      </c>
      <c r="V379" s="24">
        <v>35369085.25</v>
      </c>
      <c r="W379">
        <f t="shared" si="114"/>
        <v>2.1147531018012723E-9</v>
      </c>
      <c r="X379">
        <f t="shared" si="115"/>
        <v>0.50394656948876382</v>
      </c>
      <c r="Y379" s="9"/>
    </row>
    <row r="380" spans="1:25">
      <c r="A380" s="21">
        <v>45531</v>
      </c>
      <c r="B380" s="24">
        <v>84.63</v>
      </c>
      <c r="C380" s="29">
        <f t="shared" si="108"/>
        <v>-1.1908931698774199E-2</v>
      </c>
      <c r="D380" s="24">
        <f t="shared" si="113"/>
        <v>2.6048574082072319E-2</v>
      </c>
      <c r="E380" s="24">
        <v>86</v>
      </c>
      <c r="F380" s="24">
        <v>84.4</v>
      </c>
      <c r="G380" s="24">
        <f t="shared" si="109"/>
        <v>1.8779342723004626E-2</v>
      </c>
      <c r="H380" s="24">
        <v>84.98</v>
      </c>
      <c r="I380" s="24">
        <v>84.8</v>
      </c>
      <c r="J380" s="24">
        <f t="shared" si="110"/>
        <v>2.1203910943574842E-3</v>
      </c>
      <c r="K380" s="24">
        <v>329010</v>
      </c>
      <c r="L380" s="24">
        <v>335633933</v>
      </c>
      <c r="M380" s="24">
        <f t="shared" si="111"/>
        <v>27844116.299999997</v>
      </c>
      <c r="N380" s="24">
        <v>83908483</v>
      </c>
      <c r="O380" s="24">
        <f t="shared" si="112"/>
        <v>3.9210576599269468E-3</v>
      </c>
      <c r="P380" s="24">
        <v>78084.240000000005</v>
      </c>
      <c r="Q380" s="27">
        <v>0.17469999999999999</v>
      </c>
      <c r="R380" s="24">
        <v>70184196.879999995</v>
      </c>
      <c r="S380" s="24">
        <v>43830600.460000001</v>
      </c>
      <c r="T380" s="24">
        <v>1299238.8799999999</v>
      </c>
      <c r="U380" s="24">
        <v>3773765.74</v>
      </c>
      <c r="V380" s="24">
        <v>35369085.25</v>
      </c>
      <c r="W380">
        <f t="shared" si="114"/>
        <v>4.2770011339071301E-10</v>
      </c>
      <c r="X380">
        <f t="shared" si="115"/>
        <v>0.50394656948876382</v>
      </c>
      <c r="Y380" s="9"/>
    </row>
    <row r="381" spans="1:25">
      <c r="A381" s="21">
        <v>45530</v>
      </c>
      <c r="B381" s="24">
        <v>85.65</v>
      </c>
      <c r="C381" s="29">
        <f t="shared" si="108"/>
        <v>1.4810426540284359E-2</v>
      </c>
      <c r="D381" s="24">
        <f t="shared" si="113"/>
        <v>2.6048574082072319E-2</v>
      </c>
      <c r="E381" s="24">
        <v>87.3</v>
      </c>
      <c r="F381" s="24">
        <v>84.5</v>
      </c>
      <c r="G381" s="24">
        <f t="shared" si="109"/>
        <v>3.2596041909196703E-2</v>
      </c>
      <c r="H381" s="24">
        <v>86</v>
      </c>
      <c r="I381" s="24">
        <v>85.74</v>
      </c>
      <c r="J381" s="24">
        <f t="shared" si="110"/>
        <v>3.0278327704670446E-3</v>
      </c>
      <c r="K381" s="24">
        <v>730201</v>
      </c>
      <c r="L381" s="24">
        <v>335633933</v>
      </c>
      <c r="M381" s="24">
        <f t="shared" si="111"/>
        <v>62541715.650000006</v>
      </c>
      <c r="N381" s="24">
        <v>83908483</v>
      </c>
      <c r="O381" s="24">
        <f t="shared" si="112"/>
        <v>8.7023501545129833E-3</v>
      </c>
      <c r="P381" s="24">
        <v>78571.06</v>
      </c>
      <c r="Q381" s="27">
        <v>0.17469999999999999</v>
      </c>
      <c r="R381" s="24">
        <v>70184196.879999995</v>
      </c>
      <c r="S381" s="24">
        <v>43830600.460000001</v>
      </c>
      <c r="T381" s="24">
        <v>1299238.8799999999</v>
      </c>
      <c r="U381" s="24">
        <v>3773765.74</v>
      </c>
      <c r="V381" s="24">
        <v>35369085.25</v>
      </c>
      <c r="W381">
        <f t="shared" si="114"/>
        <v>2.368087665386E-10</v>
      </c>
      <c r="X381">
        <f t="shared" si="115"/>
        <v>0.50394656948876382</v>
      </c>
      <c r="Y381" s="9"/>
    </row>
    <row r="382" spans="1:25">
      <c r="A382" s="21">
        <v>45527</v>
      </c>
      <c r="B382" s="24">
        <v>84.4</v>
      </c>
      <c r="C382" s="29">
        <f t="shared" si="108"/>
        <v>-2.6415964932518077E-2</v>
      </c>
      <c r="D382" s="24">
        <f t="shared" si="113"/>
        <v>2.6048574082072319E-2</v>
      </c>
      <c r="E382" s="24">
        <v>88.25</v>
      </c>
      <c r="F382" s="24">
        <v>84</v>
      </c>
      <c r="G382" s="24">
        <f t="shared" si="109"/>
        <v>4.9346879535558781E-2</v>
      </c>
      <c r="H382" s="24">
        <v>85.25</v>
      </c>
      <c r="I382" s="24">
        <v>85.2</v>
      </c>
      <c r="J382" s="24">
        <f t="shared" si="110"/>
        <v>5.8668231152827414E-4</v>
      </c>
      <c r="K382" s="24">
        <v>893518</v>
      </c>
      <c r="L382" s="24">
        <v>335633933</v>
      </c>
      <c r="M382" s="24">
        <f t="shared" si="111"/>
        <v>75412919.200000003</v>
      </c>
      <c r="N382" s="24">
        <v>83908483</v>
      </c>
      <c r="O382" s="24">
        <f t="shared" si="112"/>
        <v>1.0648720702053451E-2</v>
      </c>
      <c r="P382" s="24">
        <v>78801.429999999993</v>
      </c>
      <c r="Q382" s="27">
        <v>0.17469999999999999</v>
      </c>
      <c r="R382" s="24">
        <v>70184196.879999995</v>
      </c>
      <c r="S382" s="24">
        <v>43830600.460000001</v>
      </c>
      <c r="T382" s="24">
        <v>1299238.8799999999</v>
      </c>
      <c r="U382" s="24">
        <v>3773765.74</v>
      </c>
      <c r="V382" s="24">
        <v>35369085.25</v>
      </c>
      <c r="W382">
        <f t="shared" si="114"/>
        <v>3.5028434401884388E-10</v>
      </c>
      <c r="X382">
        <f t="shared" si="115"/>
        <v>0.50394656948876382</v>
      </c>
      <c r="Y382" s="9"/>
    </row>
    <row r="383" spans="1:25">
      <c r="A383" s="21">
        <v>45526</v>
      </c>
      <c r="B383" s="24">
        <v>86.69</v>
      </c>
      <c r="C383" s="29">
        <f t="shared" si="108"/>
        <v>3.1041864890580393E-2</v>
      </c>
      <c r="D383" s="24">
        <f t="shared" si="113"/>
        <v>2.6048574082072319E-2</v>
      </c>
      <c r="E383" s="24">
        <v>89.5</v>
      </c>
      <c r="F383" s="24">
        <v>85.08</v>
      </c>
      <c r="G383" s="24">
        <f t="shared" si="109"/>
        <v>5.0635811662275196E-2</v>
      </c>
      <c r="H383" s="24">
        <v>87.3</v>
      </c>
      <c r="I383" s="24">
        <v>86.81</v>
      </c>
      <c r="J383" s="24">
        <f t="shared" si="110"/>
        <v>5.6286255815288589E-3</v>
      </c>
      <c r="K383" s="24">
        <v>3755300</v>
      </c>
      <c r="L383" s="24">
        <v>335633933</v>
      </c>
      <c r="M383" s="24">
        <f t="shared" si="111"/>
        <v>325546957</v>
      </c>
      <c r="N383" s="24">
        <v>83908483</v>
      </c>
      <c r="O383" s="24">
        <f t="shared" si="112"/>
        <v>4.4754712106998766E-2</v>
      </c>
      <c r="P383" s="24">
        <v>78793.41</v>
      </c>
      <c r="Q383" s="27">
        <v>0.17469999999999999</v>
      </c>
      <c r="R383" s="24">
        <v>70184196.879999995</v>
      </c>
      <c r="S383" s="24">
        <v>43830600.460000001</v>
      </c>
      <c r="T383" s="24">
        <v>1299238.8799999999</v>
      </c>
      <c r="U383" s="24">
        <v>3773765.74</v>
      </c>
      <c r="V383" s="24">
        <v>35369085.25</v>
      </c>
      <c r="W383">
        <f t="shared" si="114"/>
        <v>9.5352956687536769E-11</v>
      </c>
      <c r="X383">
        <f t="shared" si="115"/>
        <v>0.50394656948876382</v>
      </c>
      <c r="Y383" s="9"/>
    </row>
    <row r="384" spans="1:25">
      <c r="A384" s="21">
        <v>45525</v>
      </c>
      <c r="B384" s="24">
        <v>84.08</v>
      </c>
      <c r="C384" s="29">
        <f t="shared" si="108"/>
        <v>9.9947671376242816E-2</v>
      </c>
      <c r="D384" s="24">
        <f t="shared" si="113"/>
        <v>2.6048574082072319E-2</v>
      </c>
      <c r="E384" s="24">
        <v>84.08</v>
      </c>
      <c r="F384" s="24">
        <v>79.290000000000006</v>
      </c>
      <c r="G384" s="24">
        <f t="shared" si="109"/>
        <v>5.8639897165942242E-2</v>
      </c>
      <c r="H384" s="24">
        <v>86</v>
      </c>
      <c r="I384" s="24">
        <v>84.08</v>
      </c>
      <c r="J384" s="24">
        <f t="shared" si="110"/>
        <v>2.2577610536218273E-2</v>
      </c>
      <c r="K384" s="24">
        <v>2898047</v>
      </c>
      <c r="L384" s="24">
        <v>335633933</v>
      </c>
      <c r="M384" s="24">
        <f t="shared" si="111"/>
        <v>243667791.75999999</v>
      </c>
      <c r="N384" s="24">
        <v>83908483</v>
      </c>
      <c r="O384" s="24">
        <f t="shared" si="112"/>
        <v>3.4538188468977563E-2</v>
      </c>
      <c r="P384" s="24">
        <v>78260.86</v>
      </c>
      <c r="Q384" s="27">
        <v>0.17469999999999999</v>
      </c>
      <c r="R384" s="24">
        <v>70184196.879999995</v>
      </c>
      <c r="S384" s="24">
        <v>43830600.460000001</v>
      </c>
      <c r="T384" s="24">
        <v>1299238.8799999999</v>
      </c>
      <c r="U384" s="24">
        <v>3773765.74</v>
      </c>
      <c r="V384" s="24">
        <v>35369085.25</v>
      </c>
      <c r="W384">
        <f t="shared" si="114"/>
        <v>4.1018006792906811E-10</v>
      </c>
      <c r="X384">
        <f t="shared" si="115"/>
        <v>0.50394656948876382</v>
      </c>
      <c r="Y384" s="9"/>
    </row>
    <row r="385" spans="1:25">
      <c r="A385" s="21">
        <v>45524</v>
      </c>
      <c r="B385" s="24">
        <v>76.44</v>
      </c>
      <c r="C385" s="29">
        <f t="shared" si="108"/>
        <v>-1.7354415734670375E-2</v>
      </c>
      <c r="D385" s="24">
        <f t="shared" si="113"/>
        <v>2.6048574082072319E-2</v>
      </c>
      <c r="E385" s="24">
        <v>78.900000000000006</v>
      </c>
      <c r="F385" s="24">
        <v>75.16</v>
      </c>
      <c r="G385" s="24">
        <f t="shared" si="109"/>
        <v>4.8552512008308568E-2</v>
      </c>
      <c r="H385" s="24">
        <v>76.5</v>
      </c>
      <c r="I385" s="24">
        <v>76.25</v>
      </c>
      <c r="J385" s="24">
        <f t="shared" si="110"/>
        <v>3.2733224222585926E-3</v>
      </c>
      <c r="K385" s="24">
        <v>151506</v>
      </c>
      <c r="L385" s="24">
        <v>335633933</v>
      </c>
      <c r="M385" s="24">
        <f t="shared" si="111"/>
        <v>11581118.639999999</v>
      </c>
      <c r="N385" s="24">
        <v>83908483</v>
      </c>
      <c r="O385" s="24">
        <f t="shared" si="112"/>
        <v>1.8056100477945717E-3</v>
      </c>
      <c r="P385" s="24">
        <v>77745.52</v>
      </c>
      <c r="Q385" s="27">
        <v>0.189</v>
      </c>
      <c r="R385" s="24">
        <v>70184196.879999995</v>
      </c>
      <c r="S385" s="24">
        <v>43830600.460000001</v>
      </c>
      <c r="T385" s="24">
        <v>1299238.8799999999</v>
      </c>
      <c r="U385" s="24">
        <v>3773765.74</v>
      </c>
      <c r="V385" s="24">
        <v>35369085.25</v>
      </c>
      <c r="W385">
        <f t="shared" si="114"/>
        <v>1.498509450954936E-9</v>
      </c>
      <c r="X385">
        <f t="shared" si="115"/>
        <v>0.50394656948876382</v>
      </c>
      <c r="Y385" s="9"/>
    </row>
    <row r="386" spans="1:25">
      <c r="A386" s="21">
        <v>45523</v>
      </c>
      <c r="B386" s="24">
        <v>77.790000000000006</v>
      </c>
      <c r="C386" s="29">
        <f t="shared" si="108"/>
        <v>-2.1263210870659254E-2</v>
      </c>
      <c r="D386" s="24">
        <f t="shared" si="113"/>
        <v>2.6048574082072319E-2</v>
      </c>
      <c r="E386" s="24">
        <v>80.989999999999995</v>
      </c>
      <c r="F386" s="24">
        <v>77.5</v>
      </c>
      <c r="G386" s="24">
        <f t="shared" si="109"/>
        <v>4.4040633478452836E-2</v>
      </c>
      <c r="H386" s="24">
        <v>77.7</v>
      </c>
      <c r="I386" s="24">
        <v>77.599999999999994</v>
      </c>
      <c r="J386" s="24">
        <f t="shared" si="110"/>
        <v>1.2878300064392597E-3</v>
      </c>
      <c r="K386" s="24">
        <v>229561</v>
      </c>
      <c r="L386" s="24">
        <v>335633933</v>
      </c>
      <c r="M386" s="24">
        <f t="shared" si="111"/>
        <v>17857550.190000001</v>
      </c>
      <c r="N386" s="24">
        <v>83908483</v>
      </c>
      <c r="O386" s="24">
        <f t="shared" si="112"/>
        <v>2.7358497233229686E-3</v>
      </c>
      <c r="P386" s="24">
        <v>77830.34</v>
      </c>
      <c r="Q386" s="27">
        <v>0.189</v>
      </c>
      <c r="R386" s="24">
        <v>70184196.879999995</v>
      </c>
      <c r="S386" s="24">
        <v>43830600.460000001</v>
      </c>
      <c r="T386" s="24">
        <v>1299238.8799999999</v>
      </c>
      <c r="U386" s="24">
        <v>3773765.74</v>
      </c>
      <c r="V386" s="24">
        <v>35369085.25</v>
      </c>
      <c r="W386">
        <f t="shared" si="114"/>
        <v>1.1907126478393649E-9</v>
      </c>
      <c r="X386">
        <f t="shared" si="115"/>
        <v>0.50394656948876382</v>
      </c>
      <c r="Y386" s="9"/>
    </row>
    <row r="387" spans="1:25">
      <c r="A387" s="21">
        <v>45520</v>
      </c>
      <c r="B387" s="24">
        <v>79.48</v>
      </c>
      <c r="C387" s="29">
        <f t="shared" si="108"/>
        <v>8.2455917797793436E-3</v>
      </c>
      <c r="D387" s="24">
        <f t="shared" si="113"/>
        <v>2.6048574082072319E-2</v>
      </c>
      <c r="E387" s="24">
        <v>81.05</v>
      </c>
      <c r="F387" s="24">
        <v>79.010000000000005</v>
      </c>
      <c r="G387" s="24">
        <f t="shared" si="109"/>
        <v>2.5490441084593179E-2</v>
      </c>
      <c r="H387" s="24">
        <v>79.650000000000006</v>
      </c>
      <c r="I387" s="24">
        <v>79.52</v>
      </c>
      <c r="J387" s="24">
        <f t="shared" si="110"/>
        <v>1.6334736445311258E-3</v>
      </c>
      <c r="K387" s="24">
        <v>585576</v>
      </c>
      <c r="L387" s="24">
        <v>335633933</v>
      </c>
      <c r="M387" s="24">
        <f t="shared" si="111"/>
        <v>46541580.480000004</v>
      </c>
      <c r="N387" s="24">
        <v>83908483</v>
      </c>
      <c r="O387" s="24">
        <f t="shared" si="112"/>
        <v>6.9787461179580618E-3</v>
      </c>
      <c r="P387" s="24">
        <v>78045.31</v>
      </c>
      <c r="Q387" s="27">
        <v>0.189</v>
      </c>
      <c r="R387" s="24">
        <v>70184196.879999995</v>
      </c>
      <c r="S387" s="24">
        <v>43830600.460000001</v>
      </c>
      <c r="T387" s="24">
        <v>1299238.8799999999</v>
      </c>
      <c r="U387" s="24">
        <v>3773765.74</v>
      </c>
      <c r="V387" s="24">
        <v>35369085.25</v>
      </c>
      <c r="W387">
        <f t="shared" si="114"/>
        <v>1.7716613176302995E-10</v>
      </c>
      <c r="X387">
        <f t="shared" si="115"/>
        <v>0.50394656948876382</v>
      </c>
      <c r="Y387" s="9"/>
    </row>
    <row r="388" spans="1:25">
      <c r="A388" s="21">
        <v>45519</v>
      </c>
      <c r="B388" s="24">
        <v>78.83</v>
      </c>
      <c r="C388" s="29">
        <f t="shared" si="108"/>
        <v>3.1806282722512992E-2</v>
      </c>
      <c r="D388" s="24">
        <f t="shared" si="113"/>
        <v>2.6048574082072319E-2</v>
      </c>
      <c r="E388" s="24">
        <v>79.47</v>
      </c>
      <c r="F388" s="24">
        <v>77</v>
      </c>
      <c r="G388" s="24">
        <f t="shared" si="109"/>
        <v>3.1571547261455855E-2</v>
      </c>
      <c r="H388" s="24">
        <v>79</v>
      </c>
      <c r="I388" s="24">
        <v>78.7</v>
      </c>
      <c r="J388" s="24">
        <f t="shared" si="110"/>
        <v>3.8046924540265973E-3</v>
      </c>
      <c r="K388" s="24">
        <v>337371</v>
      </c>
      <c r="L388" s="24">
        <v>335633933</v>
      </c>
      <c r="M388" s="24">
        <f t="shared" si="111"/>
        <v>26594955.93</v>
      </c>
      <c r="N388" s="24">
        <v>83908483</v>
      </c>
      <c r="O388" s="24">
        <f t="shared" si="112"/>
        <v>4.0207019354646179E-3</v>
      </c>
      <c r="P388" s="24">
        <v>78105.98</v>
      </c>
      <c r="Q388" s="27">
        <v>0.189</v>
      </c>
      <c r="R388" s="24">
        <v>70184196.879999995</v>
      </c>
      <c r="S388" s="24">
        <v>43830600.460000001</v>
      </c>
      <c r="T388" s="24">
        <v>1299238.8799999999</v>
      </c>
      <c r="U388" s="24">
        <v>3773765.74</v>
      </c>
      <c r="V388" s="24">
        <v>35369085.25</v>
      </c>
      <c r="W388">
        <f t="shared" si="114"/>
        <v>1.1959516987442887E-9</v>
      </c>
      <c r="X388">
        <f t="shared" si="115"/>
        <v>0.50394656948876382</v>
      </c>
      <c r="Y388" s="9"/>
    </row>
    <row r="389" spans="1:25">
      <c r="A389" s="21">
        <v>45517</v>
      </c>
      <c r="B389" s="24">
        <v>76.400000000000006</v>
      </c>
      <c r="C389" s="29">
        <f t="shared" si="108"/>
        <v>-2.741156506983341E-3</v>
      </c>
      <c r="D389" s="24">
        <f t="shared" si="113"/>
        <v>2.6048574082072319E-2</v>
      </c>
      <c r="E389" s="24">
        <v>77.42</v>
      </c>
      <c r="F389" s="24">
        <v>76</v>
      </c>
      <c r="G389" s="24">
        <f t="shared" si="109"/>
        <v>1.8511276235171445E-2</v>
      </c>
      <c r="H389" s="24">
        <v>76.69</v>
      </c>
      <c r="I389" s="24">
        <v>76.400000000000006</v>
      </c>
      <c r="J389" s="24">
        <f t="shared" si="110"/>
        <v>3.7886210725715857E-3</v>
      </c>
      <c r="K389" s="24">
        <v>145433</v>
      </c>
      <c r="L389" s="24">
        <v>335633933</v>
      </c>
      <c r="M389" s="24">
        <f t="shared" si="111"/>
        <v>11111081.200000001</v>
      </c>
      <c r="N389" s="24">
        <v>83908483</v>
      </c>
      <c r="O389" s="24">
        <f t="shared" si="112"/>
        <v>1.7332335754419491E-3</v>
      </c>
      <c r="P389" s="24">
        <v>77877.42</v>
      </c>
      <c r="Q389" s="27">
        <v>0.189</v>
      </c>
      <c r="R389" s="24">
        <v>70184196.879999995</v>
      </c>
      <c r="S389" s="24">
        <v>43830600.460000001</v>
      </c>
      <c r="T389" s="24">
        <v>1299238.8799999999</v>
      </c>
      <c r="U389" s="24">
        <v>3773765.74</v>
      </c>
      <c r="V389" s="24">
        <v>35369085.25</v>
      </c>
      <c r="W389">
        <f t="shared" si="114"/>
        <v>2.46704749757687E-10</v>
      </c>
      <c r="X389">
        <f t="shared" si="115"/>
        <v>0.50394656948876382</v>
      </c>
      <c r="Y389" s="9"/>
    </row>
    <row r="390" spans="1:25">
      <c r="A390" s="21">
        <v>45516</v>
      </c>
      <c r="B390" s="24">
        <v>76.61</v>
      </c>
      <c r="C390" s="29">
        <f t="shared" si="108"/>
        <v>-2.9761904761904691E-2</v>
      </c>
      <c r="D390" s="24">
        <f t="shared" si="113"/>
        <v>2.6048574082072319E-2</v>
      </c>
      <c r="E390" s="24">
        <v>79.989999999999995</v>
      </c>
      <c r="F390" s="24">
        <v>76</v>
      </c>
      <c r="G390" s="24">
        <f t="shared" si="109"/>
        <v>5.1157125456759982E-2</v>
      </c>
      <c r="H390" s="24">
        <v>76.489999999999995</v>
      </c>
      <c r="I390" s="24">
        <v>76.069999999999993</v>
      </c>
      <c r="J390" s="24">
        <f t="shared" si="110"/>
        <v>5.5060304142632629E-3</v>
      </c>
      <c r="K390" s="24">
        <v>218014</v>
      </c>
      <c r="L390" s="24">
        <v>335633933</v>
      </c>
      <c r="M390" s="24">
        <f t="shared" si="111"/>
        <v>16702052.539999999</v>
      </c>
      <c r="N390" s="24">
        <v>83908483</v>
      </c>
      <c r="O390" s="24">
        <f t="shared" si="112"/>
        <v>2.5982355085599628E-3</v>
      </c>
      <c r="P390" s="24">
        <v>77980.289999999994</v>
      </c>
      <c r="Q390" s="27">
        <v>0.189</v>
      </c>
      <c r="R390" s="24">
        <v>70184196.879999995</v>
      </c>
      <c r="S390" s="24">
        <v>43830600.460000001</v>
      </c>
      <c r="T390" s="24">
        <v>1299238.8799999999</v>
      </c>
      <c r="U390" s="24">
        <v>3773765.74</v>
      </c>
      <c r="V390" s="24">
        <v>35369085.25</v>
      </c>
      <c r="W390">
        <f t="shared" si="114"/>
        <v>1.7819309746887369E-9</v>
      </c>
      <c r="X390">
        <f t="shared" si="115"/>
        <v>0.50394656948876382</v>
      </c>
      <c r="Y390" s="9"/>
    </row>
    <row r="391" spans="1:25">
      <c r="A391" s="21">
        <v>45513</v>
      </c>
      <c r="B391" s="24">
        <v>78.959999999999994</v>
      </c>
      <c r="C391" s="29">
        <f t="shared" si="108"/>
        <v>-3.9106850006307842E-3</v>
      </c>
      <c r="D391" s="24">
        <f t="shared" si="113"/>
        <v>2.6048574082072319E-2</v>
      </c>
      <c r="E391" s="24">
        <v>80.47</v>
      </c>
      <c r="F391" s="24">
        <v>78.7</v>
      </c>
      <c r="G391" s="24">
        <f t="shared" si="109"/>
        <v>2.2240371929383624E-2</v>
      </c>
      <c r="H391" s="24">
        <v>78.849999999999994</v>
      </c>
      <c r="I391" s="24">
        <v>78.8</v>
      </c>
      <c r="J391" s="24">
        <f t="shared" si="110"/>
        <v>6.3431652394541278E-4</v>
      </c>
      <c r="K391" s="24">
        <v>198066</v>
      </c>
      <c r="L391" s="24">
        <v>335633933</v>
      </c>
      <c r="M391" s="24">
        <f t="shared" si="111"/>
        <v>15639291.359999999</v>
      </c>
      <c r="N391" s="24">
        <v>83908483</v>
      </c>
      <c r="O391" s="24">
        <f t="shared" si="112"/>
        <v>2.3605003084133935E-3</v>
      </c>
      <c r="P391" s="24">
        <v>78569.59</v>
      </c>
      <c r="Q391" s="27">
        <v>0.189</v>
      </c>
      <c r="R391" s="24">
        <v>70184196.879999995</v>
      </c>
      <c r="S391" s="24">
        <v>43830600.460000001</v>
      </c>
      <c r="T391" s="24">
        <v>1299238.8799999999</v>
      </c>
      <c r="U391" s="24">
        <v>3773765.74</v>
      </c>
      <c r="V391" s="24">
        <v>35369085.25</v>
      </c>
      <c r="W391">
        <f t="shared" si="114"/>
        <v>2.500551278578382E-10</v>
      </c>
      <c r="X391">
        <f t="shared" si="115"/>
        <v>0.50394656948876382</v>
      </c>
      <c r="Y391" s="9"/>
    </row>
    <row r="392" spans="1:25">
      <c r="A392" s="21">
        <v>45512</v>
      </c>
      <c r="B392" s="24">
        <v>79.27</v>
      </c>
      <c r="C392" s="29">
        <f t="shared" si="108"/>
        <v>6.2198527545061551E-3</v>
      </c>
      <c r="D392" s="24">
        <f t="shared" si="113"/>
        <v>2.6048574082072319E-2</v>
      </c>
      <c r="E392" s="24">
        <v>80.75</v>
      </c>
      <c r="F392" s="24">
        <v>79.010000000000005</v>
      </c>
      <c r="G392" s="24">
        <f t="shared" si="109"/>
        <v>2.178267401101646E-2</v>
      </c>
      <c r="H392" s="24">
        <v>79.5</v>
      </c>
      <c r="I392" s="24">
        <v>79.400000000000006</v>
      </c>
      <c r="J392" s="24">
        <f t="shared" si="110"/>
        <v>1.258653241032024E-3</v>
      </c>
      <c r="K392" s="24">
        <v>196544</v>
      </c>
      <c r="L392" s="24">
        <v>335633933</v>
      </c>
      <c r="M392" s="24">
        <f t="shared" si="111"/>
        <v>15580042.879999999</v>
      </c>
      <c r="N392" s="24">
        <v>83908483</v>
      </c>
      <c r="O392" s="24">
        <f t="shared" si="112"/>
        <v>2.3423614987771856E-3</v>
      </c>
      <c r="P392" s="24">
        <v>77874.22</v>
      </c>
      <c r="Q392" s="27">
        <v>0.189</v>
      </c>
      <c r="R392" s="24">
        <v>70184196.879999995</v>
      </c>
      <c r="S392" s="24">
        <v>43830600.460000001</v>
      </c>
      <c r="T392" s="24">
        <v>1299238.8799999999</v>
      </c>
      <c r="U392" s="24">
        <v>3773765.74</v>
      </c>
      <c r="V392" s="24">
        <v>35369085.25</v>
      </c>
      <c r="W392">
        <f t="shared" si="114"/>
        <v>3.9921923209149446E-10</v>
      </c>
      <c r="X392">
        <f t="shared" si="115"/>
        <v>0.50394656948876382</v>
      </c>
      <c r="Y392" s="9"/>
    </row>
    <row r="393" spans="1:25">
      <c r="A393" s="21">
        <v>45511</v>
      </c>
      <c r="B393" s="24">
        <v>78.78</v>
      </c>
      <c r="C393" s="29">
        <f t="shared" si="108"/>
        <v>8.8934061745657975E-4</v>
      </c>
      <c r="D393" s="24">
        <f t="shared" si="113"/>
        <v>2.6048574082072319E-2</v>
      </c>
      <c r="E393" s="24">
        <v>80.739999999999995</v>
      </c>
      <c r="F393" s="24">
        <v>78.010000000000005</v>
      </c>
      <c r="G393" s="24">
        <f t="shared" si="109"/>
        <v>3.4393700787401449E-2</v>
      </c>
      <c r="H393" s="24">
        <v>78.92</v>
      </c>
      <c r="I393" s="24">
        <v>78.900000000000006</v>
      </c>
      <c r="J393" s="24">
        <f t="shared" si="110"/>
        <v>2.5345330122919811E-4</v>
      </c>
      <c r="K393" s="24">
        <v>708293</v>
      </c>
      <c r="L393" s="24">
        <v>335633933</v>
      </c>
      <c r="M393" s="24">
        <f t="shared" si="111"/>
        <v>55799322.539999999</v>
      </c>
      <c r="N393" s="24">
        <v>83908483</v>
      </c>
      <c r="O393" s="24">
        <f t="shared" si="112"/>
        <v>8.4412561719176826E-3</v>
      </c>
      <c r="P393" s="24">
        <v>77114.490000000005</v>
      </c>
      <c r="Q393" s="27">
        <v>0.189</v>
      </c>
      <c r="R393" s="24">
        <v>70184196.879999995</v>
      </c>
      <c r="S393" s="24">
        <v>43830600.460000001</v>
      </c>
      <c r="T393" s="24">
        <v>1299238.8799999999</v>
      </c>
      <c r="U393" s="24">
        <v>3773765.74</v>
      </c>
      <c r="V393" s="24">
        <v>35369085.25</v>
      </c>
      <c r="W393">
        <f t="shared" si="114"/>
        <v>1.5938197400498042E-11</v>
      </c>
      <c r="X393">
        <f t="shared" si="115"/>
        <v>0.50394656948876382</v>
      </c>
      <c r="Y393" s="9"/>
    </row>
    <row r="394" spans="1:25">
      <c r="A394" s="21">
        <v>45510</v>
      </c>
      <c r="B394" s="24">
        <v>78.709999999999994</v>
      </c>
      <c r="C394" s="29">
        <f t="shared" si="108"/>
        <v>-3.5447525003165104E-3</v>
      </c>
      <c r="D394" s="24">
        <f t="shared" si="113"/>
        <v>2.6048574082072319E-2</v>
      </c>
      <c r="E394" s="24">
        <v>81.489999999999995</v>
      </c>
      <c r="F394" s="24">
        <v>77.5</v>
      </c>
      <c r="G394" s="24">
        <f t="shared" si="109"/>
        <v>5.0191835964526005E-2</v>
      </c>
      <c r="H394" s="24">
        <v>78.989999999999995</v>
      </c>
      <c r="I394" s="24">
        <v>78.760000000000005</v>
      </c>
      <c r="J394" s="24">
        <f t="shared" si="110"/>
        <v>2.9160063391440857E-3</v>
      </c>
      <c r="K394" s="24">
        <v>409925</v>
      </c>
      <c r="L394" s="24">
        <v>335633933</v>
      </c>
      <c r="M394" s="24">
        <f t="shared" si="111"/>
        <v>32265196.749999996</v>
      </c>
      <c r="N394" s="24">
        <v>83908483</v>
      </c>
      <c r="O394" s="24">
        <f t="shared" si="112"/>
        <v>4.8853820894366549E-3</v>
      </c>
      <c r="P394" s="24">
        <v>77191.34</v>
      </c>
      <c r="Q394" s="27">
        <v>0.19489999999999999</v>
      </c>
      <c r="R394" s="24">
        <v>70184196.879999995</v>
      </c>
      <c r="S394" s="24">
        <v>43830600.460000001</v>
      </c>
      <c r="T394" s="24">
        <v>1299238.8799999999</v>
      </c>
      <c r="U394" s="24">
        <v>3773765.74</v>
      </c>
      <c r="V394" s="24">
        <v>35369085.25</v>
      </c>
      <c r="W394">
        <f t="shared" si="114"/>
        <v>1.098630368747561E-10</v>
      </c>
      <c r="X394">
        <f t="shared" si="115"/>
        <v>0.50394656948876382</v>
      </c>
      <c r="Y394" s="9"/>
    </row>
    <row r="395" spans="1:25">
      <c r="A395" s="21">
        <v>45509</v>
      </c>
      <c r="B395" s="24">
        <v>78.989999999999995</v>
      </c>
      <c r="C395" s="29">
        <f t="shared" si="108"/>
        <v>-3.3643259114264745E-2</v>
      </c>
      <c r="D395" s="24">
        <f t="shared" si="113"/>
        <v>2.6048574082072319E-2</v>
      </c>
      <c r="E395" s="24">
        <v>81.5</v>
      </c>
      <c r="F395" s="24">
        <v>78.400000000000006</v>
      </c>
      <c r="G395" s="24">
        <f t="shared" si="109"/>
        <v>3.8774233896185041E-2</v>
      </c>
      <c r="H395" s="24">
        <v>79.95</v>
      </c>
      <c r="I395" s="24">
        <v>79.099999999999994</v>
      </c>
      <c r="J395" s="24">
        <f t="shared" si="110"/>
        <v>1.0688462747563765E-2</v>
      </c>
      <c r="K395" s="24">
        <v>277430</v>
      </c>
      <c r="L395" s="24">
        <v>335633933</v>
      </c>
      <c r="M395" s="24">
        <f t="shared" si="111"/>
        <v>21914195.699999999</v>
      </c>
      <c r="N395" s="24">
        <v>83908483</v>
      </c>
      <c r="O395" s="24">
        <f t="shared" si="112"/>
        <v>3.306340313648621E-3</v>
      </c>
      <c r="P395" s="24">
        <v>77084.490000000005</v>
      </c>
      <c r="Q395" s="27">
        <v>0.19489999999999999</v>
      </c>
      <c r="R395" s="24">
        <v>70184196.879999995</v>
      </c>
      <c r="S395" s="24">
        <v>43830600.460000001</v>
      </c>
      <c r="T395" s="24">
        <v>1299238.8799999999</v>
      </c>
      <c r="U395" s="24">
        <v>3773765.74</v>
      </c>
      <c r="V395" s="24">
        <v>35369085.25</v>
      </c>
      <c r="W395">
        <f t="shared" si="114"/>
        <v>1.5352267349818706E-9</v>
      </c>
      <c r="X395">
        <f t="shared" si="115"/>
        <v>0.50394656948876382</v>
      </c>
      <c r="Y395" s="9"/>
    </row>
    <row r="396" spans="1:25">
      <c r="A396" s="21">
        <v>45506</v>
      </c>
      <c r="B396" s="24">
        <v>81.739999999999995</v>
      </c>
      <c r="C396" s="29">
        <f t="shared" si="108"/>
        <v>-7.8893069547275839E-3</v>
      </c>
      <c r="D396" s="24">
        <f t="shared" si="113"/>
        <v>2.6048574082072319E-2</v>
      </c>
      <c r="E396" s="24">
        <v>84</v>
      </c>
      <c r="F396" s="24">
        <v>81.48</v>
      </c>
      <c r="G396" s="24">
        <f t="shared" si="109"/>
        <v>3.0456852791878122E-2</v>
      </c>
      <c r="H396" s="24">
        <v>81.8</v>
      </c>
      <c r="I396" s="24">
        <v>81.7</v>
      </c>
      <c r="J396" s="24">
        <f t="shared" si="110"/>
        <v>1.2232415902139978E-3</v>
      </c>
      <c r="K396" s="24">
        <v>661080</v>
      </c>
      <c r="L396" s="24">
        <v>335633933</v>
      </c>
      <c r="M396" s="24">
        <f t="shared" si="111"/>
        <v>54036679.199999996</v>
      </c>
      <c r="N396" s="24">
        <v>83908483</v>
      </c>
      <c r="O396" s="24">
        <f t="shared" si="112"/>
        <v>7.8785836230646673E-3</v>
      </c>
      <c r="P396" s="24">
        <v>78225.98</v>
      </c>
      <c r="Q396" s="27">
        <v>0.19489999999999999</v>
      </c>
      <c r="R396" s="24">
        <v>70184196.879999995</v>
      </c>
      <c r="S396" s="24">
        <v>43830600.460000001</v>
      </c>
      <c r="T396" s="24">
        <v>1299238.8799999999</v>
      </c>
      <c r="U396" s="24">
        <v>3773765.74</v>
      </c>
      <c r="V396" s="24">
        <v>35369085.25</v>
      </c>
      <c r="W396">
        <f t="shared" si="114"/>
        <v>1.4599910785649434E-10</v>
      </c>
      <c r="X396">
        <f t="shared" si="115"/>
        <v>0.50394656948876382</v>
      </c>
      <c r="Y396" s="9"/>
    </row>
    <row r="397" spans="1:25">
      <c r="A397" s="21">
        <v>45505</v>
      </c>
      <c r="B397" s="24">
        <v>82.39</v>
      </c>
      <c r="C397" s="29">
        <f t="shared" si="108"/>
        <v>1.0424331616384525E-2</v>
      </c>
      <c r="D397" s="24">
        <f t="shared" si="113"/>
        <v>2.6048574082072319E-2</v>
      </c>
      <c r="E397" s="24">
        <v>83.9</v>
      </c>
      <c r="F397" s="24">
        <v>80.02</v>
      </c>
      <c r="G397" s="24">
        <f t="shared" si="109"/>
        <v>4.7340165934602357E-2</v>
      </c>
      <c r="H397" s="24">
        <v>83.2</v>
      </c>
      <c r="I397" s="24">
        <v>83</v>
      </c>
      <c r="J397" s="24">
        <f t="shared" si="110"/>
        <v>2.406738868832766E-3</v>
      </c>
      <c r="K397" s="24">
        <v>218706</v>
      </c>
      <c r="L397" s="24">
        <v>335633933</v>
      </c>
      <c r="M397" s="24">
        <f t="shared" si="111"/>
        <v>18019187.34</v>
      </c>
      <c r="N397" s="24">
        <v>83908483</v>
      </c>
      <c r="O397" s="24">
        <f t="shared" si="112"/>
        <v>2.6064825888939026E-3</v>
      </c>
      <c r="P397" s="24">
        <v>77740.31</v>
      </c>
      <c r="Q397" s="27">
        <v>0.19489999999999999</v>
      </c>
      <c r="R397" s="24">
        <v>70184196.879999995</v>
      </c>
      <c r="S397" s="24">
        <v>43830600.460000001</v>
      </c>
      <c r="T397" s="24">
        <v>1299238.8799999999</v>
      </c>
      <c r="U397" s="24">
        <v>3773765.74</v>
      </c>
      <c r="V397" s="24">
        <v>35369085.25</v>
      </c>
      <c r="W397">
        <f t="shared" si="114"/>
        <v>5.785128607461676E-10</v>
      </c>
      <c r="X397">
        <f t="shared" si="115"/>
        <v>0.50394656948876382</v>
      </c>
      <c r="Y397" s="9"/>
    </row>
    <row r="398" spans="1:25">
      <c r="A398" s="21">
        <v>45504</v>
      </c>
      <c r="B398" s="24">
        <v>81.540000000000006</v>
      </c>
      <c r="C398" s="29">
        <f t="shared" si="108"/>
        <v>-1.9951923076923034E-2</v>
      </c>
      <c r="D398" s="24">
        <f t="shared" si="113"/>
        <v>2.6048574082072319E-2</v>
      </c>
      <c r="E398" s="24">
        <v>84.8</v>
      </c>
      <c r="F398" s="24">
        <v>80.16</v>
      </c>
      <c r="G398" s="24">
        <f t="shared" si="109"/>
        <v>5.6256062075654721E-2</v>
      </c>
      <c r="H398" s="24">
        <v>80.989999999999995</v>
      </c>
      <c r="I398" s="24">
        <v>80.5</v>
      </c>
      <c r="J398" s="24">
        <f t="shared" si="110"/>
        <v>6.0684872128304521E-3</v>
      </c>
      <c r="K398" s="24">
        <v>290723</v>
      </c>
      <c r="L398" s="24">
        <v>335633933</v>
      </c>
      <c r="M398" s="24">
        <f t="shared" si="111"/>
        <v>23705553.420000002</v>
      </c>
      <c r="N398" s="24">
        <v>83908483</v>
      </c>
      <c r="O398" s="24">
        <f t="shared" si="112"/>
        <v>3.4647629131848326E-3</v>
      </c>
      <c r="P398" s="24">
        <v>77886.990000000005</v>
      </c>
      <c r="Q398" s="27">
        <v>0.19489999999999999</v>
      </c>
      <c r="R398" s="24">
        <v>70184196.879999995</v>
      </c>
      <c r="S398" s="24">
        <v>43830600.460000001</v>
      </c>
      <c r="T398" s="24">
        <v>1299238.8799999999</v>
      </c>
      <c r="U398" s="24">
        <v>3773765.74</v>
      </c>
      <c r="V398" s="24">
        <v>35369085.25</v>
      </c>
      <c r="W398">
        <f t="shared" si="114"/>
        <v>8.4165607625468519E-10</v>
      </c>
      <c r="X398">
        <f t="shared" si="115"/>
        <v>0.50394656948876382</v>
      </c>
      <c r="Y398" s="9"/>
    </row>
    <row r="399" spans="1:25">
      <c r="A399" s="21">
        <v>45503</v>
      </c>
      <c r="B399" s="24">
        <v>83.2</v>
      </c>
      <c r="C399" s="29">
        <f t="shared" si="108"/>
        <v>-2.2326674500587444E-2</v>
      </c>
      <c r="D399" s="24">
        <f t="shared" si="113"/>
        <v>2.6048574082072319E-2</v>
      </c>
      <c r="E399" s="24">
        <v>87.48</v>
      </c>
      <c r="F399" s="24">
        <v>83</v>
      </c>
      <c r="G399" s="24">
        <f t="shared" si="109"/>
        <v>5.25574847489442E-2</v>
      </c>
      <c r="H399" s="24">
        <v>83.24</v>
      </c>
      <c r="I399" s="24">
        <v>83.15</v>
      </c>
      <c r="J399" s="24">
        <f t="shared" si="110"/>
        <v>1.0817957809963244E-3</v>
      </c>
      <c r="K399" s="24">
        <v>416369</v>
      </c>
      <c r="L399" s="24">
        <v>335633933</v>
      </c>
      <c r="M399" s="24">
        <f t="shared" si="111"/>
        <v>34641900.800000004</v>
      </c>
      <c r="N399" s="24">
        <v>83908483</v>
      </c>
      <c r="O399" s="24">
        <f t="shared" si="112"/>
        <v>4.96218004560993E-3</v>
      </c>
      <c r="P399" s="24">
        <v>78628.81</v>
      </c>
      <c r="Q399" s="27">
        <v>0.19489999999999999</v>
      </c>
      <c r="R399" s="24">
        <v>70184196.879999995</v>
      </c>
      <c r="S399" s="24">
        <v>43830600.460000001</v>
      </c>
      <c r="T399" s="24">
        <v>1299238.8799999999</v>
      </c>
      <c r="U399" s="24">
        <v>3773765.74</v>
      </c>
      <c r="V399" s="24">
        <v>35369085.25</v>
      </c>
      <c r="W399">
        <f t="shared" si="114"/>
        <v>6.4449911768662078E-10</v>
      </c>
      <c r="X399">
        <f t="shared" si="115"/>
        <v>0.50394656948876382</v>
      </c>
      <c r="Y399" s="9"/>
    </row>
    <row r="400" spans="1:25">
      <c r="A400" s="21">
        <v>45502</v>
      </c>
      <c r="B400" s="24">
        <v>85.1</v>
      </c>
      <c r="C400" s="29">
        <f t="shared" si="108"/>
        <v>1.3095238095238028E-2</v>
      </c>
      <c r="D400" s="24">
        <f t="shared" si="113"/>
        <v>2.6048574082072319E-2</v>
      </c>
      <c r="E400" s="24">
        <v>86.75</v>
      </c>
      <c r="F400" s="24">
        <v>84.32</v>
      </c>
      <c r="G400" s="24">
        <f t="shared" si="109"/>
        <v>2.8409423043198771E-2</v>
      </c>
      <c r="H400" s="24">
        <v>85.49</v>
      </c>
      <c r="I400" s="24">
        <v>85</v>
      </c>
      <c r="J400" s="24">
        <f t="shared" si="110"/>
        <v>5.7481377206873704E-3</v>
      </c>
      <c r="K400" s="24">
        <v>421151</v>
      </c>
      <c r="L400" s="24">
        <v>335633933</v>
      </c>
      <c r="M400" s="24">
        <f t="shared" si="111"/>
        <v>35839950.099999994</v>
      </c>
      <c r="N400" s="24">
        <v>83908483</v>
      </c>
      <c r="O400" s="24">
        <f t="shared" si="112"/>
        <v>5.0191707076863729E-3</v>
      </c>
      <c r="P400" s="24">
        <v>78827.740000000005</v>
      </c>
      <c r="Q400" s="27">
        <v>0.19489999999999999</v>
      </c>
      <c r="R400" s="24">
        <v>70184196.879999995</v>
      </c>
      <c r="S400" s="24">
        <v>43830600.460000001</v>
      </c>
      <c r="T400" s="24">
        <v>1299238.8799999999</v>
      </c>
      <c r="U400" s="24">
        <v>3773765.74</v>
      </c>
      <c r="V400" s="24">
        <v>35369085.25</v>
      </c>
      <c r="W400">
        <f t="shared" si="114"/>
        <v>3.6538103593057265E-10</v>
      </c>
      <c r="X400">
        <f t="shared" si="115"/>
        <v>0.50394656948876382</v>
      </c>
      <c r="Y400" s="9"/>
    </row>
    <row r="401" spans="1:25">
      <c r="A401" s="21">
        <v>45499</v>
      </c>
      <c r="B401" s="24">
        <v>84</v>
      </c>
      <c r="C401" s="29">
        <f t="shared" si="108"/>
        <v>-1.8806214227309888E-2</v>
      </c>
      <c r="D401" s="24">
        <f t="shared" si="113"/>
        <v>2.6048574082072319E-2</v>
      </c>
      <c r="E401" s="24">
        <v>87</v>
      </c>
      <c r="F401" s="24">
        <v>83.5</v>
      </c>
      <c r="G401" s="24">
        <f t="shared" si="109"/>
        <v>4.1055718475073312E-2</v>
      </c>
      <c r="H401" s="24">
        <v>84.48</v>
      </c>
      <c r="I401" s="24">
        <v>84.2</v>
      </c>
      <c r="J401" s="24">
        <f t="shared" si="110"/>
        <v>3.3198956604221144E-3</v>
      </c>
      <c r="K401" s="24">
        <v>797789</v>
      </c>
      <c r="L401" s="24">
        <v>335633933</v>
      </c>
      <c r="M401" s="24">
        <f t="shared" si="111"/>
        <v>67014276</v>
      </c>
      <c r="N401" s="24">
        <v>83908483</v>
      </c>
      <c r="O401" s="24">
        <f t="shared" si="112"/>
        <v>9.5078467811174714E-3</v>
      </c>
      <c r="P401" s="24">
        <v>78029.509999999995</v>
      </c>
      <c r="Q401" s="27">
        <v>0.19489999999999999</v>
      </c>
      <c r="R401" s="24">
        <v>70184196.879999995</v>
      </c>
      <c r="S401" s="24">
        <v>43830600.460000001</v>
      </c>
      <c r="T401" s="24">
        <v>1299238.8799999999</v>
      </c>
      <c r="U401" s="24">
        <v>3773765.74</v>
      </c>
      <c r="V401" s="24">
        <v>35369085.25</v>
      </c>
      <c r="W401">
        <f t="shared" si="114"/>
        <v>2.8062996946068456E-10</v>
      </c>
      <c r="X401">
        <f t="shared" si="115"/>
        <v>0.50394656948876382</v>
      </c>
      <c r="Y401" s="9"/>
    </row>
    <row r="402" spans="1:25">
      <c r="A402" s="21">
        <v>45498</v>
      </c>
      <c r="B402" s="24">
        <v>85.61</v>
      </c>
      <c r="C402" s="29">
        <f t="shared" si="108"/>
        <v>1.9897003745318552E-3</v>
      </c>
      <c r="D402" s="24">
        <f t="shared" si="113"/>
        <v>2.6048574082072319E-2</v>
      </c>
      <c r="E402" s="24">
        <v>86.5</v>
      </c>
      <c r="F402" s="24">
        <v>84.1</v>
      </c>
      <c r="G402" s="24">
        <f t="shared" si="109"/>
        <v>2.8135990621336527E-2</v>
      </c>
      <c r="H402" s="24">
        <v>85.7</v>
      </c>
      <c r="I402" s="24">
        <v>84.71</v>
      </c>
      <c r="J402" s="24">
        <f t="shared" si="110"/>
        <v>1.1619036441523492E-2</v>
      </c>
      <c r="K402" s="24">
        <v>128317</v>
      </c>
      <c r="L402" s="24">
        <v>335633933</v>
      </c>
      <c r="M402" s="24">
        <f t="shared" si="111"/>
        <v>10985218.369999999</v>
      </c>
      <c r="N402" s="24">
        <v>83908483</v>
      </c>
      <c r="O402" s="24">
        <f t="shared" si="112"/>
        <v>1.529249432384566E-3</v>
      </c>
      <c r="P402" s="24">
        <v>78469.33</v>
      </c>
      <c r="Q402" s="27">
        <v>0.19489999999999999</v>
      </c>
      <c r="R402" s="24">
        <v>70184196.879999995</v>
      </c>
      <c r="S402" s="24">
        <v>43830600.460000001</v>
      </c>
      <c r="T402" s="24">
        <v>1299238.8799999999</v>
      </c>
      <c r="U402" s="24">
        <v>3773765.74</v>
      </c>
      <c r="V402" s="24">
        <v>35369085.25</v>
      </c>
      <c r="W402">
        <f t="shared" si="114"/>
        <v>1.8112524553591149E-10</v>
      </c>
      <c r="X402">
        <f t="shared" si="115"/>
        <v>0.50394656948876382</v>
      </c>
      <c r="Y402" s="9"/>
    </row>
    <row r="403" spans="1:25">
      <c r="A403" s="21">
        <v>45497</v>
      </c>
      <c r="B403" s="24">
        <v>85.44</v>
      </c>
      <c r="C403" s="29">
        <f t="shared" si="108"/>
        <v>-4.775771694816501E-3</v>
      </c>
      <c r="D403" s="24">
        <f t="shared" si="113"/>
        <v>2.6048574082072319E-2</v>
      </c>
      <c r="E403" s="24">
        <v>86.74</v>
      </c>
      <c r="F403" s="24">
        <v>85</v>
      </c>
      <c r="G403" s="24">
        <f t="shared" si="109"/>
        <v>2.0263188540817455E-2</v>
      </c>
      <c r="H403" s="24">
        <v>85.9</v>
      </c>
      <c r="I403" s="24">
        <v>85.55</v>
      </c>
      <c r="J403" s="24">
        <f t="shared" si="110"/>
        <v>4.0828229804608755E-3</v>
      </c>
      <c r="K403" s="24">
        <v>156312</v>
      </c>
      <c r="L403" s="24">
        <v>335633933</v>
      </c>
      <c r="M403" s="24">
        <f t="shared" si="111"/>
        <v>13355297.279999999</v>
      </c>
      <c r="N403" s="24">
        <v>83908483</v>
      </c>
      <c r="O403" s="24">
        <f t="shared" si="112"/>
        <v>1.8628867357785505E-3</v>
      </c>
      <c r="P403" s="24">
        <v>79397.009999999995</v>
      </c>
      <c r="Q403" s="27">
        <v>0.19489999999999999</v>
      </c>
      <c r="R403" s="24">
        <v>70184196.879999995</v>
      </c>
      <c r="S403" s="24">
        <v>43830600.460000001</v>
      </c>
      <c r="T403" s="24">
        <v>1299238.8799999999</v>
      </c>
      <c r="U403" s="24">
        <v>3773765.74</v>
      </c>
      <c r="V403" s="24">
        <v>35369085.25</v>
      </c>
      <c r="W403">
        <f t="shared" si="114"/>
        <v>3.5759381425139652E-10</v>
      </c>
      <c r="X403">
        <f t="shared" si="115"/>
        <v>0.50394656948876382</v>
      </c>
      <c r="Y403" s="9"/>
    </row>
    <row r="404" spans="1:25">
      <c r="A404" s="21">
        <v>45496</v>
      </c>
      <c r="B404" s="24">
        <v>85.85</v>
      </c>
      <c r="C404" s="29">
        <f t="shared" si="108"/>
        <v>2.0687195339436391E-2</v>
      </c>
      <c r="D404" s="24">
        <f t="shared" si="113"/>
        <v>2.6048574082072319E-2</v>
      </c>
      <c r="E404" s="24">
        <v>86.5</v>
      </c>
      <c r="F404" s="24">
        <v>84.25</v>
      </c>
      <c r="G404" s="24">
        <f t="shared" si="109"/>
        <v>2.6354319180087848E-2</v>
      </c>
      <c r="H404" s="24">
        <v>86.15</v>
      </c>
      <c r="I404" s="24">
        <v>86</v>
      </c>
      <c r="J404" s="24">
        <f t="shared" si="110"/>
        <v>1.7426662794075595E-3</v>
      </c>
      <c r="K404" s="24">
        <v>344473</v>
      </c>
      <c r="L404" s="24">
        <v>335633933</v>
      </c>
      <c r="M404" s="24">
        <f t="shared" si="111"/>
        <v>29573007.049999997</v>
      </c>
      <c r="N404" s="24">
        <v>83908483</v>
      </c>
      <c r="O404" s="24">
        <f t="shared" si="112"/>
        <v>4.1053417686028239E-3</v>
      </c>
      <c r="P404" s="24">
        <v>78987.09</v>
      </c>
      <c r="Q404" s="27">
        <v>0.19489999999999999</v>
      </c>
      <c r="R404" s="24">
        <v>70184196.879999995</v>
      </c>
      <c r="S404" s="24">
        <v>43830600.460000001</v>
      </c>
      <c r="T404" s="24">
        <v>1299238.8799999999</v>
      </c>
      <c r="U404" s="24">
        <v>3773765.74</v>
      </c>
      <c r="V404" s="24">
        <v>35369085.25</v>
      </c>
      <c r="W404">
        <f t="shared" si="114"/>
        <v>6.995296523096184E-10</v>
      </c>
      <c r="X404">
        <f t="shared" si="115"/>
        <v>0.50394656948876382</v>
      </c>
      <c r="Y404" s="9"/>
    </row>
    <row r="405" spans="1:25" ht="15" thickBot="1">
      <c r="A405" s="21">
        <v>45495</v>
      </c>
      <c r="B405" s="24">
        <v>84.11</v>
      </c>
      <c r="C405" s="29">
        <f>IFERROR((B405-#REF!)/#REF!,0)</f>
        <v>0</v>
      </c>
      <c r="D405" s="24">
        <f t="shared" si="113"/>
        <v>2.6048574082072319E-2</v>
      </c>
      <c r="E405" s="24">
        <v>88.88</v>
      </c>
      <c r="F405" s="24">
        <v>84</v>
      </c>
      <c r="G405" s="24">
        <f t="shared" si="109"/>
        <v>5.6455344747801894E-2</v>
      </c>
      <c r="H405" s="24">
        <v>84.89</v>
      </c>
      <c r="I405" s="24">
        <v>84.65</v>
      </c>
      <c r="J405" s="24">
        <f t="shared" si="110"/>
        <v>2.8311902795799793E-3</v>
      </c>
      <c r="K405" s="24">
        <v>649213</v>
      </c>
      <c r="L405" s="24">
        <v>335633933</v>
      </c>
      <c r="M405" s="24">
        <f t="shared" si="111"/>
        <v>54605305.43</v>
      </c>
      <c r="N405" s="24">
        <v>83908483</v>
      </c>
      <c r="O405" s="24">
        <f t="shared" si="112"/>
        <v>7.7371557295345212E-3</v>
      </c>
      <c r="P405" s="24">
        <v>78539.19</v>
      </c>
      <c r="Q405" s="27">
        <v>0.19489999999999999</v>
      </c>
      <c r="R405" s="24">
        <v>70184196.879999995</v>
      </c>
      <c r="S405" s="24">
        <v>43830600.460000001</v>
      </c>
      <c r="T405" s="24">
        <v>1299238.8799999999</v>
      </c>
      <c r="U405" s="24">
        <v>3773765.74</v>
      </c>
      <c r="V405" s="24">
        <v>35369085.25</v>
      </c>
      <c r="W405">
        <f t="shared" si="114"/>
        <v>0</v>
      </c>
      <c r="X405">
        <f t="shared" si="115"/>
        <v>0.50394656948876382</v>
      </c>
      <c r="Y405" s="9"/>
    </row>
    <row r="406" spans="1:25" ht="16" thickBot="1">
      <c r="A406" s="184" t="s">
        <v>46</v>
      </c>
      <c r="B406" s="185"/>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6"/>
      <c r="Y406" s="9"/>
    </row>
    <row r="407" spans="1:25" ht="43.5">
      <c r="A407" s="1" t="s">
        <v>14</v>
      </c>
      <c r="B407" s="2" t="s">
        <v>15</v>
      </c>
      <c r="C407" s="4" t="s">
        <v>16</v>
      </c>
      <c r="D407" s="4" t="s">
        <v>17</v>
      </c>
      <c r="E407" s="1" t="s">
        <v>0</v>
      </c>
      <c r="F407" s="1" t="s">
        <v>13</v>
      </c>
      <c r="G407" s="7" t="s">
        <v>18</v>
      </c>
      <c r="H407" s="1" t="s">
        <v>12</v>
      </c>
      <c r="I407" s="1" t="s">
        <v>1</v>
      </c>
      <c r="J407" s="7" t="s">
        <v>19</v>
      </c>
      <c r="K407" s="2" t="s">
        <v>2</v>
      </c>
      <c r="L407" s="2" t="s">
        <v>3</v>
      </c>
      <c r="M407" s="7" t="s">
        <v>20</v>
      </c>
      <c r="N407" s="2" t="s">
        <v>4</v>
      </c>
      <c r="O407" s="7" t="s">
        <v>21</v>
      </c>
      <c r="P407" s="2" t="s">
        <v>5</v>
      </c>
      <c r="Q407" s="2" t="s">
        <v>6</v>
      </c>
      <c r="R407" s="2" t="s">
        <v>7</v>
      </c>
      <c r="S407" s="2" t="s">
        <v>8</v>
      </c>
      <c r="T407" s="2" t="s">
        <v>9</v>
      </c>
      <c r="U407" s="2" t="s">
        <v>10</v>
      </c>
      <c r="V407" s="2" t="s">
        <v>11</v>
      </c>
      <c r="W407" s="7" t="s">
        <v>73</v>
      </c>
      <c r="X407" s="7" t="s">
        <v>72</v>
      </c>
      <c r="Y407" s="9"/>
    </row>
    <row r="408" spans="1:25">
      <c r="A408" s="33">
        <v>45555</v>
      </c>
      <c r="B408" s="38">
        <v>7.21</v>
      </c>
      <c r="C408" s="23">
        <f t="shared" ref="C408:C449" si="116">IFERROR((B408-B409)/B409,0)</f>
        <v>8.3916083916083361E-3</v>
      </c>
      <c r="D408">
        <f>_xlfn.STDEV.S($C$408:$C$450)</f>
        <v>2.3812959257227661E-2</v>
      </c>
      <c r="E408" s="38">
        <v>7.21</v>
      </c>
      <c r="F408" s="38">
        <v>7.2</v>
      </c>
      <c r="G408" s="22">
        <f t="shared" ref="G408:G450" si="117">IFERROR((E408-F408)/((E408+F408)/2),0)</f>
        <v>1.3879250520471599E-3</v>
      </c>
      <c r="H408" s="38">
        <v>7.27</v>
      </c>
      <c r="I408" s="38">
        <v>7.2</v>
      </c>
      <c r="J408" s="22">
        <f t="shared" ref="J408:J450" si="118">IFERROR((H408-I408)/((H408+I408)/2),0)</f>
        <v>9.6751900483758677E-3</v>
      </c>
      <c r="K408" s="35">
        <v>3607</v>
      </c>
      <c r="L408" s="37">
        <f>15*1000000</f>
        <v>15000000</v>
      </c>
      <c r="M408">
        <f>B408*K408</f>
        <v>26006.47</v>
      </c>
      <c r="N408" s="37">
        <f>11.88*1000000</f>
        <v>11880000</v>
      </c>
      <c r="O408">
        <f>IFERROR(K408/N408,0)</f>
        <v>3.0361952861952861E-4</v>
      </c>
      <c r="P408" s="24">
        <v>82074.45</v>
      </c>
      <c r="Q408" s="9">
        <v>0.1741</v>
      </c>
      <c r="R408" s="37">
        <f>219.24*1000000</f>
        <v>219240000</v>
      </c>
      <c r="S408" s="37">
        <f>33.14*1000000</f>
        <v>33140000</v>
      </c>
      <c r="T408" s="37">
        <f>-10.03*1000000</f>
        <v>-10030000</v>
      </c>
      <c r="U408" s="37">
        <f>43.73*1000000</f>
        <v>43730000</v>
      </c>
      <c r="V408" s="37">
        <f>43.73*1000000</f>
        <v>43730000</v>
      </c>
      <c r="W408">
        <f>IFERROR(ABS(C408)/M408,"0")</f>
        <v>3.2267387275583098E-7</v>
      </c>
      <c r="X408">
        <f>V408/R408</f>
        <v>0.19946177704798396</v>
      </c>
      <c r="Y408" s="9"/>
    </row>
    <row r="409" spans="1:25">
      <c r="A409" s="33">
        <v>45554</v>
      </c>
      <c r="B409" s="38">
        <v>7.15</v>
      </c>
      <c r="C409" s="23">
        <f t="shared" si="116"/>
        <v>-1.2430939226519317E-2</v>
      </c>
      <c r="D409">
        <f t="shared" ref="D409:D450" si="119">_xlfn.STDEV.S($C$408:$C$450)</f>
        <v>2.3812959257227661E-2</v>
      </c>
      <c r="E409" s="38">
        <v>7.35</v>
      </c>
      <c r="F409" s="38">
        <v>7.12</v>
      </c>
      <c r="G409" s="22">
        <f t="shared" si="117"/>
        <v>3.178991015894949E-2</v>
      </c>
      <c r="H409" s="38">
        <v>7.25</v>
      </c>
      <c r="I409" s="38">
        <v>7.15</v>
      </c>
      <c r="J409" s="22">
        <f t="shared" si="118"/>
        <v>1.388888888888884E-2</v>
      </c>
      <c r="K409" s="35">
        <v>3872</v>
      </c>
      <c r="L409" s="37">
        <f t="shared" ref="L409:L450" si="120">15*1000000</f>
        <v>15000000</v>
      </c>
      <c r="M409">
        <f t="shared" ref="M409:M450" si="121">B409*K409</f>
        <v>27684.800000000003</v>
      </c>
      <c r="N409" s="37">
        <f t="shared" ref="N409:N450" si="122">11.88*1000000</f>
        <v>11880000</v>
      </c>
      <c r="O409">
        <f t="shared" ref="O409:O450" si="123">IFERROR(K409/N409,0)</f>
        <v>3.2592592592592591E-4</v>
      </c>
      <c r="P409" s="24">
        <v>81459.289999999994</v>
      </c>
      <c r="Q409" s="9">
        <v>0.1741</v>
      </c>
      <c r="R409" s="37">
        <f t="shared" ref="R409:R450" si="124">219.24*1000000</f>
        <v>219240000</v>
      </c>
      <c r="S409" s="37">
        <f t="shared" ref="S409:S450" si="125">33.14*1000000</f>
        <v>33140000</v>
      </c>
      <c r="T409" s="37">
        <f t="shared" ref="T409:T450" si="126">-10.03*1000000</f>
        <v>-10030000</v>
      </c>
      <c r="U409" s="37">
        <f t="shared" ref="U409:V450" si="127">43.73*1000000</f>
        <v>43730000</v>
      </c>
      <c r="V409" s="37">
        <f t="shared" si="127"/>
        <v>43730000</v>
      </c>
      <c r="W409">
        <f t="shared" ref="W409:W450" si="128">IFERROR(ABS(C409)/M409,"0")</f>
        <v>4.4901676105730642E-7</v>
      </c>
      <c r="X409">
        <f t="shared" ref="X409:X450" si="129">V409/R409</f>
        <v>0.19946177704798396</v>
      </c>
      <c r="Y409" s="9"/>
    </row>
    <row r="410" spans="1:25">
      <c r="A410" s="33">
        <v>45553</v>
      </c>
      <c r="B410" s="38">
        <v>7.24</v>
      </c>
      <c r="C410" s="23">
        <f t="shared" si="116"/>
        <v>1.2587412587412567E-2</v>
      </c>
      <c r="D410">
        <f t="shared" si="119"/>
        <v>2.3812959257227661E-2</v>
      </c>
      <c r="E410" s="38">
        <v>7.39</v>
      </c>
      <c r="F410" s="38">
        <v>7.1</v>
      </c>
      <c r="G410" s="22">
        <f t="shared" si="117"/>
        <v>4.0027605244996559E-2</v>
      </c>
      <c r="H410" s="38">
        <v>7.35</v>
      </c>
      <c r="I410" s="38">
        <v>7.14</v>
      </c>
      <c r="J410" s="22">
        <f t="shared" si="118"/>
        <v>2.8985507246376808E-2</v>
      </c>
      <c r="K410" s="35">
        <v>23295</v>
      </c>
      <c r="L410" s="37">
        <f t="shared" si="120"/>
        <v>15000000</v>
      </c>
      <c r="M410">
        <f t="shared" si="121"/>
        <v>168655.80000000002</v>
      </c>
      <c r="N410" s="37">
        <f t="shared" si="122"/>
        <v>11880000</v>
      </c>
      <c r="O410">
        <f t="shared" si="123"/>
        <v>1.9608585858585858E-3</v>
      </c>
      <c r="P410" s="24">
        <v>80461.34</v>
      </c>
      <c r="Q410" s="9">
        <v>0.1741</v>
      </c>
      <c r="R410" s="37">
        <f t="shared" si="124"/>
        <v>219240000</v>
      </c>
      <c r="S410" s="37">
        <f t="shared" si="125"/>
        <v>33140000</v>
      </c>
      <c r="T410" s="37">
        <f t="shared" si="126"/>
        <v>-10030000</v>
      </c>
      <c r="U410" s="37">
        <f t="shared" si="127"/>
        <v>43730000</v>
      </c>
      <c r="V410" s="37">
        <f t="shared" si="127"/>
        <v>43730000</v>
      </c>
      <c r="W410">
        <f t="shared" si="128"/>
        <v>7.4633736802485103E-8</v>
      </c>
      <c r="X410">
        <f t="shared" si="129"/>
        <v>0.19946177704798396</v>
      </c>
      <c r="Y410" s="9"/>
    </row>
    <row r="411" spans="1:25">
      <c r="A411" s="33">
        <v>45551</v>
      </c>
      <c r="B411" s="38">
        <v>7.15</v>
      </c>
      <c r="C411" s="23">
        <f t="shared" si="116"/>
        <v>0</v>
      </c>
      <c r="D411">
        <f t="shared" si="119"/>
        <v>2.3812959257227661E-2</v>
      </c>
      <c r="E411" s="38">
        <v>7.29</v>
      </c>
      <c r="F411" s="38">
        <v>7.2</v>
      </c>
      <c r="G411" s="22">
        <f t="shared" si="117"/>
        <v>1.2422360248447185E-2</v>
      </c>
      <c r="H411" s="38">
        <v>7.25</v>
      </c>
      <c r="I411" s="38">
        <v>7.14</v>
      </c>
      <c r="J411" s="22">
        <f t="shared" si="118"/>
        <v>1.5288394718554596E-2</v>
      </c>
      <c r="K411" s="35">
        <v>504</v>
      </c>
      <c r="L411" s="37">
        <f t="shared" si="120"/>
        <v>15000000</v>
      </c>
      <c r="M411">
        <f t="shared" si="121"/>
        <v>3603.6000000000004</v>
      </c>
      <c r="N411" s="37">
        <f t="shared" si="122"/>
        <v>11880000</v>
      </c>
      <c r="O411">
        <f t="shared" si="123"/>
        <v>4.2424242424242423E-5</v>
      </c>
      <c r="P411" s="24">
        <v>79491.14</v>
      </c>
      <c r="Q411" s="9">
        <v>0.1741</v>
      </c>
      <c r="R411" s="37">
        <f t="shared" si="124"/>
        <v>219240000</v>
      </c>
      <c r="S411" s="37">
        <f t="shared" si="125"/>
        <v>33140000</v>
      </c>
      <c r="T411" s="37">
        <f t="shared" si="126"/>
        <v>-10030000</v>
      </c>
      <c r="U411" s="37">
        <f t="shared" si="127"/>
        <v>43730000</v>
      </c>
      <c r="V411" s="37">
        <f t="shared" si="127"/>
        <v>43730000</v>
      </c>
      <c r="W411">
        <f t="shared" si="128"/>
        <v>0</v>
      </c>
      <c r="X411">
        <f t="shared" si="129"/>
        <v>0.19946177704798396</v>
      </c>
      <c r="Y411" s="9"/>
    </row>
    <row r="412" spans="1:25">
      <c r="A412" s="33">
        <v>45548</v>
      </c>
      <c r="B412" s="38">
        <v>7.15</v>
      </c>
      <c r="C412" s="23">
        <f t="shared" si="116"/>
        <v>-6.9444444444444198E-3</v>
      </c>
      <c r="D412">
        <f t="shared" si="119"/>
        <v>2.3812959257227661E-2</v>
      </c>
      <c r="E412" s="38">
        <v>7.3</v>
      </c>
      <c r="F412" s="38">
        <v>7.11</v>
      </c>
      <c r="G412" s="22">
        <f t="shared" si="117"/>
        <v>2.6370575988896531E-2</v>
      </c>
      <c r="H412" s="38">
        <v>7.15</v>
      </c>
      <c r="I412" s="38">
        <v>7.13</v>
      </c>
      <c r="J412" s="22">
        <f t="shared" si="118"/>
        <v>2.8011204481793364E-3</v>
      </c>
      <c r="K412" s="35">
        <v>36456</v>
      </c>
      <c r="L412" s="37">
        <f t="shared" si="120"/>
        <v>15000000</v>
      </c>
      <c r="M412">
        <f t="shared" si="121"/>
        <v>260660.40000000002</v>
      </c>
      <c r="N412" s="37">
        <f t="shared" si="122"/>
        <v>11880000</v>
      </c>
      <c r="O412">
        <f t="shared" si="123"/>
        <v>3.0686868686868687E-3</v>
      </c>
      <c r="P412" s="24">
        <v>79333.06</v>
      </c>
      <c r="Q412" s="9">
        <v>0.1741</v>
      </c>
      <c r="R412" s="37">
        <f t="shared" si="124"/>
        <v>219240000</v>
      </c>
      <c r="S412" s="37">
        <f t="shared" si="125"/>
        <v>33140000</v>
      </c>
      <c r="T412" s="37">
        <f t="shared" si="126"/>
        <v>-10030000</v>
      </c>
      <c r="U412" s="37">
        <f t="shared" si="127"/>
        <v>43730000</v>
      </c>
      <c r="V412" s="37">
        <f t="shared" si="127"/>
        <v>43730000</v>
      </c>
      <c r="W412">
        <f t="shared" si="128"/>
        <v>2.6641731710856038E-8</v>
      </c>
      <c r="X412">
        <f t="shared" si="129"/>
        <v>0.19946177704798396</v>
      </c>
      <c r="Y412" s="9"/>
    </row>
    <row r="413" spans="1:25">
      <c r="A413" s="33">
        <v>45547</v>
      </c>
      <c r="B413" s="38">
        <v>7.2</v>
      </c>
      <c r="C413" s="23">
        <f t="shared" si="116"/>
        <v>2.7855153203343265E-3</v>
      </c>
      <c r="D413">
        <f t="shared" si="119"/>
        <v>2.3812959257227661E-2</v>
      </c>
      <c r="E413" s="38">
        <v>7.33</v>
      </c>
      <c r="F413" s="38">
        <v>7.06</v>
      </c>
      <c r="G413" s="22">
        <f t="shared" si="117"/>
        <v>3.7526059763724869E-2</v>
      </c>
      <c r="H413" s="38">
        <v>7.2</v>
      </c>
      <c r="I413" s="38">
        <v>7.18</v>
      </c>
      <c r="J413" s="22">
        <f t="shared" si="118"/>
        <v>2.7816411682893552E-3</v>
      </c>
      <c r="K413" s="35">
        <v>6702</v>
      </c>
      <c r="L413" s="37">
        <f t="shared" si="120"/>
        <v>15000000</v>
      </c>
      <c r="M413">
        <f t="shared" si="121"/>
        <v>48254.400000000001</v>
      </c>
      <c r="N413" s="37">
        <f t="shared" si="122"/>
        <v>11880000</v>
      </c>
      <c r="O413">
        <f t="shared" si="123"/>
        <v>5.6414141414141419E-4</v>
      </c>
      <c r="P413" s="24">
        <v>79017.62</v>
      </c>
      <c r="Q413" s="9">
        <v>0.1741</v>
      </c>
      <c r="R413" s="37">
        <f t="shared" si="124"/>
        <v>219240000</v>
      </c>
      <c r="S413" s="37">
        <f t="shared" si="125"/>
        <v>33140000</v>
      </c>
      <c r="T413" s="37">
        <f t="shared" si="126"/>
        <v>-10030000</v>
      </c>
      <c r="U413" s="37">
        <f t="shared" si="127"/>
        <v>43730000</v>
      </c>
      <c r="V413" s="37">
        <f t="shared" si="127"/>
        <v>43730000</v>
      </c>
      <c r="W413">
        <f t="shared" si="128"/>
        <v>5.7725623369772007E-8</v>
      </c>
      <c r="X413">
        <f t="shared" si="129"/>
        <v>0.19946177704798396</v>
      </c>
      <c r="Y413" s="9"/>
    </row>
    <row r="414" spans="1:25">
      <c r="A414" s="33">
        <v>45546</v>
      </c>
      <c r="B414" s="38">
        <v>7.18</v>
      </c>
      <c r="C414" s="23">
        <f t="shared" si="116"/>
        <v>1.3947001394699842E-3</v>
      </c>
      <c r="D414">
        <f t="shared" si="119"/>
        <v>2.3812959257227661E-2</v>
      </c>
      <c r="E414" s="38">
        <v>7.27</v>
      </c>
      <c r="F414" s="38">
        <v>7.07</v>
      </c>
      <c r="G414" s="22">
        <f t="shared" si="117"/>
        <v>2.7894002789400182E-2</v>
      </c>
      <c r="H414" s="38">
        <v>7.17</v>
      </c>
      <c r="I414" s="38">
        <v>7.1</v>
      </c>
      <c r="J414" s="22">
        <f t="shared" si="118"/>
        <v>9.810791871058204E-3</v>
      </c>
      <c r="K414" s="35">
        <v>7872</v>
      </c>
      <c r="L414" s="37">
        <f t="shared" si="120"/>
        <v>15000000</v>
      </c>
      <c r="M414">
        <f t="shared" si="121"/>
        <v>56520.959999999999</v>
      </c>
      <c r="N414" s="37">
        <f t="shared" si="122"/>
        <v>11880000</v>
      </c>
      <c r="O414">
        <f t="shared" si="123"/>
        <v>6.6262626262626268E-4</v>
      </c>
      <c r="P414" s="24">
        <v>78651.8</v>
      </c>
      <c r="Q414" s="9">
        <v>0.1741</v>
      </c>
      <c r="R414" s="37">
        <f t="shared" si="124"/>
        <v>219240000</v>
      </c>
      <c r="S414" s="37">
        <f t="shared" si="125"/>
        <v>33140000</v>
      </c>
      <c r="T414" s="37">
        <f t="shared" si="126"/>
        <v>-10030000</v>
      </c>
      <c r="U414" s="37">
        <f t="shared" si="127"/>
        <v>43730000</v>
      </c>
      <c r="V414" s="37">
        <f t="shared" si="127"/>
        <v>43730000</v>
      </c>
      <c r="W414">
        <f t="shared" si="128"/>
        <v>2.4675804152476961E-8</v>
      </c>
      <c r="X414">
        <f t="shared" si="129"/>
        <v>0.19946177704798396</v>
      </c>
      <c r="Y414" s="9"/>
    </row>
    <row r="415" spans="1:25">
      <c r="A415" s="33">
        <v>45545</v>
      </c>
      <c r="B415" s="38">
        <v>7.17</v>
      </c>
      <c r="C415" s="23">
        <f t="shared" si="116"/>
        <v>-4.1666666666667013E-3</v>
      </c>
      <c r="D415">
        <f t="shared" si="119"/>
        <v>2.3812959257227661E-2</v>
      </c>
      <c r="E415" s="38">
        <v>7.29</v>
      </c>
      <c r="F415" s="38">
        <v>7.15</v>
      </c>
      <c r="G415" s="22">
        <f t="shared" si="117"/>
        <v>1.9390581717451477E-2</v>
      </c>
      <c r="H415" s="38">
        <v>7.2</v>
      </c>
      <c r="I415" s="38">
        <v>7.15</v>
      </c>
      <c r="J415" s="22">
        <f t="shared" si="118"/>
        <v>6.9686411149825532E-3</v>
      </c>
      <c r="K415" s="35">
        <v>6100</v>
      </c>
      <c r="L415" s="37">
        <f t="shared" si="120"/>
        <v>15000000</v>
      </c>
      <c r="M415">
        <f t="shared" si="121"/>
        <v>43737</v>
      </c>
      <c r="N415" s="37">
        <f t="shared" si="122"/>
        <v>11880000</v>
      </c>
      <c r="O415">
        <f t="shared" si="123"/>
        <v>5.1346801346801349E-4</v>
      </c>
      <c r="P415" s="24">
        <v>79286.740000000005</v>
      </c>
      <c r="Q415" s="9">
        <v>0.1741</v>
      </c>
      <c r="R415" s="37">
        <f t="shared" si="124"/>
        <v>219240000</v>
      </c>
      <c r="S415" s="37">
        <f t="shared" si="125"/>
        <v>33140000</v>
      </c>
      <c r="T415" s="37">
        <f t="shared" si="126"/>
        <v>-10030000</v>
      </c>
      <c r="U415" s="37">
        <f t="shared" si="127"/>
        <v>43730000</v>
      </c>
      <c r="V415" s="37">
        <f t="shared" si="127"/>
        <v>43730000</v>
      </c>
      <c r="W415">
        <f t="shared" si="128"/>
        <v>9.526640296926404E-8</v>
      </c>
      <c r="X415">
        <f t="shared" si="129"/>
        <v>0.19946177704798396</v>
      </c>
      <c r="Y415" s="9"/>
    </row>
    <row r="416" spans="1:25">
      <c r="A416" s="33">
        <v>45544</v>
      </c>
      <c r="B416" s="38">
        <v>7.2</v>
      </c>
      <c r="C416" s="23">
        <f t="shared" si="116"/>
        <v>-1.3698630136986254E-2</v>
      </c>
      <c r="D416">
        <f t="shared" si="119"/>
        <v>2.3812959257227661E-2</v>
      </c>
      <c r="E416" s="38">
        <v>7.3</v>
      </c>
      <c r="F416" s="38">
        <v>7.06</v>
      </c>
      <c r="G416" s="22">
        <f t="shared" si="117"/>
        <v>3.3426183844011172E-2</v>
      </c>
      <c r="H416" s="38">
        <v>7.25</v>
      </c>
      <c r="I416" s="38">
        <v>7.15</v>
      </c>
      <c r="J416" s="22">
        <f t="shared" si="118"/>
        <v>1.388888888888884E-2</v>
      </c>
      <c r="K416" s="35">
        <v>5500</v>
      </c>
      <c r="L416" s="37">
        <f t="shared" si="120"/>
        <v>15000000</v>
      </c>
      <c r="M416">
        <f t="shared" si="121"/>
        <v>39600</v>
      </c>
      <c r="N416" s="37">
        <f t="shared" si="122"/>
        <v>11880000</v>
      </c>
      <c r="O416">
        <f t="shared" si="123"/>
        <v>4.6296296296296298E-4</v>
      </c>
      <c r="P416" s="24">
        <v>78615</v>
      </c>
      <c r="Q416" s="9">
        <v>0.1741</v>
      </c>
      <c r="R416" s="37">
        <f t="shared" si="124"/>
        <v>219240000</v>
      </c>
      <c r="S416" s="37">
        <f t="shared" si="125"/>
        <v>33140000</v>
      </c>
      <c r="T416" s="37">
        <f t="shared" si="126"/>
        <v>-10030000</v>
      </c>
      <c r="U416" s="37">
        <f t="shared" si="127"/>
        <v>43730000</v>
      </c>
      <c r="V416" s="37">
        <f t="shared" si="127"/>
        <v>43730000</v>
      </c>
      <c r="W416">
        <f t="shared" si="128"/>
        <v>3.4592500345924883E-7</v>
      </c>
      <c r="X416">
        <f t="shared" si="129"/>
        <v>0.19946177704798396</v>
      </c>
      <c r="Y416" s="9"/>
    </row>
    <row r="417" spans="1:25">
      <c r="A417" s="33">
        <v>45541</v>
      </c>
      <c r="B417" s="38">
        <v>7.3</v>
      </c>
      <c r="C417" s="23">
        <f t="shared" si="116"/>
        <v>2.67229254571026E-2</v>
      </c>
      <c r="D417">
        <f t="shared" si="119"/>
        <v>2.3812959257227661E-2</v>
      </c>
      <c r="E417" s="38">
        <v>7.33</v>
      </c>
      <c r="F417" s="38">
        <v>7.16</v>
      </c>
      <c r="G417" s="22">
        <f t="shared" si="117"/>
        <v>2.3464458247066933E-2</v>
      </c>
      <c r="H417" s="38">
        <v>7.16</v>
      </c>
      <c r="I417" s="38">
        <v>7.15</v>
      </c>
      <c r="J417" s="22">
        <f t="shared" si="118"/>
        <v>1.3976240391334433E-3</v>
      </c>
      <c r="K417" s="35">
        <v>822</v>
      </c>
      <c r="L417" s="37">
        <f t="shared" si="120"/>
        <v>15000000</v>
      </c>
      <c r="M417">
        <f t="shared" si="121"/>
        <v>6000.5999999999995</v>
      </c>
      <c r="N417" s="37">
        <f t="shared" si="122"/>
        <v>11880000</v>
      </c>
      <c r="O417">
        <f t="shared" si="123"/>
        <v>6.919191919191919E-5</v>
      </c>
      <c r="P417" s="24">
        <v>78897.73</v>
      </c>
      <c r="Q417" s="9">
        <v>0.1741</v>
      </c>
      <c r="R417" s="37">
        <f t="shared" si="124"/>
        <v>219240000</v>
      </c>
      <c r="S417" s="37">
        <f t="shared" si="125"/>
        <v>33140000</v>
      </c>
      <c r="T417" s="37">
        <f t="shared" si="126"/>
        <v>-10030000</v>
      </c>
      <c r="U417" s="37">
        <f t="shared" si="127"/>
        <v>43730000</v>
      </c>
      <c r="V417" s="37">
        <f t="shared" si="127"/>
        <v>43730000</v>
      </c>
      <c r="W417">
        <f t="shared" si="128"/>
        <v>4.4533755719599043E-6</v>
      </c>
      <c r="X417">
        <f t="shared" si="129"/>
        <v>0.19946177704798396</v>
      </c>
      <c r="Y417" s="9"/>
    </row>
    <row r="418" spans="1:25">
      <c r="A418" s="33">
        <v>45540</v>
      </c>
      <c r="B418" s="38">
        <v>7.11</v>
      </c>
      <c r="C418" s="23">
        <f t="shared" si="116"/>
        <v>-4.201680672268818E-3</v>
      </c>
      <c r="D418">
        <f t="shared" si="119"/>
        <v>2.3812959257227661E-2</v>
      </c>
      <c r="E418" s="38">
        <v>7.3</v>
      </c>
      <c r="F418" s="38">
        <v>7.1</v>
      </c>
      <c r="G418" s="22">
        <f t="shared" si="117"/>
        <v>2.7777777777777804E-2</v>
      </c>
      <c r="H418" s="38">
        <v>7.27</v>
      </c>
      <c r="I418" s="38">
        <v>7.12</v>
      </c>
      <c r="J418" s="22">
        <f t="shared" si="118"/>
        <v>2.0847810979847042E-2</v>
      </c>
      <c r="K418" s="35">
        <v>11962</v>
      </c>
      <c r="L418" s="37">
        <f t="shared" si="120"/>
        <v>15000000</v>
      </c>
      <c r="M418">
        <f t="shared" si="121"/>
        <v>85049.82</v>
      </c>
      <c r="N418" s="37">
        <f t="shared" si="122"/>
        <v>11880000</v>
      </c>
      <c r="O418">
        <f t="shared" si="123"/>
        <v>1.0069023569023569E-3</v>
      </c>
      <c r="P418" s="24">
        <v>78863.34</v>
      </c>
      <c r="Q418" s="9">
        <v>0.1741</v>
      </c>
      <c r="R418" s="37">
        <f t="shared" si="124"/>
        <v>219240000</v>
      </c>
      <c r="S418" s="37">
        <f t="shared" si="125"/>
        <v>33140000</v>
      </c>
      <c r="T418" s="37">
        <f t="shared" si="126"/>
        <v>-10030000</v>
      </c>
      <c r="U418" s="37">
        <f t="shared" si="127"/>
        <v>43730000</v>
      </c>
      <c r="V418" s="37">
        <f t="shared" si="127"/>
        <v>43730000</v>
      </c>
      <c r="W418">
        <f t="shared" si="128"/>
        <v>4.9402581595925985E-8</v>
      </c>
      <c r="X418">
        <f t="shared" si="129"/>
        <v>0.19946177704798396</v>
      </c>
      <c r="Y418" s="9"/>
    </row>
    <row r="419" spans="1:25">
      <c r="A419" s="33">
        <v>45539</v>
      </c>
      <c r="B419" s="38">
        <v>7.14</v>
      </c>
      <c r="C419" s="23">
        <f t="shared" si="116"/>
        <v>-6.954102920723325E-3</v>
      </c>
      <c r="D419">
        <f t="shared" si="119"/>
        <v>2.3812959257227661E-2</v>
      </c>
      <c r="E419" s="38">
        <v>7.27</v>
      </c>
      <c r="F419" s="38">
        <v>7.02</v>
      </c>
      <c r="G419" s="22">
        <f t="shared" si="117"/>
        <v>3.4989503149055287E-2</v>
      </c>
      <c r="H419" s="38">
        <v>7.22</v>
      </c>
      <c r="I419" s="38">
        <v>7.14</v>
      </c>
      <c r="J419" s="22">
        <f t="shared" si="118"/>
        <v>1.1142061281337058E-2</v>
      </c>
      <c r="K419" s="35">
        <v>11087</v>
      </c>
      <c r="L419" s="37">
        <f t="shared" si="120"/>
        <v>15000000</v>
      </c>
      <c r="M419">
        <f t="shared" si="121"/>
        <v>79161.179999999993</v>
      </c>
      <c r="N419" s="37">
        <f t="shared" si="122"/>
        <v>11880000</v>
      </c>
      <c r="O419">
        <f t="shared" si="123"/>
        <v>9.3324915824915828E-4</v>
      </c>
      <c r="P419" s="24">
        <v>78848.009999999995</v>
      </c>
      <c r="Q419" s="9">
        <v>0.1741</v>
      </c>
      <c r="R419" s="37">
        <f t="shared" si="124"/>
        <v>219240000</v>
      </c>
      <c r="S419" s="37">
        <f t="shared" si="125"/>
        <v>33140000</v>
      </c>
      <c r="T419" s="37">
        <f t="shared" si="126"/>
        <v>-10030000</v>
      </c>
      <c r="U419" s="37">
        <f t="shared" si="127"/>
        <v>43730000</v>
      </c>
      <c r="V419" s="37">
        <f t="shared" si="127"/>
        <v>43730000</v>
      </c>
      <c r="W419">
        <f t="shared" si="128"/>
        <v>8.7847388337608483E-8</v>
      </c>
      <c r="X419">
        <f t="shared" si="129"/>
        <v>0.19946177704798396</v>
      </c>
      <c r="Y419" s="9"/>
    </row>
    <row r="420" spans="1:25">
      <c r="A420" s="33">
        <v>45538</v>
      </c>
      <c r="B420" s="38">
        <v>7.19</v>
      </c>
      <c r="C420" s="23">
        <f t="shared" si="116"/>
        <v>-5.5190538764783172E-2</v>
      </c>
      <c r="D420">
        <f t="shared" si="119"/>
        <v>2.3812959257227661E-2</v>
      </c>
      <c r="E420" s="38">
        <v>7.23</v>
      </c>
      <c r="F420" s="38">
        <v>7</v>
      </c>
      <c r="G420" s="22">
        <f t="shared" si="117"/>
        <v>3.2326071679550303E-2</v>
      </c>
      <c r="H420" s="38">
        <v>7.2</v>
      </c>
      <c r="I420" s="38">
        <v>7.15</v>
      </c>
      <c r="J420" s="22">
        <f t="shared" si="118"/>
        <v>6.9686411149825532E-3</v>
      </c>
      <c r="K420" s="35">
        <v>60781</v>
      </c>
      <c r="L420" s="37">
        <f t="shared" si="120"/>
        <v>15000000</v>
      </c>
      <c r="M420">
        <f t="shared" si="121"/>
        <v>437015.39</v>
      </c>
      <c r="N420" s="37">
        <f t="shared" si="122"/>
        <v>11880000</v>
      </c>
      <c r="O420">
        <f t="shared" si="123"/>
        <v>5.1162457912457913E-3</v>
      </c>
      <c r="P420" s="24">
        <v>78356.320000000007</v>
      </c>
      <c r="Q420" s="9">
        <v>0.17469999999999999</v>
      </c>
      <c r="R420" s="37">
        <f t="shared" si="124"/>
        <v>219240000</v>
      </c>
      <c r="S420" s="37">
        <f t="shared" si="125"/>
        <v>33140000</v>
      </c>
      <c r="T420" s="37">
        <f t="shared" si="126"/>
        <v>-10030000</v>
      </c>
      <c r="U420" s="37">
        <f t="shared" si="127"/>
        <v>43730000</v>
      </c>
      <c r="V420" s="37">
        <f t="shared" si="127"/>
        <v>43730000</v>
      </c>
      <c r="W420">
        <f t="shared" si="128"/>
        <v>1.2628969145636536E-7</v>
      </c>
      <c r="X420">
        <f t="shared" si="129"/>
        <v>0.19946177704798396</v>
      </c>
      <c r="Y420" s="9"/>
    </row>
    <row r="421" spans="1:25">
      <c r="A421" s="33">
        <v>45537</v>
      </c>
      <c r="B421" s="38">
        <v>7.61</v>
      </c>
      <c r="C421" s="23">
        <f t="shared" si="116"/>
        <v>-5.2287581699346445E-3</v>
      </c>
      <c r="D421">
        <f t="shared" si="119"/>
        <v>2.3812959257227661E-2</v>
      </c>
      <c r="E421" s="38">
        <v>7.65</v>
      </c>
      <c r="F421" s="38">
        <v>7.11</v>
      </c>
      <c r="G421" s="22">
        <f t="shared" si="117"/>
        <v>7.3170731707317069E-2</v>
      </c>
      <c r="H421" s="38">
        <v>7.65</v>
      </c>
      <c r="I421" s="38">
        <v>7.3</v>
      </c>
      <c r="J421" s="22">
        <f t="shared" si="118"/>
        <v>4.6822742474916461E-2</v>
      </c>
      <c r="K421" s="35">
        <v>7500</v>
      </c>
      <c r="L421" s="37">
        <f t="shared" si="120"/>
        <v>15000000</v>
      </c>
      <c r="M421">
        <f t="shared" si="121"/>
        <v>57075</v>
      </c>
      <c r="N421" s="37">
        <f t="shared" si="122"/>
        <v>11880000</v>
      </c>
      <c r="O421">
        <f t="shared" si="123"/>
        <v>6.3131313131313137E-4</v>
      </c>
      <c r="P421" s="24">
        <v>78283.3</v>
      </c>
      <c r="Q421" s="9">
        <v>0.17469999999999999</v>
      </c>
      <c r="R421" s="37">
        <f t="shared" si="124"/>
        <v>219240000</v>
      </c>
      <c r="S421" s="37">
        <f t="shared" si="125"/>
        <v>33140000</v>
      </c>
      <c r="T421" s="37">
        <f t="shared" si="126"/>
        <v>-10030000</v>
      </c>
      <c r="U421" s="37">
        <f t="shared" si="127"/>
        <v>43730000</v>
      </c>
      <c r="V421" s="37">
        <f t="shared" si="127"/>
        <v>43730000</v>
      </c>
      <c r="W421">
        <f t="shared" si="128"/>
        <v>9.1612057291890394E-8</v>
      </c>
      <c r="X421">
        <f t="shared" si="129"/>
        <v>0.19946177704798396</v>
      </c>
      <c r="Y421" s="9"/>
    </row>
    <row r="422" spans="1:25">
      <c r="A422" s="33">
        <v>45534</v>
      </c>
      <c r="B422" s="38">
        <v>7.65</v>
      </c>
      <c r="C422" s="23">
        <f t="shared" si="116"/>
        <v>-9.0673575129532891E-3</v>
      </c>
      <c r="D422">
        <f t="shared" si="119"/>
        <v>2.3812959257227661E-2</v>
      </c>
      <c r="E422" s="38">
        <v>7.65</v>
      </c>
      <c r="F422" s="38">
        <v>7.4</v>
      </c>
      <c r="G422" s="22">
        <f t="shared" si="117"/>
        <v>3.3222591362126241E-2</v>
      </c>
      <c r="H422" s="38">
        <v>7.6</v>
      </c>
      <c r="I422" s="38">
        <v>7.46</v>
      </c>
      <c r="J422" s="22">
        <f t="shared" si="118"/>
        <v>1.8592297476759587E-2</v>
      </c>
      <c r="K422" s="35">
        <v>8501</v>
      </c>
      <c r="L422" s="37">
        <f t="shared" si="120"/>
        <v>15000000</v>
      </c>
      <c r="M422">
        <f t="shared" si="121"/>
        <v>65032.65</v>
      </c>
      <c r="N422" s="37">
        <f t="shared" si="122"/>
        <v>11880000</v>
      </c>
      <c r="O422">
        <f t="shared" si="123"/>
        <v>7.1557239057239055E-4</v>
      </c>
      <c r="P422" s="24">
        <v>78488.22</v>
      </c>
      <c r="Q422" s="9">
        <v>0.17469999999999999</v>
      </c>
      <c r="R422" s="37">
        <f t="shared" si="124"/>
        <v>219240000</v>
      </c>
      <c r="S422" s="37">
        <f t="shared" si="125"/>
        <v>33140000</v>
      </c>
      <c r="T422" s="37">
        <f t="shared" si="126"/>
        <v>-10030000</v>
      </c>
      <c r="U422" s="37">
        <f t="shared" si="127"/>
        <v>43730000</v>
      </c>
      <c r="V422" s="37">
        <f t="shared" si="127"/>
        <v>43730000</v>
      </c>
      <c r="W422">
        <f t="shared" si="128"/>
        <v>1.3942777224906704E-7</v>
      </c>
      <c r="X422">
        <f t="shared" si="129"/>
        <v>0.19946177704798396</v>
      </c>
      <c r="Y422" s="9"/>
    </row>
    <row r="423" spans="1:25">
      <c r="A423" s="33">
        <v>45533</v>
      </c>
      <c r="B423" s="38">
        <v>7.72</v>
      </c>
      <c r="C423" s="23">
        <f t="shared" si="116"/>
        <v>8.1232492997198896E-2</v>
      </c>
      <c r="D423">
        <f t="shared" si="119"/>
        <v>2.3812959257227661E-2</v>
      </c>
      <c r="E423" s="38">
        <v>7.8</v>
      </c>
      <c r="F423" s="38">
        <v>7.09</v>
      </c>
      <c r="G423" s="22">
        <f t="shared" si="117"/>
        <v>9.536601746138347E-2</v>
      </c>
      <c r="H423" s="38">
        <v>7.79</v>
      </c>
      <c r="I423" s="38">
        <v>7.56</v>
      </c>
      <c r="J423" s="22">
        <f t="shared" si="118"/>
        <v>2.9967426710097778E-2</v>
      </c>
      <c r="K423" s="35">
        <v>53604</v>
      </c>
      <c r="L423" s="37">
        <f t="shared" si="120"/>
        <v>15000000</v>
      </c>
      <c r="M423">
        <f t="shared" si="121"/>
        <v>413822.88</v>
      </c>
      <c r="N423" s="37">
        <f t="shared" si="122"/>
        <v>11880000</v>
      </c>
      <c r="O423">
        <f t="shared" si="123"/>
        <v>4.5121212121212121E-3</v>
      </c>
      <c r="P423" s="24">
        <v>78349.66</v>
      </c>
      <c r="Q423" s="9">
        <v>0.17469999999999999</v>
      </c>
      <c r="R423" s="37">
        <f t="shared" si="124"/>
        <v>219240000</v>
      </c>
      <c r="S423" s="37">
        <f t="shared" si="125"/>
        <v>33140000</v>
      </c>
      <c r="T423" s="37">
        <f t="shared" si="126"/>
        <v>-10030000</v>
      </c>
      <c r="U423" s="37">
        <f t="shared" si="127"/>
        <v>43730000</v>
      </c>
      <c r="V423" s="37">
        <f t="shared" si="127"/>
        <v>43730000</v>
      </c>
      <c r="W423">
        <f t="shared" si="128"/>
        <v>1.962977324917339E-7</v>
      </c>
      <c r="X423">
        <f t="shared" si="129"/>
        <v>0.19946177704798396</v>
      </c>
      <c r="Y423" s="9"/>
    </row>
    <row r="424" spans="1:25">
      <c r="A424" s="33">
        <v>45532</v>
      </c>
      <c r="B424" s="38">
        <v>7.14</v>
      </c>
      <c r="C424" s="23">
        <f t="shared" si="116"/>
        <v>-1.2448132780083091E-2</v>
      </c>
      <c r="D424">
        <f t="shared" si="119"/>
        <v>2.3812959257227661E-2</v>
      </c>
      <c r="E424" s="38">
        <v>7.5</v>
      </c>
      <c r="F424" s="38">
        <v>6.8</v>
      </c>
      <c r="G424" s="22">
        <f t="shared" si="117"/>
        <v>9.7902097902097918E-2</v>
      </c>
      <c r="H424" s="38">
        <v>7.36</v>
      </c>
      <c r="I424" s="38">
        <v>6.88</v>
      </c>
      <c r="J424" s="22">
        <f t="shared" si="118"/>
        <v>6.7415730337078705E-2</v>
      </c>
      <c r="K424" s="35">
        <v>53570</v>
      </c>
      <c r="L424" s="37">
        <f t="shared" si="120"/>
        <v>15000000</v>
      </c>
      <c r="M424">
        <f t="shared" si="121"/>
        <v>382489.8</v>
      </c>
      <c r="N424" s="37">
        <f t="shared" si="122"/>
        <v>11880000</v>
      </c>
      <c r="O424">
        <f t="shared" si="123"/>
        <v>4.5092592592592589E-3</v>
      </c>
      <c r="P424" s="24">
        <v>77992.789999999994</v>
      </c>
      <c r="Q424" s="9">
        <v>0.17469999999999999</v>
      </c>
      <c r="R424" s="37">
        <f t="shared" si="124"/>
        <v>219240000</v>
      </c>
      <c r="S424" s="37">
        <f t="shared" si="125"/>
        <v>33140000</v>
      </c>
      <c r="T424" s="37">
        <f t="shared" si="126"/>
        <v>-10030000</v>
      </c>
      <c r="U424" s="37">
        <f t="shared" si="127"/>
        <v>43730000</v>
      </c>
      <c r="V424" s="37">
        <f t="shared" si="127"/>
        <v>43730000</v>
      </c>
      <c r="W424">
        <f t="shared" si="128"/>
        <v>3.2545005853968112E-8</v>
      </c>
      <c r="X424">
        <f t="shared" si="129"/>
        <v>0.19946177704798396</v>
      </c>
      <c r="Y424" s="9"/>
    </row>
    <row r="425" spans="1:25">
      <c r="A425" s="33">
        <v>45531</v>
      </c>
      <c r="B425" s="38">
        <v>7.23</v>
      </c>
      <c r="C425" s="23">
        <f t="shared" si="116"/>
        <v>-1.0943912448700299E-2</v>
      </c>
      <c r="D425">
        <f t="shared" si="119"/>
        <v>2.3812959257227661E-2</v>
      </c>
      <c r="E425" s="38">
        <v>7.45</v>
      </c>
      <c r="F425" s="38">
        <v>7.2</v>
      </c>
      <c r="G425" s="22">
        <f t="shared" si="117"/>
        <v>3.4129692832764506E-2</v>
      </c>
      <c r="H425" s="38">
        <v>7.4</v>
      </c>
      <c r="I425" s="38">
        <v>7.22</v>
      </c>
      <c r="J425" s="22">
        <f t="shared" si="118"/>
        <v>2.4623803009576003E-2</v>
      </c>
      <c r="K425" s="35">
        <v>202011</v>
      </c>
      <c r="L425" s="37">
        <f t="shared" si="120"/>
        <v>15000000</v>
      </c>
      <c r="M425">
        <f t="shared" si="121"/>
        <v>1460539.53</v>
      </c>
      <c r="N425" s="37">
        <f t="shared" si="122"/>
        <v>11880000</v>
      </c>
      <c r="O425">
        <f t="shared" si="123"/>
        <v>1.7004292929292928E-2</v>
      </c>
      <c r="P425" s="24">
        <v>78084.240000000005</v>
      </c>
      <c r="Q425" s="9">
        <v>0.17469999999999999</v>
      </c>
      <c r="R425" s="37">
        <f t="shared" si="124"/>
        <v>219240000</v>
      </c>
      <c r="S425" s="37">
        <f t="shared" si="125"/>
        <v>33140000</v>
      </c>
      <c r="T425" s="37">
        <f t="shared" si="126"/>
        <v>-10030000</v>
      </c>
      <c r="U425" s="37">
        <f t="shared" si="127"/>
        <v>43730000</v>
      </c>
      <c r="V425" s="37">
        <f t="shared" si="127"/>
        <v>43730000</v>
      </c>
      <c r="W425">
        <f t="shared" si="128"/>
        <v>7.4930614501754006E-9</v>
      </c>
      <c r="X425">
        <f t="shared" si="129"/>
        <v>0.19946177704798396</v>
      </c>
      <c r="Y425" s="9"/>
    </row>
    <row r="426" spans="1:25">
      <c r="A426" s="33">
        <v>45530</v>
      </c>
      <c r="B426" s="38">
        <v>7.31</v>
      </c>
      <c r="C426" s="23">
        <f t="shared" si="116"/>
        <v>-1.7473118279569995E-2</v>
      </c>
      <c r="D426">
        <f t="shared" si="119"/>
        <v>2.3812959257227661E-2</v>
      </c>
      <c r="E426" s="38">
        <v>7.45</v>
      </c>
      <c r="F426" s="38">
        <v>7.3</v>
      </c>
      <c r="G426" s="22">
        <f t="shared" si="117"/>
        <v>2.0338983050847505E-2</v>
      </c>
      <c r="H426" s="38">
        <v>7.45</v>
      </c>
      <c r="I426" s="38">
        <v>7.3</v>
      </c>
      <c r="J426" s="22">
        <f t="shared" si="118"/>
        <v>2.0338983050847505E-2</v>
      </c>
      <c r="K426" s="35">
        <v>1007</v>
      </c>
      <c r="L426" s="37">
        <f t="shared" si="120"/>
        <v>15000000</v>
      </c>
      <c r="M426">
        <f t="shared" si="121"/>
        <v>7361.1699999999992</v>
      </c>
      <c r="N426" s="37">
        <f t="shared" si="122"/>
        <v>11880000</v>
      </c>
      <c r="O426">
        <f t="shared" si="123"/>
        <v>8.476430976430976E-5</v>
      </c>
      <c r="P426" s="24">
        <v>78571.06</v>
      </c>
      <c r="Q426" s="9">
        <v>0.17469999999999999</v>
      </c>
      <c r="R426" s="37">
        <f t="shared" si="124"/>
        <v>219240000</v>
      </c>
      <c r="S426" s="37">
        <f t="shared" si="125"/>
        <v>33140000</v>
      </c>
      <c r="T426" s="37">
        <f t="shared" si="126"/>
        <v>-10030000</v>
      </c>
      <c r="U426" s="37">
        <f t="shared" si="127"/>
        <v>43730000</v>
      </c>
      <c r="V426" s="37">
        <f t="shared" si="127"/>
        <v>43730000</v>
      </c>
      <c r="W426">
        <f t="shared" si="128"/>
        <v>2.373687644704578E-6</v>
      </c>
      <c r="X426">
        <f t="shared" si="129"/>
        <v>0.19946177704798396</v>
      </c>
      <c r="Y426" s="9"/>
    </row>
    <row r="427" spans="1:25">
      <c r="A427" s="33">
        <v>45527</v>
      </c>
      <c r="B427" s="38">
        <v>7.44</v>
      </c>
      <c r="C427" s="23">
        <f t="shared" si="116"/>
        <v>-2.1052631578947271E-2</v>
      </c>
      <c r="D427">
        <f t="shared" si="119"/>
        <v>2.3812959257227661E-2</v>
      </c>
      <c r="E427" s="38">
        <v>7.45</v>
      </c>
      <c r="F427" s="38">
        <v>7</v>
      </c>
      <c r="G427" s="22">
        <f t="shared" si="117"/>
        <v>6.2283737024221478E-2</v>
      </c>
      <c r="H427" s="38">
        <v>7.49</v>
      </c>
      <c r="I427" s="38">
        <v>7.26</v>
      </c>
      <c r="J427" s="22">
        <f t="shared" si="118"/>
        <v>3.1186440677966158E-2</v>
      </c>
      <c r="K427" s="35">
        <v>56187</v>
      </c>
      <c r="L427" s="37">
        <f t="shared" si="120"/>
        <v>15000000</v>
      </c>
      <c r="M427">
        <f t="shared" si="121"/>
        <v>418031.28</v>
      </c>
      <c r="N427" s="37">
        <f t="shared" si="122"/>
        <v>11880000</v>
      </c>
      <c r="O427">
        <f t="shared" si="123"/>
        <v>4.7295454545454542E-3</v>
      </c>
      <c r="P427" s="24">
        <v>78801.429999999993</v>
      </c>
      <c r="Q427" s="9">
        <v>0.17469999999999999</v>
      </c>
      <c r="R427" s="37">
        <f t="shared" si="124"/>
        <v>219240000</v>
      </c>
      <c r="S427" s="37">
        <f t="shared" si="125"/>
        <v>33140000</v>
      </c>
      <c r="T427" s="37">
        <f t="shared" si="126"/>
        <v>-10030000</v>
      </c>
      <c r="U427" s="37">
        <f t="shared" si="127"/>
        <v>43730000</v>
      </c>
      <c r="V427" s="37">
        <f t="shared" si="127"/>
        <v>43730000</v>
      </c>
      <c r="W427">
        <f t="shared" si="128"/>
        <v>5.0361378648380737E-8</v>
      </c>
      <c r="X427">
        <f t="shared" si="129"/>
        <v>0.19946177704798396</v>
      </c>
      <c r="Y427" s="9"/>
    </row>
    <row r="428" spans="1:25">
      <c r="A428" s="33">
        <v>45526</v>
      </c>
      <c r="B428" s="38">
        <v>7.6</v>
      </c>
      <c r="C428" s="23">
        <f t="shared" si="116"/>
        <v>1.3333333333333286E-2</v>
      </c>
      <c r="D428">
        <f t="shared" si="119"/>
        <v>2.3812959257227661E-2</v>
      </c>
      <c r="E428" s="38">
        <v>7.6</v>
      </c>
      <c r="F428" s="38">
        <v>7.31</v>
      </c>
      <c r="G428" s="22">
        <f t="shared" si="117"/>
        <v>3.8900067069081161E-2</v>
      </c>
      <c r="H428" s="38">
        <v>7.6</v>
      </c>
      <c r="I428" s="38">
        <v>7.45</v>
      </c>
      <c r="J428" s="22">
        <f t="shared" si="118"/>
        <v>1.9933554817275677E-2</v>
      </c>
      <c r="K428" s="35">
        <v>2509</v>
      </c>
      <c r="L428" s="37">
        <f t="shared" si="120"/>
        <v>15000000</v>
      </c>
      <c r="M428">
        <f t="shared" si="121"/>
        <v>19068.399999999998</v>
      </c>
      <c r="N428" s="37">
        <f t="shared" si="122"/>
        <v>11880000</v>
      </c>
      <c r="O428">
        <f t="shared" si="123"/>
        <v>2.1119528619528621E-4</v>
      </c>
      <c r="P428" s="24">
        <v>78793.41</v>
      </c>
      <c r="Q428" s="9">
        <v>0.17469999999999999</v>
      </c>
      <c r="R428" s="37">
        <f t="shared" si="124"/>
        <v>219240000</v>
      </c>
      <c r="S428" s="37">
        <f t="shared" si="125"/>
        <v>33140000</v>
      </c>
      <c r="T428" s="37">
        <f t="shared" si="126"/>
        <v>-10030000</v>
      </c>
      <c r="U428" s="37">
        <f t="shared" si="127"/>
        <v>43730000</v>
      </c>
      <c r="V428" s="37">
        <f t="shared" si="127"/>
        <v>43730000</v>
      </c>
      <c r="W428">
        <f t="shared" si="128"/>
        <v>6.9923713228867066E-7</v>
      </c>
      <c r="X428">
        <f t="shared" si="129"/>
        <v>0.19946177704798396</v>
      </c>
      <c r="Y428" s="9"/>
    </row>
    <row r="429" spans="1:25">
      <c r="A429" s="33">
        <v>45525</v>
      </c>
      <c r="B429" s="38">
        <v>7.5</v>
      </c>
      <c r="C429" s="23">
        <f t="shared" si="116"/>
        <v>1.3513513513513466E-2</v>
      </c>
      <c r="D429">
        <f t="shared" si="119"/>
        <v>2.3812959257227661E-2</v>
      </c>
      <c r="E429" s="38">
        <v>7.54</v>
      </c>
      <c r="F429" s="38">
        <v>7.11</v>
      </c>
      <c r="G429" s="22">
        <f t="shared" si="117"/>
        <v>5.870307167235491E-2</v>
      </c>
      <c r="H429" s="38">
        <v>7.55</v>
      </c>
      <c r="I429" s="38">
        <v>7.5</v>
      </c>
      <c r="J429" s="22">
        <f t="shared" si="118"/>
        <v>6.644518272425225E-3</v>
      </c>
      <c r="K429" s="35">
        <v>3829</v>
      </c>
      <c r="L429" s="37">
        <f t="shared" si="120"/>
        <v>15000000</v>
      </c>
      <c r="M429">
        <f t="shared" si="121"/>
        <v>28717.5</v>
      </c>
      <c r="N429" s="37">
        <f t="shared" si="122"/>
        <v>11880000</v>
      </c>
      <c r="O429">
        <f t="shared" si="123"/>
        <v>3.2230639730639732E-4</v>
      </c>
      <c r="P429" s="24">
        <v>78260.86</v>
      </c>
      <c r="Q429" s="9">
        <v>0.17469999999999999</v>
      </c>
      <c r="R429" s="37">
        <f t="shared" si="124"/>
        <v>219240000</v>
      </c>
      <c r="S429" s="37">
        <f t="shared" si="125"/>
        <v>33140000</v>
      </c>
      <c r="T429" s="37">
        <f t="shared" si="126"/>
        <v>-10030000</v>
      </c>
      <c r="U429" s="37">
        <f t="shared" si="127"/>
        <v>43730000</v>
      </c>
      <c r="V429" s="37">
        <f t="shared" si="127"/>
        <v>43730000</v>
      </c>
      <c r="W429">
        <f t="shared" si="128"/>
        <v>4.7056719817231531E-7</v>
      </c>
      <c r="X429">
        <f t="shared" si="129"/>
        <v>0.19946177704798396</v>
      </c>
      <c r="Y429" s="9"/>
    </row>
    <row r="430" spans="1:25">
      <c r="A430" s="33">
        <v>45524</v>
      </c>
      <c r="B430" s="38">
        <v>7.4</v>
      </c>
      <c r="C430" s="23">
        <f t="shared" si="116"/>
        <v>0</v>
      </c>
      <c r="D430">
        <f t="shared" si="119"/>
        <v>2.3812959257227661E-2</v>
      </c>
      <c r="E430" s="38">
        <v>7.49</v>
      </c>
      <c r="F430" s="38">
        <v>7.31</v>
      </c>
      <c r="G430" s="22">
        <f t="shared" si="117"/>
        <v>2.4324324324324405E-2</v>
      </c>
      <c r="H430" s="38">
        <v>7.49</v>
      </c>
      <c r="I430" s="38">
        <v>7.35</v>
      </c>
      <c r="J430" s="22">
        <f t="shared" si="118"/>
        <v>1.8867924528301962E-2</v>
      </c>
      <c r="K430" s="35">
        <v>80</v>
      </c>
      <c r="L430" s="37">
        <f t="shared" si="120"/>
        <v>15000000</v>
      </c>
      <c r="M430">
        <f t="shared" si="121"/>
        <v>592</v>
      </c>
      <c r="N430" s="37">
        <f t="shared" si="122"/>
        <v>11880000</v>
      </c>
      <c r="O430">
        <f t="shared" si="123"/>
        <v>6.7340067340067342E-6</v>
      </c>
      <c r="P430" s="24">
        <v>77745.52</v>
      </c>
      <c r="Q430" s="9">
        <v>0.189</v>
      </c>
      <c r="R430" s="37">
        <f t="shared" si="124"/>
        <v>219240000</v>
      </c>
      <c r="S430" s="37">
        <f t="shared" si="125"/>
        <v>33140000</v>
      </c>
      <c r="T430" s="37">
        <f t="shared" si="126"/>
        <v>-10030000</v>
      </c>
      <c r="U430" s="37">
        <f t="shared" si="127"/>
        <v>43730000</v>
      </c>
      <c r="V430" s="37">
        <f t="shared" si="127"/>
        <v>43730000</v>
      </c>
      <c r="W430">
        <f t="shared" si="128"/>
        <v>0</v>
      </c>
      <c r="X430">
        <f t="shared" si="129"/>
        <v>0.19946177704798396</v>
      </c>
      <c r="Y430" s="9"/>
    </row>
    <row r="431" spans="1:25">
      <c r="A431" s="33">
        <v>45523</v>
      </c>
      <c r="B431" s="38">
        <v>7.4</v>
      </c>
      <c r="C431" s="23">
        <f t="shared" si="116"/>
        <v>-1.3333333333333286E-2</v>
      </c>
      <c r="D431">
        <f t="shared" si="119"/>
        <v>2.3812959257227661E-2</v>
      </c>
      <c r="E431" s="38">
        <v>7.9</v>
      </c>
      <c r="F431" s="38">
        <v>7</v>
      </c>
      <c r="G431" s="22">
        <f t="shared" si="117"/>
        <v>0.12080536912751683</v>
      </c>
      <c r="H431" s="38">
        <v>7.5</v>
      </c>
      <c r="I431" s="38">
        <v>7.4</v>
      </c>
      <c r="J431" s="22">
        <f t="shared" si="118"/>
        <v>1.342281879194626E-2</v>
      </c>
      <c r="K431" s="35">
        <v>69034</v>
      </c>
      <c r="L431" s="37">
        <f t="shared" si="120"/>
        <v>15000000</v>
      </c>
      <c r="M431">
        <f t="shared" si="121"/>
        <v>510851.60000000003</v>
      </c>
      <c r="N431" s="37">
        <f t="shared" si="122"/>
        <v>11880000</v>
      </c>
      <c r="O431">
        <f t="shared" si="123"/>
        <v>5.8109427609427606E-3</v>
      </c>
      <c r="P431" s="24">
        <v>77830.34</v>
      </c>
      <c r="Q431" s="9">
        <v>0.189</v>
      </c>
      <c r="R431" s="37">
        <f t="shared" si="124"/>
        <v>219240000</v>
      </c>
      <c r="S431" s="37">
        <f t="shared" si="125"/>
        <v>33140000</v>
      </c>
      <c r="T431" s="37">
        <f t="shared" si="126"/>
        <v>-10030000</v>
      </c>
      <c r="U431" s="37">
        <f t="shared" si="127"/>
        <v>43730000</v>
      </c>
      <c r="V431" s="37">
        <f t="shared" si="127"/>
        <v>43730000</v>
      </c>
      <c r="W431">
        <f t="shared" si="128"/>
        <v>2.6100208618967396E-8</v>
      </c>
      <c r="X431">
        <f t="shared" si="129"/>
        <v>0.19946177704798396</v>
      </c>
      <c r="Y431" s="9"/>
    </row>
    <row r="432" spans="1:25">
      <c r="A432" s="33">
        <v>45520</v>
      </c>
      <c r="B432" s="38">
        <v>7.5</v>
      </c>
      <c r="C432" s="23">
        <f t="shared" si="116"/>
        <v>-6.6225165562913673E-3</v>
      </c>
      <c r="D432">
        <f t="shared" si="119"/>
        <v>2.3812959257227661E-2</v>
      </c>
      <c r="E432" s="38">
        <v>8.19</v>
      </c>
      <c r="F432" s="38">
        <v>7.25</v>
      </c>
      <c r="G432" s="22">
        <f t="shared" si="117"/>
        <v>0.12176165803108802</v>
      </c>
      <c r="H432" s="38">
        <v>7.6</v>
      </c>
      <c r="I432" s="38">
        <v>7.35</v>
      </c>
      <c r="J432" s="22">
        <f t="shared" si="118"/>
        <v>3.3444816053511704E-2</v>
      </c>
      <c r="K432" s="35">
        <v>53232</v>
      </c>
      <c r="L432" s="37">
        <f t="shared" si="120"/>
        <v>15000000</v>
      </c>
      <c r="M432">
        <f t="shared" si="121"/>
        <v>399240</v>
      </c>
      <c r="N432" s="37">
        <f t="shared" si="122"/>
        <v>11880000</v>
      </c>
      <c r="O432">
        <f t="shared" si="123"/>
        <v>4.4808080808080809E-3</v>
      </c>
      <c r="P432" s="24">
        <v>78045.31</v>
      </c>
      <c r="Q432" s="9">
        <v>0.189</v>
      </c>
      <c r="R432" s="37">
        <f t="shared" si="124"/>
        <v>219240000</v>
      </c>
      <c r="S432" s="37">
        <f t="shared" si="125"/>
        <v>33140000</v>
      </c>
      <c r="T432" s="37">
        <f t="shared" si="126"/>
        <v>-10030000</v>
      </c>
      <c r="U432" s="37">
        <f t="shared" si="127"/>
        <v>43730000</v>
      </c>
      <c r="V432" s="37">
        <f t="shared" si="127"/>
        <v>43730000</v>
      </c>
      <c r="W432">
        <f t="shared" si="128"/>
        <v>1.6587808226358498E-8</v>
      </c>
      <c r="X432">
        <f t="shared" si="129"/>
        <v>0.19946177704798396</v>
      </c>
      <c r="Y432" s="9"/>
    </row>
    <row r="433" spans="1:25">
      <c r="A433" s="33">
        <v>45519</v>
      </c>
      <c r="B433" s="38">
        <v>7.55</v>
      </c>
      <c r="C433" s="23">
        <f t="shared" si="116"/>
        <v>9.3582887700533954E-3</v>
      </c>
      <c r="D433">
        <f t="shared" si="119"/>
        <v>2.3812959257227661E-2</v>
      </c>
      <c r="E433" s="38">
        <v>8.01</v>
      </c>
      <c r="F433" s="38">
        <v>7.12</v>
      </c>
      <c r="G433" s="22">
        <f t="shared" si="117"/>
        <v>0.11764705882352938</v>
      </c>
      <c r="H433" s="38">
        <v>7.64</v>
      </c>
      <c r="I433" s="38">
        <v>7.54</v>
      </c>
      <c r="J433" s="22">
        <f t="shared" si="118"/>
        <v>1.3175230566534867E-2</v>
      </c>
      <c r="K433" s="35">
        <v>33747</v>
      </c>
      <c r="L433" s="37">
        <f t="shared" si="120"/>
        <v>15000000</v>
      </c>
      <c r="M433">
        <f t="shared" si="121"/>
        <v>254789.85</v>
      </c>
      <c r="N433" s="37">
        <f t="shared" si="122"/>
        <v>11880000</v>
      </c>
      <c r="O433">
        <f t="shared" si="123"/>
        <v>2.8406565656565659E-3</v>
      </c>
      <c r="P433" s="24">
        <v>78105.98</v>
      </c>
      <c r="Q433" s="9">
        <v>0.189</v>
      </c>
      <c r="R433" s="37">
        <f t="shared" si="124"/>
        <v>219240000</v>
      </c>
      <c r="S433" s="37">
        <f t="shared" si="125"/>
        <v>33140000</v>
      </c>
      <c r="T433" s="37">
        <f t="shared" si="126"/>
        <v>-10030000</v>
      </c>
      <c r="U433" s="37">
        <f t="shared" si="127"/>
        <v>43730000</v>
      </c>
      <c r="V433" s="37">
        <f t="shared" si="127"/>
        <v>43730000</v>
      </c>
      <c r="W433">
        <f t="shared" si="128"/>
        <v>3.672944102778582E-8</v>
      </c>
      <c r="X433">
        <f t="shared" si="129"/>
        <v>0.19946177704798396</v>
      </c>
      <c r="Y433" s="9"/>
    </row>
    <row r="434" spans="1:25">
      <c r="A434" s="33">
        <v>45517</v>
      </c>
      <c r="B434" s="38">
        <v>7.48</v>
      </c>
      <c r="C434" s="23">
        <f t="shared" si="116"/>
        <v>2.6809651474531452E-3</v>
      </c>
      <c r="D434">
        <f t="shared" si="119"/>
        <v>2.3812959257227661E-2</v>
      </c>
      <c r="E434" s="38">
        <v>7.5</v>
      </c>
      <c r="F434" s="38">
        <v>7</v>
      </c>
      <c r="G434" s="22">
        <f t="shared" si="117"/>
        <v>6.8965517241379309E-2</v>
      </c>
      <c r="H434" s="38">
        <v>7.48</v>
      </c>
      <c r="I434" s="38">
        <v>7.3</v>
      </c>
      <c r="J434" s="22">
        <f t="shared" si="118"/>
        <v>2.4357239512855289E-2</v>
      </c>
      <c r="K434" s="35">
        <v>13138</v>
      </c>
      <c r="L434" s="37">
        <f t="shared" si="120"/>
        <v>15000000</v>
      </c>
      <c r="M434">
        <f t="shared" si="121"/>
        <v>98272.24</v>
      </c>
      <c r="N434" s="37">
        <f t="shared" si="122"/>
        <v>11880000</v>
      </c>
      <c r="O434">
        <f t="shared" si="123"/>
        <v>1.105892255892256E-3</v>
      </c>
      <c r="P434" s="24">
        <v>77877.42</v>
      </c>
      <c r="Q434" s="9">
        <v>0.189</v>
      </c>
      <c r="R434" s="37">
        <f t="shared" si="124"/>
        <v>219240000</v>
      </c>
      <c r="S434" s="37">
        <f t="shared" si="125"/>
        <v>33140000</v>
      </c>
      <c r="T434" s="37">
        <f t="shared" si="126"/>
        <v>-10030000</v>
      </c>
      <c r="U434" s="37">
        <f t="shared" si="127"/>
        <v>43730000</v>
      </c>
      <c r="V434" s="37">
        <f t="shared" si="127"/>
        <v>43730000</v>
      </c>
      <c r="W434">
        <f t="shared" si="128"/>
        <v>2.7281001709670453E-8</v>
      </c>
      <c r="X434">
        <f t="shared" si="129"/>
        <v>0.19946177704798396</v>
      </c>
      <c r="Y434" s="9"/>
    </row>
    <row r="435" spans="1:25">
      <c r="A435" s="33">
        <v>45516</v>
      </c>
      <c r="B435" s="38">
        <v>7.46</v>
      </c>
      <c r="C435" s="23">
        <f t="shared" si="116"/>
        <v>3.611111111111108E-2</v>
      </c>
      <c r="D435">
        <f t="shared" si="119"/>
        <v>2.3812959257227661E-2</v>
      </c>
      <c r="E435" s="38">
        <v>7.59</v>
      </c>
      <c r="F435" s="38">
        <v>7.01</v>
      </c>
      <c r="G435" s="22">
        <f t="shared" si="117"/>
        <v>7.9452054794520555E-2</v>
      </c>
      <c r="H435" s="38">
        <v>7.57</v>
      </c>
      <c r="I435" s="38">
        <v>7.4</v>
      </c>
      <c r="J435" s="22">
        <f t="shared" si="118"/>
        <v>2.2712090848363384E-2</v>
      </c>
      <c r="K435" s="35">
        <v>20743</v>
      </c>
      <c r="L435" s="37">
        <f t="shared" si="120"/>
        <v>15000000</v>
      </c>
      <c r="M435">
        <f t="shared" si="121"/>
        <v>154742.78</v>
      </c>
      <c r="N435" s="37">
        <f t="shared" si="122"/>
        <v>11880000</v>
      </c>
      <c r="O435">
        <f t="shared" si="123"/>
        <v>1.746043771043771E-3</v>
      </c>
      <c r="P435" s="24">
        <v>77980.289999999994</v>
      </c>
      <c r="Q435" s="9">
        <v>0.189</v>
      </c>
      <c r="R435" s="37">
        <f t="shared" si="124"/>
        <v>219240000</v>
      </c>
      <c r="S435" s="37">
        <f t="shared" si="125"/>
        <v>33140000</v>
      </c>
      <c r="T435" s="37">
        <f t="shared" si="126"/>
        <v>-10030000</v>
      </c>
      <c r="U435" s="37">
        <f t="shared" si="127"/>
        <v>43730000</v>
      </c>
      <c r="V435" s="37">
        <f t="shared" si="127"/>
        <v>43730000</v>
      </c>
      <c r="W435">
        <f t="shared" si="128"/>
        <v>2.3336217115338809E-7</v>
      </c>
      <c r="X435">
        <f t="shared" si="129"/>
        <v>0.19946177704798396</v>
      </c>
      <c r="Y435" s="9"/>
    </row>
    <row r="436" spans="1:25">
      <c r="A436" s="33">
        <v>45513</v>
      </c>
      <c r="B436" s="38">
        <v>7.2</v>
      </c>
      <c r="C436" s="23">
        <f t="shared" si="116"/>
        <v>-2.9649595687331502E-2</v>
      </c>
      <c r="D436">
        <f t="shared" si="119"/>
        <v>2.3812959257227661E-2</v>
      </c>
      <c r="E436" s="38">
        <v>7.7</v>
      </c>
      <c r="F436" s="38">
        <v>7.2</v>
      </c>
      <c r="G436" s="22">
        <f t="shared" si="117"/>
        <v>6.7114093959731544E-2</v>
      </c>
      <c r="H436" s="38">
        <v>7.4</v>
      </c>
      <c r="I436" s="38">
        <v>7.2</v>
      </c>
      <c r="J436" s="22">
        <f t="shared" si="118"/>
        <v>2.7397260273972626E-2</v>
      </c>
      <c r="K436" s="35">
        <v>3016</v>
      </c>
      <c r="L436" s="37">
        <f t="shared" si="120"/>
        <v>15000000</v>
      </c>
      <c r="M436">
        <f t="shared" si="121"/>
        <v>21715.200000000001</v>
      </c>
      <c r="N436" s="37">
        <f t="shared" si="122"/>
        <v>11880000</v>
      </c>
      <c r="O436">
        <f t="shared" si="123"/>
        <v>2.5387205387205388E-4</v>
      </c>
      <c r="P436" s="24">
        <v>78569.59</v>
      </c>
      <c r="Q436" s="9">
        <v>0.189</v>
      </c>
      <c r="R436" s="37">
        <f t="shared" si="124"/>
        <v>219240000</v>
      </c>
      <c r="S436" s="37">
        <f t="shared" si="125"/>
        <v>33140000</v>
      </c>
      <c r="T436" s="37">
        <f t="shared" si="126"/>
        <v>-10030000</v>
      </c>
      <c r="U436" s="37">
        <f t="shared" si="127"/>
        <v>43730000</v>
      </c>
      <c r="V436" s="37">
        <f t="shared" si="127"/>
        <v>43730000</v>
      </c>
      <c r="W436">
        <f t="shared" si="128"/>
        <v>1.3653844167832441E-6</v>
      </c>
      <c r="X436">
        <f t="shared" si="129"/>
        <v>0.19946177704798396</v>
      </c>
      <c r="Y436" s="9"/>
    </row>
    <row r="437" spans="1:25">
      <c r="A437" s="33">
        <v>45512</v>
      </c>
      <c r="B437" s="38">
        <v>7.42</v>
      </c>
      <c r="C437" s="23">
        <f t="shared" si="116"/>
        <v>-1.0666666666666677E-2</v>
      </c>
      <c r="D437">
        <f t="shared" si="119"/>
        <v>2.3812959257227661E-2</v>
      </c>
      <c r="E437" s="38">
        <v>7.7</v>
      </c>
      <c r="F437" s="38">
        <v>7</v>
      </c>
      <c r="G437" s="22">
        <f t="shared" si="117"/>
        <v>9.5238095238095261E-2</v>
      </c>
      <c r="H437" s="38">
        <v>7.59</v>
      </c>
      <c r="I437" s="38">
        <v>7.3</v>
      </c>
      <c r="J437" s="22">
        <f t="shared" si="118"/>
        <v>3.895231699126931E-2</v>
      </c>
      <c r="K437" s="35">
        <v>4603</v>
      </c>
      <c r="L437" s="37">
        <f t="shared" si="120"/>
        <v>15000000</v>
      </c>
      <c r="M437">
        <f t="shared" si="121"/>
        <v>34154.26</v>
      </c>
      <c r="N437" s="37">
        <f t="shared" si="122"/>
        <v>11880000</v>
      </c>
      <c r="O437">
        <f t="shared" si="123"/>
        <v>3.8745791245791246E-4</v>
      </c>
      <c r="P437" s="24">
        <v>77874.22</v>
      </c>
      <c r="Q437" s="9">
        <v>0.189</v>
      </c>
      <c r="R437" s="37">
        <f t="shared" si="124"/>
        <v>219240000</v>
      </c>
      <c r="S437" s="37">
        <f t="shared" si="125"/>
        <v>33140000</v>
      </c>
      <c r="T437" s="37">
        <f t="shared" si="126"/>
        <v>-10030000</v>
      </c>
      <c r="U437" s="37">
        <f t="shared" si="127"/>
        <v>43730000</v>
      </c>
      <c r="V437" s="37">
        <f t="shared" si="127"/>
        <v>43730000</v>
      </c>
      <c r="W437">
        <f t="shared" si="128"/>
        <v>3.1230852803330171E-7</v>
      </c>
      <c r="X437">
        <f t="shared" si="129"/>
        <v>0.19946177704798396</v>
      </c>
      <c r="Y437" s="9"/>
    </row>
    <row r="438" spans="1:25">
      <c r="A438" s="33">
        <v>45511</v>
      </c>
      <c r="B438" s="38">
        <v>7.5</v>
      </c>
      <c r="C438" s="23">
        <f t="shared" si="116"/>
        <v>-1.4454664914586112E-2</v>
      </c>
      <c r="D438">
        <f t="shared" si="119"/>
        <v>2.3812959257227661E-2</v>
      </c>
      <c r="E438" s="38">
        <v>7.5</v>
      </c>
      <c r="F438" s="38">
        <v>7.18</v>
      </c>
      <c r="G438" s="22">
        <f t="shared" si="117"/>
        <v>4.3596730245231648E-2</v>
      </c>
      <c r="H438" s="38">
        <v>7.49</v>
      </c>
      <c r="I438" s="38">
        <v>7.4</v>
      </c>
      <c r="J438" s="22">
        <f t="shared" si="118"/>
        <v>1.2088650100738731E-2</v>
      </c>
      <c r="K438" s="35">
        <v>2684</v>
      </c>
      <c r="L438" s="37">
        <f t="shared" si="120"/>
        <v>15000000</v>
      </c>
      <c r="M438">
        <f t="shared" si="121"/>
        <v>20130</v>
      </c>
      <c r="N438" s="37">
        <f t="shared" si="122"/>
        <v>11880000</v>
      </c>
      <c r="O438">
        <f t="shared" si="123"/>
        <v>2.2592592592592591E-4</v>
      </c>
      <c r="P438" s="24">
        <v>77114.490000000005</v>
      </c>
      <c r="Q438" s="9">
        <v>0.189</v>
      </c>
      <c r="R438" s="37">
        <f t="shared" si="124"/>
        <v>219240000</v>
      </c>
      <c r="S438" s="37">
        <f t="shared" si="125"/>
        <v>33140000</v>
      </c>
      <c r="T438" s="37">
        <f t="shared" si="126"/>
        <v>-10030000</v>
      </c>
      <c r="U438" s="37">
        <f t="shared" si="127"/>
        <v>43730000</v>
      </c>
      <c r="V438" s="37">
        <f t="shared" si="127"/>
        <v>43730000</v>
      </c>
      <c r="W438">
        <f t="shared" si="128"/>
        <v>7.1806581791287191E-7</v>
      </c>
      <c r="X438">
        <f t="shared" si="129"/>
        <v>0.19946177704798396</v>
      </c>
      <c r="Y438" s="9"/>
    </row>
    <row r="439" spans="1:25">
      <c r="A439" s="33">
        <v>45510</v>
      </c>
      <c r="B439" s="38">
        <v>7.61</v>
      </c>
      <c r="C439" s="23">
        <f t="shared" si="116"/>
        <v>3.8199181446111903E-2</v>
      </c>
      <c r="D439">
        <f t="shared" si="119"/>
        <v>2.3812959257227661E-2</v>
      </c>
      <c r="E439" s="38">
        <v>7.68</v>
      </c>
      <c r="F439" s="38">
        <v>7.01</v>
      </c>
      <c r="G439" s="22">
        <f t="shared" si="117"/>
        <v>9.1218515997277053E-2</v>
      </c>
      <c r="H439" s="38">
        <v>7.65</v>
      </c>
      <c r="I439" s="38">
        <v>7.47</v>
      </c>
      <c r="J439" s="22">
        <f t="shared" si="118"/>
        <v>2.3809523809523888E-2</v>
      </c>
      <c r="K439" s="35">
        <v>16972</v>
      </c>
      <c r="L439" s="37">
        <f t="shared" si="120"/>
        <v>15000000</v>
      </c>
      <c r="M439">
        <f t="shared" si="121"/>
        <v>129156.92</v>
      </c>
      <c r="N439" s="37">
        <f t="shared" si="122"/>
        <v>11880000</v>
      </c>
      <c r="O439">
        <f t="shared" si="123"/>
        <v>1.4286195286195287E-3</v>
      </c>
      <c r="P439" s="24">
        <v>77191.34</v>
      </c>
      <c r="Q439" s="9">
        <v>0.19489999999999999</v>
      </c>
      <c r="R439" s="37">
        <f t="shared" si="124"/>
        <v>219240000</v>
      </c>
      <c r="S439" s="37">
        <f t="shared" si="125"/>
        <v>33140000</v>
      </c>
      <c r="T439" s="37">
        <f t="shared" si="126"/>
        <v>-10030000</v>
      </c>
      <c r="U439" s="37">
        <f t="shared" si="127"/>
        <v>43730000</v>
      </c>
      <c r="V439" s="37">
        <f t="shared" si="127"/>
        <v>43730000</v>
      </c>
      <c r="W439">
        <f t="shared" si="128"/>
        <v>2.957579156123567E-7</v>
      </c>
      <c r="X439">
        <f t="shared" si="129"/>
        <v>0.19946177704798396</v>
      </c>
      <c r="Y439" s="9"/>
    </row>
    <row r="440" spans="1:25">
      <c r="A440" s="33">
        <v>45509</v>
      </c>
      <c r="B440" s="38">
        <v>7.33</v>
      </c>
      <c r="C440" s="23">
        <f t="shared" si="116"/>
        <v>-5.7840616966581E-2</v>
      </c>
      <c r="D440">
        <f t="shared" si="119"/>
        <v>2.3812959257227661E-2</v>
      </c>
      <c r="E440" s="38">
        <v>8</v>
      </c>
      <c r="F440" s="38">
        <v>7.28</v>
      </c>
      <c r="G440" s="22">
        <f t="shared" si="117"/>
        <v>9.4240837696335039E-2</v>
      </c>
      <c r="H440" s="38">
        <v>7.3</v>
      </c>
      <c r="I440" s="38">
        <v>7.25</v>
      </c>
      <c r="J440" s="22">
        <f t="shared" si="118"/>
        <v>6.8728522336769515E-3</v>
      </c>
      <c r="K440" s="35">
        <v>17319</v>
      </c>
      <c r="L440" s="37">
        <f t="shared" si="120"/>
        <v>15000000</v>
      </c>
      <c r="M440">
        <f t="shared" si="121"/>
        <v>126948.27</v>
      </c>
      <c r="N440" s="37">
        <f t="shared" si="122"/>
        <v>11880000</v>
      </c>
      <c r="O440">
        <f t="shared" si="123"/>
        <v>1.4578282828282829E-3</v>
      </c>
      <c r="P440" s="24">
        <v>77084.490000000005</v>
      </c>
      <c r="Q440" s="9">
        <v>0.19489999999999999</v>
      </c>
      <c r="R440" s="37">
        <f t="shared" si="124"/>
        <v>219240000</v>
      </c>
      <c r="S440" s="37">
        <f t="shared" si="125"/>
        <v>33140000</v>
      </c>
      <c r="T440" s="37">
        <f t="shared" si="126"/>
        <v>-10030000</v>
      </c>
      <c r="U440" s="37">
        <f t="shared" si="127"/>
        <v>43730000</v>
      </c>
      <c r="V440" s="37">
        <f t="shared" si="127"/>
        <v>43730000</v>
      </c>
      <c r="W440">
        <f t="shared" si="128"/>
        <v>4.5562351473226849E-7</v>
      </c>
      <c r="X440">
        <f t="shared" si="129"/>
        <v>0.19946177704798396</v>
      </c>
      <c r="Y440" s="9"/>
    </row>
    <row r="441" spans="1:25">
      <c r="A441" s="33">
        <v>45506</v>
      </c>
      <c r="B441" s="38">
        <v>7.78</v>
      </c>
      <c r="C441" s="23">
        <f t="shared" si="116"/>
        <v>0</v>
      </c>
      <c r="D441">
        <f t="shared" si="119"/>
        <v>2.3812959257227661E-2</v>
      </c>
      <c r="E441" s="38">
        <v>8.2100000000000009</v>
      </c>
      <c r="F441" s="38">
        <v>8</v>
      </c>
      <c r="G441" s="22">
        <f t="shared" si="117"/>
        <v>2.590993214065402E-2</v>
      </c>
      <c r="H441" s="38">
        <v>8</v>
      </c>
      <c r="I441" s="38">
        <v>7.76</v>
      </c>
      <c r="J441" s="22">
        <f t="shared" si="118"/>
        <v>3.0456852791878201E-2</v>
      </c>
      <c r="K441" s="35">
        <v>2</v>
      </c>
      <c r="L441" s="37">
        <f t="shared" si="120"/>
        <v>15000000</v>
      </c>
      <c r="M441">
        <f t="shared" si="121"/>
        <v>15.56</v>
      </c>
      <c r="N441" s="37">
        <f t="shared" si="122"/>
        <v>11880000</v>
      </c>
      <c r="O441">
        <f t="shared" si="123"/>
        <v>1.6835016835016834E-7</v>
      </c>
      <c r="P441" s="24">
        <v>78225.98</v>
      </c>
      <c r="Q441" s="9">
        <v>0.19489999999999999</v>
      </c>
      <c r="R441" s="37">
        <f t="shared" si="124"/>
        <v>219240000</v>
      </c>
      <c r="S441" s="37">
        <f t="shared" si="125"/>
        <v>33140000</v>
      </c>
      <c r="T441" s="37">
        <f t="shared" si="126"/>
        <v>-10030000</v>
      </c>
      <c r="U441" s="37">
        <f t="shared" si="127"/>
        <v>43730000</v>
      </c>
      <c r="V441" s="37">
        <f t="shared" si="127"/>
        <v>43730000</v>
      </c>
      <c r="W441">
        <f t="shared" si="128"/>
        <v>0</v>
      </c>
      <c r="X441">
        <f t="shared" si="129"/>
        <v>0.19946177704798396</v>
      </c>
      <c r="Y441" s="9"/>
    </row>
    <row r="442" spans="1:25">
      <c r="A442" s="33">
        <v>45505</v>
      </c>
      <c r="B442" s="38">
        <v>7.78</v>
      </c>
      <c r="C442" s="23">
        <f t="shared" si="116"/>
        <v>-5.1219512195121837E-2</v>
      </c>
      <c r="D442">
        <f t="shared" si="119"/>
        <v>2.3812959257227661E-2</v>
      </c>
      <c r="E442" s="38">
        <v>8.3000000000000007</v>
      </c>
      <c r="F442" s="38">
        <v>7.75</v>
      </c>
      <c r="G442" s="22">
        <f t="shared" si="117"/>
        <v>6.853582554517143E-2</v>
      </c>
      <c r="H442" s="38">
        <v>7.9</v>
      </c>
      <c r="I442" s="38">
        <v>7.76</v>
      </c>
      <c r="J442" s="22">
        <f t="shared" si="118"/>
        <v>1.7879948914431745E-2</v>
      </c>
      <c r="K442" s="35">
        <v>6013</v>
      </c>
      <c r="L442" s="37">
        <f t="shared" si="120"/>
        <v>15000000</v>
      </c>
      <c r="M442">
        <f t="shared" si="121"/>
        <v>46781.14</v>
      </c>
      <c r="N442" s="37">
        <f t="shared" si="122"/>
        <v>11880000</v>
      </c>
      <c r="O442">
        <f t="shared" si="123"/>
        <v>5.0614478114478117E-4</v>
      </c>
      <c r="P442" s="24">
        <v>77740.31</v>
      </c>
      <c r="Q442" s="9">
        <v>0.19489999999999999</v>
      </c>
      <c r="R442" s="37">
        <f t="shared" si="124"/>
        <v>219240000</v>
      </c>
      <c r="S442" s="37">
        <f t="shared" si="125"/>
        <v>33140000</v>
      </c>
      <c r="T442" s="37">
        <f t="shared" si="126"/>
        <v>-10030000</v>
      </c>
      <c r="U442" s="37">
        <f t="shared" si="127"/>
        <v>43730000</v>
      </c>
      <c r="V442" s="37">
        <f t="shared" si="127"/>
        <v>43730000</v>
      </c>
      <c r="W442">
        <f t="shared" si="128"/>
        <v>1.0948752466297708E-6</v>
      </c>
      <c r="X442">
        <f t="shared" si="129"/>
        <v>0.19946177704798396</v>
      </c>
      <c r="Y442" s="9"/>
    </row>
    <row r="443" spans="1:25">
      <c r="A443" s="33">
        <v>45504</v>
      </c>
      <c r="B443" s="38">
        <v>8.1999999999999993</v>
      </c>
      <c r="C443" s="23">
        <f t="shared" si="116"/>
        <v>2.4999999999999911E-2</v>
      </c>
      <c r="D443">
        <f t="shared" si="119"/>
        <v>2.3812959257227661E-2</v>
      </c>
      <c r="E443" s="38">
        <v>8.34</v>
      </c>
      <c r="F443" s="38">
        <v>7.95</v>
      </c>
      <c r="G443" s="22">
        <f t="shared" si="117"/>
        <v>4.7882136279926296E-2</v>
      </c>
      <c r="H443" s="38">
        <v>8</v>
      </c>
      <c r="I443" s="38">
        <v>7.91</v>
      </c>
      <c r="J443" s="22">
        <f t="shared" si="118"/>
        <v>1.1313639220615946E-2</v>
      </c>
      <c r="K443" s="35">
        <v>2279</v>
      </c>
      <c r="L443" s="37">
        <f t="shared" si="120"/>
        <v>15000000</v>
      </c>
      <c r="M443">
        <f t="shared" si="121"/>
        <v>18687.8</v>
      </c>
      <c r="N443" s="37">
        <f t="shared" si="122"/>
        <v>11880000</v>
      </c>
      <c r="O443">
        <f t="shared" si="123"/>
        <v>1.9183501683501684E-4</v>
      </c>
      <c r="P443" s="24">
        <v>77886.990000000005</v>
      </c>
      <c r="Q443" s="9">
        <v>0.19489999999999999</v>
      </c>
      <c r="R443" s="37">
        <f t="shared" si="124"/>
        <v>219240000</v>
      </c>
      <c r="S443" s="37">
        <f t="shared" si="125"/>
        <v>33140000</v>
      </c>
      <c r="T443" s="37">
        <f t="shared" si="126"/>
        <v>-10030000</v>
      </c>
      <c r="U443" s="37">
        <f t="shared" si="127"/>
        <v>43730000</v>
      </c>
      <c r="V443" s="37">
        <f t="shared" si="127"/>
        <v>43730000</v>
      </c>
      <c r="W443">
        <f t="shared" si="128"/>
        <v>1.3377711662153871E-6</v>
      </c>
      <c r="X443">
        <f t="shared" si="129"/>
        <v>0.19946177704798396</v>
      </c>
      <c r="Y443" s="9"/>
    </row>
    <row r="444" spans="1:25">
      <c r="A444" s="33">
        <v>45503</v>
      </c>
      <c r="B444" s="38">
        <v>8</v>
      </c>
      <c r="C444" s="23">
        <f t="shared" si="116"/>
        <v>1.1378002528444987E-2</v>
      </c>
      <c r="D444">
        <f t="shared" si="119"/>
        <v>2.3812959257227661E-2</v>
      </c>
      <c r="E444" s="38">
        <v>8.3800000000000008</v>
      </c>
      <c r="F444" s="38">
        <v>8</v>
      </c>
      <c r="G444" s="22">
        <f t="shared" si="117"/>
        <v>4.6398046398046483E-2</v>
      </c>
      <c r="H444" s="38">
        <v>8</v>
      </c>
      <c r="I444" s="38">
        <v>7.98</v>
      </c>
      <c r="J444" s="22">
        <f t="shared" si="118"/>
        <v>2.5031289111388704E-3</v>
      </c>
      <c r="K444" s="35">
        <v>8460</v>
      </c>
      <c r="L444" s="37">
        <f t="shared" si="120"/>
        <v>15000000</v>
      </c>
      <c r="M444">
        <f t="shared" si="121"/>
        <v>67680</v>
      </c>
      <c r="N444" s="37">
        <f t="shared" si="122"/>
        <v>11880000</v>
      </c>
      <c r="O444">
        <f t="shared" si="123"/>
        <v>7.1212121212121211E-4</v>
      </c>
      <c r="P444" s="24">
        <v>78628.81</v>
      </c>
      <c r="Q444" s="9">
        <v>0.19489999999999999</v>
      </c>
      <c r="R444" s="37">
        <f t="shared" si="124"/>
        <v>219240000</v>
      </c>
      <c r="S444" s="37">
        <f t="shared" si="125"/>
        <v>33140000</v>
      </c>
      <c r="T444" s="37">
        <f t="shared" si="126"/>
        <v>-10030000</v>
      </c>
      <c r="U444" s="37">
        <f t="shared" si="127"/>
        <v>43730000</v>
      </c>
      <c r="V444" s="37">
        <f t="shared" si="127"/>
        <v>43730000</v>
      </c>
      <c r="W444">
        <f t="shared" si="128"/>
        <v>1.6811469456922263E-7</v>
      </c>
      <c r="X444">
        <f t="shared" si="129"/>
        <v>0.19946177704798396</v>
      </c>
      <c r="Y444" s="9"/>
    </row>
    <row r="445" spans="1:25">
      <c r="A445" s="33">
        <v>45502</v>
      </c>
      <c r="B445" s="38">
        <v>7.91</v>
      </c>
      <c r="C445" s="23">
        <f t="shared" si="116"/>
        <v>-1.371571072319195E-2</v>
      </c>
      <c r="D445">
        <f t="shared" si="119"/>
        <v>2.3812959257227661E-2</v>
      </c>
      <c r="E445" s="38">
        <v>8.4</v>
      </c>
      <c r="F445" s="38">
        <v>7.71</v>
      </c>
      <c r="G445" s="22">
        <f t="shared" si="117"/>
        <v>8.5661080074487944E-2</v>
      </c>
      <c r="H445" s="38">
        <v>8.09</v>
      </c>
      <c r="I445" s="38">
        <v>7.9</v>
      </c>
      <c r="J445" s="22">
        <f t="shared" si="118"/>
        <v>2.3764853033145652E-2</v>
      </c>
      <c r="K445" s="35">
        <v>3514</v>
      </c>
      <c r="L445" s="37">
        <f t="shared" si="120"/>
        <v>15000000</v>
      </c>
      <c r="M445">
        <f t="shared" si="121"/>
        <v>27795.74</v>
      </c>
      <c r="N445" s="37">
        <f t="shared" si="122"/>
        <v>11880000</v>
      </c>
      <c r="O445">
        <f t="shared" si="123"/>
        <v>2.9579124579124581E-4</v>
      </c>
      <c r="P445" s="24">
        <v>78827.740000000005</v>
      </c>
      <c r="Q445" s="9">
        <v>0.19489999999999999</v>
      </c>
      <c r="R445" s="37">
        <f t="shared" si="124"/>
        <v>219240000</v>
      </c>
      <c r="S445" s="37">
        <f t="shared" si="125"/>
        <v>33140000</v>
      </c>
      <c r="T445" s="37">
        <f t="shared" si="126"/>
        <v>-10030000</v>
      </c>
      <c r="U445" s="37">
        <f t="shared" si="127"/>
        <v>43730000</v>
      </c>
      <c r="V445" s="37">
        <f t="shared" si="127"/>
        <v>43730000</v>
      </c>
      <c r="W445">
        <f t="shared" si="128"/>
        <v>4.9344650378770087E-7</v>
      </c>
      <c r="X445">
        <f t="shared" si="129"/>
        <v>0.19946177704798396</v>
      </c>
      <c r="Y445" s="9"/>
    </row>
    <row r="446" spans="1:25">
      <c r="A446" s="33">
        <v>45499</v>
      </c>
      <c r="B446" s="38">
        <v>8.02</v>
      </c>
      <c r="C446" s="23">
        <f t="shared" si="116"/>
        <v>-2.4875621890546734E-3</v>
      </c>
      <c r="D446">
        <f t="shared" si="119"/>
        <v>2.3812959257227661E-2</v>
      </c>
      <c r="E446" s="38">
        <v>8.39</v>
      </c>
      <c r="F446" s="38">
        <v>8</v>
      </c>
      <c r="G446" s="22">
        <f t="shared" si="117"/>
        <v>4.7589993898718798E-2</v>
      </c>
      <c r="H446" s="38">
        <v>8</v>
      </c>
      <c r="I446" s="38">
        <v>7.81</v>
      </c>
      <c r="J446" s="22">
        <f t="shared" si="118"/>
        <v>2.4035420619860901E-2</v>
      </c>
      <c r="K446" s="35">
        <v>2081</v>
      </c>
      <c r="L446" s="37">
        <f t="shared" si="120"/>
        <v>15000000</v>
      </c>
      <c r="M446">
        <f t="shared" si="121"/>
        <v>16689.62</v>
      </c>
      <c r="N446" s="37">
        <f t="shared" si="122"/>
        <v>11880000</v>
      </c>
      <c r="O446">
        <f t="shared" si="123"/>
        <v>1.7516835016835017E-4</v>
      </c>
      <c r="P446" s="24">
        <v>78029.509999999995</v>
      </c>
      <c r="Q446" s="9">
        <v>0.19489999999999999</v>
      </c>
      <c r="R446" s="37">
        <f t="shared" si="124"/>
        <v>219240000</v>
      </c>
      <c r="S446" s="37">
        <f t="shared" si="125"/>
        <v>33140000</v>
      </c>
      <c r="T446" s="37">
        <f t="shared" si="126"/>
        <v>-10030000</v>
      </c>
      <c r="U446" s="37">
        <f t="shared" si="127"/>
        <v>43730000</v>
      </c>
      <c r="V446" s="37">
        <f t="shared" si="127"/>
        <v>43730000</v>
      </c>
      <c r="W446">
        <f t="shared" si="128"/>
        <v>1.4904846180168712E-7</v>
      </c>
      <c r="X446">
        <f t="shared" si="129"/>
        <v>0.19946177704798396</v>
      </c>
      <c r="Y446" s="9"/>
    </row>
    <row r="447" spans="1:25">
      <c r="A447" s="33">
        <v>45498</v>
      </c>
      <c r="B447" s="38">
        <v>8.0399999999999991</v>
      </c>
      <c r="C447" s="23">
        <f t="shared" si="116"/>
        <v>1.387137452711216E-2</v>
      </c>
      <c r="D447">
        <f t="shared" si="119"/>
        <v>2.3812959257227661E-2</v>
      </c>
      <c r="E447" s="38">
        <v>8.1999999999999993</v>
      </c>
      <c r="F447" s="38">
        <v>8</v>
      </c>
      <c r="G447" s="22">
        <f t="shared" si="117"/>
        <v>2.469135802469127E-2</v>
      </c>
      <c r="H447" s="38">
        <v>8.1</v>
      </c>
      <c r="I447" s="38">
        <v>8</v>
      </c>
      <c r="J447" s="22">
        <f t="shared" si="118"/>
        <v>1.2422360248447159E-2</v>
      </c>
      <c r="K447" s="35">
        <v>14004</v>
      </c>
      <c r="L447" s="37">
        <f t="shared" si="120"/>
        <v>15000000</v>
      </c>
      <c r="M447">
        <f t="shared" si="121"/>
        <v>112592.15999999999</v>
      </c>
      <c r="N447" s="37">
        <f t="shared" si="122"/>
        <v>11880000</v>
      </c>
      <c r="O447">
        <f t="shared" si="123"/>
        <v>1.1787878787878788E-3</v>
      </c>
      <c r="P447" s="24">
        <v>78469.33</v>
      </c>
      <c r="Q447" s="9">
        <v>0.19489999999999999</v>
      </c>
      <c r="R447" s="37">
        <f t="shared" si="124"/>
        <v>219240000</v>
      </c>
      <c r="S447" s="37">
        <f t="shared" si="125"/>
        <v>33140000</v>
      </c>
      <c r="T447" s="37">
        <f t="shared" si="126"/>
        <v>-10030000</v>
      </c>
      <c r="U447" s="37">
        <f t="shared" si="127"/>
        <v>43730000</v>
      </c>
      <c r="V447" s="37">
        <f t="shared" si="127"/>
        <v>43730000</v>
      </c>
      <c r="W447">
        <f t="shared" si="128"/>
        <v>1.2320018131912703E-7</v>
      </c>
      <c r="X447">
        <f t="shared" si="129"/>
        <v>0.19946177704798396</v>
      </c>
      <c r="Y447" s="9"/>
    </row>
    <row r="448" spans="1:25">
      <c r="A448" s="33">
        <v>45497</v>
      </c>
      <c r="B448" s="38">
        <v>7.93</v>
      </c>
      <c r="C448" s="23">
        <f t="shared" si="116"/>
        <v>-7.5093867334168332E-3</v>
      </c>
      <c r="D448">
        <f t="shared" si="119"/>
        <v>2.3812959257227661E-2</v>
      </c>
      <c r="E448" s="38">
        <v>8.1999999999999993</v>
      </c>
      <c r="F448" s="38">
        <v>7.8</v>
      </c>
      <c r="G448" s="22">
        <f t="shared" si="117"/>
        <v>4.9999999999999933E-2</v>
      </c>
      <c r="H448" s="38">
        <v>8.1</v>
      </c>
      <c r="I448" s="38">
        <v>7.81</v>
      </c>
      <c r="J448" s="22">
        <f t="shared" si="118"/>
        <v>3.645505971087367E-2</v>
      </c>
      <c r="K448" s="35">
        <v>7203</v>
      </c>
      <c r="L448" s="37">
        <f t="shared" si="120"/>
        <v>15000000</v>
      </c>
      <c r="M448">
        <f t="shared" si="121"/>
        <v>57119.79</v>
      </c>
      <c r="N448" s="37">
        <f t="shared" si="122"/>
        <v>11880000</v>
      </c>
      <c r="O448">
        <f t="shared" si="123"/>
        <v>6.063131313131313E-4</v>
      </c>
      <c r="P448" s="24">
        <v>79397.009999999995</v>
      </c>
      <c r="Q448" s="9">
        <v>0.19489999999999999</v>
      </c>
      <c r="R448" s="37">
        <f t="shared" si="124"/>
        <v>219240000</v>
      </c>
      <c r="S448" s="37">
        <f t="shared" si="125"/>
        <v>33140000</v>
      </c>
      <c r="T448" s="37">
        <f t="shared" si="126"/>
        <v>-10030000</v>
      </c>
      <c r="U448" s="37">
        <f t="shared" si="127"/>
        <v>43730000</v>
      </c>
      <c r="V448" s="37">
        <f t="shared" si="127"/>
        <v>43730000</v>
      </c>
      <c r="W448">
        <f t="shared" si="128"/>
        <v>1.3146733791242638E-7</v>
      </c>
      <c r="X448">
        <f t="shared" si="129"/>
        <v>0.19946177704798396</v>
      </c>
      <c r="Y448" s="9"/>
    </row>
    <row r="449" spans="1:25">
      <c r="A449" s="33">
        <v>45496</v>
      </c>
      <c r="B449" s="38">
        <v>7.99</v>
      </c>
      <c r="C449" s="23">
        <f t="shared" si="116"/>
        <v>-2.4968789013732301E-3</v>
      </c>
      <c r="D449">
        <f t="shared" si="119"/>
        <v>2.3812959257227661E-2</v>
      </c>
      <c r="E449" s="38">
        <v>8.15</v>
      </c>
      <c r="F449" s="38">
        <v>7.06</v>
      </c>
      <c r="G449" s="22">
        <f t="shared" si="117"/>
        <v>0.14332675871137418</v>
      </c>
      <c r="H449" s="38">
        <v>8.15</v>
      </c>
      <c r="I449" s="38">
        <v>8.14</v>
      </c>
      <c r="J449" s="22">
        <f t="shared" si="118"/>
        <v>1.2277470841006491E-3</v>
      </c>
      <c r="K449" s="35">
        <v>60796</v>
      </c>
      <c r="L449" s="37">
        <f t="shared" si="120"/>
        <v>15000000</v>
      </c>
      <c r="M449">
        <f t="shared" si="121"/>
        <v>485760.04000000004</v>
      </c>
      <c r="N449" s="37">
        <f t="shared" si="122"/>
        <v>11880000</v>
      </c>
      <c r="O449">
        <f t="shared" si="123"/>
        <v>5.1175084175084174E-3</v>
      </c>
      <c r="P449" s="24">
        <v>78987.09</v>
      </c>
      <c r="Q449" s="9">
        <v>0.19489999999999999</v>
      </c>
      <c r="R449" s="37">
        <f t="shared" si="124"/>
        <v>219240000</v>
      </c>
      <c r="S449" s="37">
        <f t="shared" si="125"/>
        <v>33140000</v>
      </c>
      <c r="T449" s="37">
        <f t="shared" si="126"/>
        <v>-10030000</v>
      </c>
      <c r="U449" s="37">
        <f t="shared" si="127"/>
        <v>43730000</v>
      </c>
      <c r="V449" s="37">
        <f t="shared" si="127"/>
        <v>43730000</v>
      </c>
      <c r="W449">
        <f t="shared" si="128"/>
        <v>5.1401488302191961E-9</v>
      </c>
      <c r="X449">
        <f t="shared" si="129"/>
        <v>0.19946177704798396</v>
      </c>
      <c r="Y449" s="9"/>
    </row>
    <row r="450" spans="1:25" ht="15" thickBot="1">
      <c r="A450" s="33">
        <v>45495</v>
      </c>
      <c r="B450" s="38">
        <v>8.01</v>
      </c>
      <c r="C450" s="23">
        <f>IFERROR((B450-#REF!)/#REF!,0)</f>
        <v>0</v>
      </c>
      <c r="D450">
        <f t="shared" si="119"/>
        <v>2.3812959257227661E-2</v>
      </c>
      <c r="E450" s="38">
        <v>8.4</v>
      </c>
      <c r="F450" s="38">
        <v>7.81</v>
      </c>
      <c r="G450" s="22">
        <f t="shared" si="117"/>
        <v>7.2794571252313478E-2</v>
      </c>
      <c r="H450" s="38">
        <v>8.08</v>
      </c>
      <c r="I450" s="38">
        <v>7.86</v>
      </c>
      <c r="J450" s="22">
        <f t="shared" si="118"/>
        <v>2.7603513174403981E-2</v>
      </c>
      <c r="K450" s="35">
        <v>60400</v>
      </c>
      <c r="L450" s="37">
        <f t="shared" si="120"/>
        <v>15000000</v>
      </c>
      <c r="M450">
        <f t="shared" si="121"/>
        <v>483804</v>
      </c>
      <c r="N450" s="37">
        <f t="shared" si="122"/>
        <v>11880000</v>
      </c>
      <c r="O450">
        <f t="shared" si="123"/>
        <v>5.0841750841750842E-3</v>
      </c>
      <c r="P450" s="24">
        <v>78539.19</v>
      </c>
      <c r="Q450" s="9">
        <v>0.19489999999999999</v>
      </c>
      <c r="R450" s="37">
        <f t="shared" si="124"/>
        <v>219240000</v>
      </c>
      <c r="S450" s="37">
        <f t="shared" si="125"/>
        <v>33140000</v>
      </c>
      <c r="T450" s="37">
        <f t="shared" si="126"/>
        <v>-10030000</v>
      </c>
      <c r="U450" s="37">
        <f t="shared" si="127"/>
        <v>43730000</v>
      </c>
      <c r="V450" s="37">
        <f t="shared" si="127"/>
        <v>43730000</v>
      </c>
      <c r="W450">
        <f t="shared" si="128"/>
        <v>0</v>
      </c>
      <c r="X450">
        <f t="shared" si="129"/>
        <v>0.19946177704798396</v>
      </c>
      <c r="Y450" s="9"/>
    </row>
    <row r="451" spans="1:25" ht="16" thickBot="1">
      <c r="A451" s="184" t="s">
        <v>47</v>
      </c>
      <c r="B451" s="185"/>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6"/>
      <c r="Y451" s="9"/>
    </row>
    <row r="452" spans="1:25" ht="43.5">
      <c r="A452" s="1" t="s">
        <v>14</v>
      </c>
      <c r="B452" s="2" t="s">
        <v>15</v>
      </c>
      <c r="C452" s="4" t="s">
        <v>16</v>
      </c>
      <c r="D452" s="4" t="s">
        <v>17</v>
      </c>
      <c r="E452" s="1" t="s">
        <v>0</v>
      </c>
      <c r="F452" s="1" t="s">
        <v>13</v>
      </c>
      <c r="G452" s="7" t="s">
        <v>18</v>
      </c>
      <c r="H452" s="1" t="s">
        <v>12</v>
      </c>
      <c r="I452" s="1" t="s">
        <v>1</v>
      </c>
      <c r="J452" s="7" t="s">
        <v>19</v>
      </c>
      <c r="K452" s="2" t="s">
        <v>2</v>
      </c>
      <c r="L452" s="2" t="s">
        <v>3</v>
      </c>
      <c r="M452" s="7" t="s">
        <v>20</v>
      </c>
      <c r="N452" s="2" t="s">
        <v>4</v>
      </c>
      <c r="O452" s="7" t="s">
        <v>21</v>
      </c>
      <c r="P452" s="2" t="s">
        <v>5</v>
      </c>
      <c r="Q452" s="2" t="s">
        <v>6</v>
      </c>
      <c r="R452" s="2" t="s">
        <v>7</v>
      </c>
      <c r="S452" s="2" t="s">
        <v>8</v>
      </c>
      <c r="T452" s="2" t="s">
        <v>9</v>
      </c>
      <c r="U452" s="2" t="s">
        <v>10</v>
      </c>
      <c r="V452" s="2" t="s">
        <v>11</v>
      </c>
      <c r="W452" s="7" t="s">
        <v>73</v>
      </c>
      <c r="X452" s="7" t="s">
        <v>72</v>
      </c>
      <c r="Y452" s="9"/>
    </row>
    <row r="453" spans="1:25">
      <c r="A453" s="33">
        <v>45555</v>
      </c>
      <c r="B453" s="38">
        <v>42.43</v>
      </c>
      <c r="C453" s="23">
        <f t="shared" ref="C453:C494" si="130">IFERROR((B453-B454)/B454,0)</f>
        <v>2.4879227053140125E-2</v>
      </c>
      <c r="D453">
        <f>_xlfn.STDEV.S($C$453:$C$495)</f>
        <v>3.1334545830018413E-2</v>
      </c>
      <c r="E453" s="38">
        <v>43.75</v>
      </c>
      <c r="F453" s="38">
        <v>40.020000000000003</v>
      </c>
      <c r="G453" s="22">
        <f>(E453-F453)/((E453+F453)/2)</f>
        <v>8.9053360391548195E-2</v>
      </c>
      <c r="H453" s="38">
        <v>42.5</v>
      </c>
      <c r="I453" s="38">
        <v>42.01</v>
      </c>
      <c r="J453" s="22">
        <f>(H453-I453)/((H453+I453)/2)</f>
        <v>1.1596260797538801E-2</v>
      </c>
      <c r="K453" s="35">
        <v>84438</v>
      </c>
      <c r="L453" s="37">
        <f>380.86*1000000</f>
        <v>380860000</v>
      </c>
      <c r="M453">
        <f>B453*K453</f>
        <v>3582704.34</v>
      </c>
      <c r="N453">
        <f>179.25*1000000</f>
        <v>179250000</v>
      </c>
      <c r="O453">
        <f>K453/N453</f>
        <v>4.7106276150627612E-4</v>
      </c>
      <c r="P453" s="24">
        <v>82074.45</v>
      </c>
      <c r="Q453" s="9">
        <v>0.1741</v>
      </c>
      <c r="R453" s="37">
        <f>41958.24*1000000</f>
        <v>41958240000</v>
      </c>
      <c r="S453" s="37">
        <f>16631.85*1000000</f>
        <v>16631849999.999998</v>
      </c>
      <c r="T453" s="37">
        <f>435.2*1000000</f>
        <v>435200000</v>
      </c>
      <c r="U453" s="37">
        <f>292.1*1000000</f>
        <v>292100000</v>
      </c>
      <c r="V453" s="37">
        <f>8769.58*1000000</f>
        <v>8769580000</v>
      </c>
      <c r="W453">
        <f>IFERROR(ABS(C453)/M453,"0")</f>
        <v>6.944259054639191E-9</v>
      </c>
      <c r="X453">
        <f>V453/R453</f>
        <v>0.20900733681870354</v>
      </c>
      <c r="Y453" s="9"/>
    </row>
    <row r="454" spans="1:25">
      <c r="A454" s="33">
        <v>45554</v>
      </c>
      <c r="B454" s="38">
        <v>41.4</v>
      </c>
      <c r="C454" s="23">
        <f t="shared" si="130"/>
        <v>-8.6206896551723998E-3</v>
      </c>
      <c r="D454">
        <f t="shared" ref="D454:D495" si="131">_xlfn.STDEV.S($C$453:$C$495)</f>
        <v>3.1334545830018413E-2</v>
      </c>
      <c r="E454" s="38">
        <v>43</v>
      </c>
      <c r="F454" s="38">
        <v>38.380000000000003</v>
      </c>
      <c r="G454" s="22">
        <f t="shared" ref="G454:G495" si="132">(E454-F454)/((E454+F454)/2)</f>
        <v>0.11354141066601124</v>
      </c>
      <c r="H454" s="38">
        <v>43</v>
      </c>
      <c r="I454" s="38">
        <v>42</v>
      </c>
      <c r="J454" s="22">
        <f t="shared" ref="J454:J495" si="133">(H454-I454)/((H454+I454)/2)</f>
        <v>2.3529411764705882E-2</v>
      </c>
      <c r="K454" s="35">
        <v>27522</v>
      </c>
      <c r="L454" s="37">
        <f t="shared" ref="L454:L495" si="134">380.86*1000000</f>
        <v>380860000</v>
      </c>
      <c r="M454">
        <f t="shared" ref="M454:M495" si="135">B454*K454</f>
        <v>1139410.8</v>
      </c>
      <c r="N454">
        <f t="shared" ref="N454:N495" si="136">179.25*1000000</f>
        <v>179250000</v>
      </c>
      <c r="O454">
        <f t="shared" ref="O454:O495" si="137">K454/N454</f>
        <v>1.5353974895397488E-4</v>
      </c>
      <c r="P454" s="24">
        <v>81459.289999999994</v>
      </c>
      <c r="Q454" s="9">
        <v>0.1741</v>
      </c>
      <c r="R454" s="37">
        <f t="shared" ref="R454:R495" si="138">41958.24*1000000</f>
        <v>41958240000</v>
      </c>
      <c r="S454" s="37">
        <f t="shared" ref="S454:S495" si="139">16631.85*1000000</f>
        <v>16631849999.999998</v>
      </c>
      <c r="T454" s="37">
        <f t="shared" ref="T454:T495" si="140">435.2*1000000</f>
        <v>435200000</v>
      </c>
      <c r="U454" s="37">
        <f t="shared" ref="U454:U495" si="141">292.1*1000000</f>
        <v>292100000</v>
      </c>
      <c r="V454" s="37">
        <f t="shared" ref="V454:V495" si="142">8769.58*1000000</f>
        <v>8769580000</v>
      </c>
      <c r="W454">
        <f t="shared" ref="W454:W495" si="143">IFERROR(ABS(C454)/M454,"0")</f>
        <v>7.5659188548786793E-9</v>
      </c>
      <c r="X454">
        <f t="shared" ref="X454:X495" si="144">V454/R454</f>
        <v>0.20900733681870354</v>
      </c>
      <c r="Y454" s="9"/>
    </row>
    <row r="455" spans="1:25">
      <c r="A455" s="33">
        <v>45553</v>
      </c>
      <c r="B455" s="38">
        <v>41.76</v>
      </c>
      <c r="C455" s="23">
        <f t="shared" si="130"/>
        <v>1.8536585365853609E-2</v>
      </c>
      <c r="D455">
        <f t="shared" si="131"/>
        <v>3.1334545830018413E-2</v>
      </c>
      <c r="E455" s="38">
        <v>42.19</v>
      </c>
      <c r="F455" s="38">
        <v>40</v>
      </c>
      <c r="G455" s="22">
        <f t="shared" si="132"/>
        <v>5.3291154641683852E-2</v>
      </c>
      <c r="H455" s="38">
        <v>41.75</v>
      </c>
      <c r="I455" s="38">
        <v>41.04</v>
      </c>
      <c r="J455" s="22">
        <f t="shared" si="133"/>
        <v>1.7151829931151129E-2</v>
      </c>
      <c r="K455" s="35">
        <v>3146</v>
      </c>
      <c r="L455" s="37">
        <f t="shared" si="134"/>
        <v>380860000</v>
      </c>
      <c r="M455">
        <f t="shared" si="135"/>
        <v>131376.95999999999</v>
      </c>
      <c r="N455">
        <f t="shared" si="136"/>
        <v>179250000</v>
      </c>
      <c r="O455">
        <f t="shared" si="137"/>
        <v>1.7550906555090656E-5</v>
      </c>
      <c r="P455" s="24">
        <v>80461.34</v>
      </c>
      <c r="Q455" s="9">
        <v>0.1741</v>
      </c>
      <c r="R455" s="37">
        <f t="shared" si="138"/>
        <v>41958240000</v>
      </c>
      <c r="S455" s="37">
        <f t="shared" si="139"/>
        <v>16631849999.999998</v>
      </c>
      <c r="T455" s="37">
        <f t="shared" si="140"/>
        <v>435200000</v>
      </c>
      <c r="U455" s="37">
        <f t="shared" si="141"/>
        <v>292100000</v>
      </c>
      <c r="V455" s="37">
        <f t="shared" si="142"/>
        <v>8769580000</v>
      </c>
      <c r="W455">
        <f t="shared" si="143"/>
        <v>1.4109464373245971E-7</v>
      </c>
      <c r="X455">
        <f t="shared" si="144"/>
        <v>0.20900733681870354</v>
      </c>
      <c r="Y455" s="9"/>
    </row>
    <row r="456" spans="1:25">
      <c r="A456" s="33">
        <v>45551</v>
      </c>
      <c r="B456" s="38">
        <v>41</v>
      </c>
      <c r="C456" s="23">
        <f t="shared" si="130"/>
        <v>-3.1877213695395548E-2</v>
      </c>
      <c r="D456">
        <f t="shared" si="131"/>
        <v>3.1334545830018413E-2</v>
      </c>
      <c r="E456" s="38">
        <v>42</v>
      </c>
      <c r="F456" s="38">
        <v>40</v>
      </c>
      <c r="G456" s="22">
        <f t="shared" si="132"/>
        <v>4.878048780487805E-2</v>
      </c>
      <c r="H456" s="38">
        <v>41</v>
      </c>
      <c r="I456" s="38">
        <v>40.9</v>
      </c>
      <c r="J456" s="22">
        <f t="shared" si="133"/>
        <v>2.4420024420024767E-3</v>
      </c>
      <c r="K456" s="35">
        <v>4985</v>
      </c>
      <c r="L456" s="37">
        <f t="shared" si="134"/>
        <v>380860000</v>
      </c>
      <c r="M456">
        <f t="shared" si="135"/>
        <v>204385</v>
      </c>
      <c r="N456">
        <f t="shared" si="136"/>
        <v>179250000</v>
      </c>
      <c r="O456">
        <f t="shared" si="137"/>
        <v>2.7810320781032077E-5</v>
      </c>
      <c r="P456" s="24">
        <v>79491.14</v>
      </c>
      <c r="Q456" s="9">
        <v>0.1741</v>
      </c>
      <c r="R456" s="37">
        <f t="shared" si="138"/>
        <v>41958240000</v>
      </c>
      <c r="S456" s="37">
        <f t="shared" si="139"/>
        <v>16631849999.999998</v>
      </c>
      <c r="T456" s="37">
        <f t="shared" si="140"/>
        <v>435200000</v>
      </c>
      <c r="U456" s="37">
        <f t="shared" si="141"/>
        <v>292100000</v>
      </c>
      <c r="V456" s="37">
        <f t="shared" si="142"/>
        <v>8769580000</v>
      </c>
      <c r="W456">
        <f t="shared" si="143"/>
        <v>1.5596650290087603E-7</v>
      </c>
      <c r="X456">
        <f t="shared" si="144"/>
        <v>0.20900733681870354</v>
      </c>
      <c r="Y456" s="9"/>
    </row>
    <row r="457" spans="1:25">
      <c r="A457" s="33">
        <v>45548</v>
      </c>
      <c r="B457" s="38">
        <v>42.35</v>
      </c>
      <c r="C457" s="23">
        <f t="shared" si="130"/>
        <v>3.0413625304136251E-2</v>
      </c>
      <c r="D457">
        <f t="shared" si="131"/>
        <v>3.1334545830018413E-2</v>
      </c>
      <c r="E457" s="38">
        <v>43.3</v>
      </c>
      <c r="F457" s="38">
        <v>40.51</v>
      </c>
      <c r="G457" s="22">
        <f t="shared" si="132"/>
        <v>6.6579167163822908E-2</v>
      </c>
      <c r="H457" s="38">
        <v>42.99</v>
      </c>
      <c r="I457" s="38">
        <v>41.25</v>
      </c>
      <c r="J457" s="22">
        <f t="shared" si="133"/>
        <v>4.1310541310541356E-2</v>
      </c>
      <c r="K457" s="35">
        <v>18881</v>
      </c>
      <c r="L457" s="37">
        <f t="shared" si="134"/>
        <v>380860000</v>
      </c>
      <c r="M457">
        <f t="shared" si="135"/>
        <v>799610.35</v>
      </c>
      <c r="N457">
        <f t="shared" si="136"/>
        <v>179250000</v>
      </c>
      <c r="O457">
        <f t="shared" si="137"/>
        <v>1.0533333333333334E-4</v>
      </c>
      <c r="P457" s="24">
        <v>79333.06</v>
      </c>
      <c r="Q457" s="9">
        <v>0.1741</v>
      </c>
      <c r="R457" s="37">
        <f t="shared" si="138"/>
        <v>41958240000</v>
      </c>
      <c r="S457" s="37">
        <f t="shared" si="139"/>
        <v>16631849999.999998</v>
      </c>
      <c r="T457" s="37">
        <f t="shared" si="140"/>
        <v>435200000</v>
      </c>
      <c r="U457" s="37">
        <f t="shared" si="141"/>
        <v>292100000</v>
      </c>
      <c r="V457" s="37">
        <f t="shared" si="142"/>
        <v>8769580000</v>
      </c>
      <c r="W457">
        <f t="shared" si="143"/>
        <v>3.8035557323809345E-8</v>
      </c>
      <c r="X457">
        <f t="shared" si="144"/>
        <v>0.20900733681870354</v>
      </c>
      <c r="Y457" s="9"/>
    </row>
    <row r="458" spans="1:25">
      <c r="A458" s="33">
        <v>45547</v>
      </c>
      <c r="B458" s="38">
        <v>41.1</v>
      </c>
      <c r="C458" s="23">
        <f t="shared" si="130"/>
        <v>6.3663075416258074E-3</v>
      </c>
      <c r="D458">
        <f t="shared" si="131"/>
        <v>3.1334545830018413E-2</v>
      </c>
      <c r="E458" s="38">
        <v>42.89</v>
      </c>
      <c r="F458" s="38">
        <v>40</v>
      </c>
      <c r="G458" s="22">
        <f t="shared" si="132"/>
        <v>6.9730968753770065E-2</v>
      </c>
      <c r="H458" s="38">
        <v>41.65</v>
      </c>
      <c r="I458" s="38">
        <v>41.11</v>
      </c>
      <c r="J458" s="22">
        <f t="shared" si="133"/>
        <v>1.3049782503624921E-2</v>
      </c>
      <c r="K458" s="35">
        <v>10106</v>
      </c>
      <c r="L458" s="37">
        <f t="shared" si="134"/>
        <v>380860000</v>
      </c>
      <c r="M458">
        <f t="shared" si="135"/>
        <v>415356.60000000003</v>
      </c>
      <c r="N458">
        <f t="shared" si="136"/>
        <v>179250000</v>
      </c>
      <c r="O458">
        <f t="shared" si="137"/>
        <v>5.6379358437935844E-5</v>
      </c>
      <c r="P458" s="24">
        <v>79017.62</v>
      </c>
      <c r="Q458" s="9">
        <v>0.1741</v>
      </c>
      <c r="R458" s="37">
        <f t="shared" si="138"/>
        <v>41958240000</v>
      </c>
      <c r="S458" s="37">
        <f t="shared" si="139"/>
        <v>16631849999.999998</v>
      </c>
      <c r="T458" s="37">
        <f t="shared" si="140"/>
        <v>435200000</v>
      </c>
      <c r="U458" s="37">
        <f t="shared" si="141"/>
        <v>292100000</v>
      </c>
      <c r="V458" s="37">
        <f t="shared" si="142"/>
        <v>8769580000</v>
      </c>
      <c r="W458">
        <f t="shared" si="143"/>
        <v>1.5327329676778476E-8</v>
      </c>
      <c r="X458">
        <f t="shared" si="144"/>
        <v>0.20900733681870354</v>
      </c>
      <c r="Y458" s="9"/>
    </row>
    <row r="459" spans="1:25">
      <c r="A459" s="33">
        <v>45546</v>
      </c>
      <c r="B459" s="38">
        <v>40.840000000000003</v>
      </c>
      <c r="C459" s="23">
        <f t="shared" si="130"/>
        <v>-8.9784033001697999E-3</v>
      </c>
      <c r="D459">
        <f t="shared" si="131"/>
        <v>3.1334545830018413E-2</v>
      </c>
      <c r="E459" s="38">
        <v>41.5</v>
      </c>
      <c r="F459" s="38">
        <v>40.54</v>
      </c>
      <c r="G459" s="22">
        <f t="shared" si="132"/>
        <v>2.3403217942467112E-2</v>
      </c>
      <c r="H459" s="38">
        <v>41.2</v>
      </c>
      <c r="I459" s="38">
        <v>40.54</v>
      </c>
      <c r="J459" s="22">
        <f t="shared" si="133"/>
        <v>1.6148764374847163E-2</v>
      </c>
      <c r="K459" s="35">
        <v>6326</v>
      </c>
      <c r="L459" s="37">
        <f t="shared" si="134"/>
        <v>380860000</v>
      </c>
      <c r="M459">
        <f t="shared" si="135"/>
        <v>258353.84000000003</v>
      </c>
      <c r="N459">
        <f t="shared" si="136"/>
        <v>179250000</v>
      </c>
      <c r="O459">
        <f t="shared" si="137"/>
        <v>3.5291492329149235E-5</v>
      </c>
      <c r="P459" s="24">
        <v>78651.8</v>
      </c>
      <c r="Q459" s="9">
        <v>0.1741</v>
      </c>
      <c r="R459" s="37">
        <f t="shared" si="138"/>
        <v>41958240000</v>
      </c>
      <c r="S459" s="37">
        <f t="shared" si="139"/>
        <v>16631849999.999998</v>
      </c>
      <c r="T459" s="37">
        <f t="shared" si="140"/>
        <v>435200000</v>
      </c>
      <c r="U459" s="37">
        <f t="shared" si="141"/>
        <v>292100000</v>
      </c>
      <c r="V459" s="37">
        <f t="shared" si="142"/>
        <v>8769580000</v>
      </c>
      <c r="W459">
        <f t="shared" si="143"/>
        <v>3.4752350885010257E-8</v>
      </c>
      <c r="X459">
        <f t="shared" si="144"/>
        <v>0.20900733681870354</v>
      </c>
      <c r="Y459" s="9"/>
    </row>
    <row r="460" spans="1:25">
      <c r="A460" s="33">
        <v>45545</v>
      </c>
      <c r="B460" s="38">
        <v>41.21</v>
      </c>
      <c r="C460" s="23">
        <f t="shared" si="130"/>
        <v>5.1219512195122162E-3</v>
      </c>
      <c r="D460">
        <f t="shared" si="131"/>
        <v>3.1334545830018413E-2</v>
      </c>
      <c r="E460" s="38">
        <v>41.99</v>
      </c>
      <c r="F460" s="38">
        <v>40.5</v>
      </c>
      <c r="G460" s="22">
        <f t="shared" si="132"/>
        <v>3.6125590980724979E-2</v>
      </c>
      <c r="H460" s="38">
        <v>41.25</v>
      </c>
      <c r="I460" s="38">
        <v>41.2</v>
      </c>
      <c r="J460" s="22">
        <f t="shared" si="133"/>
        <v>1.2128562765311621E-3</v>
      </c>
      <c r="K460" s="35">
        <v>6669</v>
      </c>
      <c r="L460" s="37">
        <f t="shared" si="134"/>
        <v>380860000</v>
      </c>
      <c r="M460">
        <f t="shared" si="135"/>
        <v>274829.49</v>
      </c>
      <c r="N460">
        <f t="shared" si="136"/>
        <v>179250000</v>
      </c>
      <c r="O460">
        <f t="shared" si="137"/>
        <v>3.7205020920502093E-5</v>
      </c>
      <c r="P460" s="24">
        <v>79286.740000000005</v>
      </c>
      <c r="Q460" s="9">
        <v>0.1741</v>
      </c>
      <c r="R460" s="37">
        <f t="shared" si="138"/>
        <v>41958240000</v>
      </c>
      <c r="S460" s="37">
        <f t="shared" si="139"/>
        <v>16631849999.999998</v>
      </c>
      <c r="T460" s="37">
        <f t="shared" si="140"/>
        <v>435200000</v>
      </c>
      <c r="U460" s="37">
        <f t="shared" si="141"/>
        <v>292100000</v>
      </c>
      <c r="V460" s="37">
        <f t="shared" si="142"/>
        <v>8769580000</v>
      </c>
      <c r="W460">
        <f t="shared" si="143"/>
        <v>1.8636832675824622E-8</v>
      </c>
      <c r="X460">
        <f t="shared" si="144"/>
        <v>0.20900733681870354</v>
      </c>
      <c r="Y460" s="9"/>
    </row>
    <row r="461" spans="1:25">
      <c r="A461" s="33">
        <v>45544</v>
      </c>
      <c r="B461" s="38">
        <v>41</v>
      </c>
      <c r="C461" s="23">
        <f t="shared" si="130"/>
        <v>-1.4612761811983017E-3</v>
      </c>
      <c r="D461">
        <f t="shared" si="131"/>
        <v>3.1334545830018413E-2</v>
      </c>
      <c r="E461" s="38">
        <v>41.7</v>
      </c>
      <c r="F461" s="38">
        <v>41</v>
      </c>
      <c r="G461" s="22">
        <f t="shared" si="132"/>
        <v>1.6928657799274553E-2</v>
      </c>
      <c r="H461" s="38">
        <v>41.5</v>
      </c>
      <c r="I461" s="38">
        <v>41.05</v>
      </c>
      <c r="J461" s="22">
        <f t="shared" si="133"/>
        <v>1.0902483343428294E-2</v>
      </c>
      <c r="K461" s="35">
        <v>3125</v>
      </c>
      <c r="L461" s="37">
        <f t="shared" si="134"/>
        <v>380860000</v>
      </c>
      <c r="M461">
        <f t="shared" si="135"/>
        <v>128125</v>
      </c>
      <c r="N461">
        <f t="shared" si="136"/>
        <v>179250000</v>
      </c>
      <c r="O461">
        <f t="shared" si="137"/>
        <v>1.7433751743375174E-5</v>
      </c>
      <c r="P461" s="24">
        <v>78615</v>
      </c>
      <c r="Q461" s="9">
        <v>0.1741</v>
      </c>
      <c r="R461" s="37">
        <f t="shared" si="138"/>
        <v>41958240000</v>
      </c>
      <c r="S461" s="37">
        <f t="shared" si="139"/>
        <v>16631849999.999998</v>
      </c>
      <c r="T461" s="37">
        <f t="shared" si="140"/>
        <v>435200000</v>
      </c>
      <c r="U461" s="37">
        <f t="shared" si="141"/>
        <v>292100000</v>
      </c>
      <c r="V461" s="37">
        <f t="shared" si="142"/>
        <v>8769580000</v>
      </c>
      <c r="W461">
        <f t="shared" si="143"/>
        <v>1.1405082389840404E-8</v>
      </c>
      <c r="X461">
        <f t="shared" si="144"/>
        <v>0.20900733681870354</v>
      </c>
      <c r="Y461" s="9"/>
    </row>
    <row r="462" spans="1:25">
      <c r="A462" s="33">
        <v>45541</v>
      </c>
      <c r="B462" s="38">
        <v>41.06</v>
      </c>
      <c r="C462" s="23">
        <f t="shared" si="130"/>
        <v>-1.1555127587867042E-2</v>
      </c>
      <c r="D462">
        <f t="shared" si="131"/>
        <v>3.1334545830018413E-2</v>
      </c>
      <c r="E462" s="38">
        <v>41.87</v>
      </c>
      <c r="F462" s="38">
        <v>40.380000000000003</v>
      </c>
      <c r="G462" s="22">
        <f t="shared" si="132"/>
        <v>3.6231003039513557E-2</v>
      </c>
      <c r="H462" s="38">
        <v>41</v>
      </c>
      <c r="I462" s="38">
        <v>40.549999999999997</v>
      </c>
      <c r="J462" s="22">
        <f t="shared" si="133"/>
        <v>1.1036174126302952E-2</v>
      </c>
      <c r="K462" s="35">
        <v>2417</v>
      </c>
      <c r="L462" s="37">
        <f t="shared" si="134"/>
        <v>380860000</v>
      </c>
      <c r="M462">
        <f t="shared" si="135"/>
        <v>99242.02</v>
      </c>
      <c r="N462">
        <f t="shared" si="136"/>
        <v>179250000</v>
      </c>
      <c r="O462">
        <f t="shared" si="137"/>
        <v>1.3483960948396095E-5</v>
      </c>
      <c r="P462" s="24">
        <v>78897.73</v>
      </c>
      <c r="Q462" s="9">
        <v>0.1741</v>
      </c>
      <c r="R462" s="37">
        <f t="shared" si="138"/>
        <v>41958240000</v>
      </c>
      <c r="S462" s="37">
        <f t="shared" si="139"/>
        <v>16631849999.999998</v>
      </c>
      <c r="T462" s="37">
        <f t="shared" si="140"/>
        <v>435200000</v>
      </c>
      <c r="U462" s="37">
        <f t="shared" si="141"/>
        <v>292100000</v>
      </c>
      <c r="V462" s="37">
        <f t="shared" si="142"/>
        <v>8769580000</v>
      </c>
      <c r="W462">
        <f t="shared" si="143"/>
        <v>1.1643382095474317E-7</v>
      </c>
      <c r="X462">
        <f t="shared" si="144"/>
        <v>0.20900733681870354</v>
      </c>
      <c r="Y462" s="9"/>
    </row>
    <row r="463" spans="1:25">
      <c r="A463" s="33">
        <v>45540</v>
      </c>
      <c r="B463" s="38">
        <v>41.54</v>
      </c>
      <c r="C463" s="23">
        <f t="shared" si="130"/>
        <v>-1.0716837342224407E-2</v>
      </c>
      <c r="D463">
        <f t="shared" si="131"/>
        <v>3.1334545830018413E-2</v>
      </c>
      <c r="E463" s="38">
        <v>41.91</v>
      </c>
      <c r="F463" s="38">
        <v>41.5</v>
      </c>
      <c r="G463" s="22">
        <f t="shared" si="132"/>
        <v>9.8309555209206718E-3</v>
      </c>
      <c r="H463" s="38">
        <v>41.87</v>
      </c>
      <c r="I463" s="38">
        <v>41.54</v>
      </c>
      <c r="J463" s="22">
        <f t="shared" si="133"/>
        <v>7.9127202973264185E-3</v>
      </c>
      <c r="K463" s="35">
        <v>1469</v>
      </c>
      <c r="L463" s="37">
        <f t="shared" si="134"/>
        <v>380860000</v>
      </c>
      <c r="M463">
        <f t="shared" si="135"/>
        <v>61022.26</v>
      </c>
      <c r="N463">
        <f t="shared" si="136"/>
        <v>179250000</v>
      </c>
      <c r="O463">
        <f t="shared" si="137"/>
        <v>8.1952580195258012E-6</v>
      </c>
      <c r="P463" s="24">
        <v>78863.34</v>
      </c>
      <c r="Q463" s="9">
        <v>0.1741</v>
      </c>
      <c r="R463" s="37">
        <f t="shared" si="138"/>
        <v>41958240000</v>
      </c>
      <c r="S463" s="37">
        <f t="shared" si="139"/>
        <v>16631849999.999998</v>
      </c>
      <c r="T463" s="37">
        <f t="shared" si="140"/>
        <v>435200000</v>
      </c>
      <c r="U463" s="37">
        <f t="shared" si="141"/>
        <v>292100000</v>
      </c>
      <c r="V463" s="37">
        <f t="shared" si="142"/>
        <v>8769580000</v>
      </c>
      <c r="W463">
        <f t="shared" si="143"/>
        <v>1.7562177051824051E-7</v>
      </c>
      <c r="X463">
        <f t="shared" si="144"/>
        <v>0.20900733681870354</v>
      </c>
      <c r="Y463" s="9"/>
    </row>
    <row r="464" spans="1:25">
      <c r="A464" s="33">
        <v>45539</v>
      </c>
      <c r="B464" s="38">
        <v>41.99</v>
      </c>
      <c r="C464" s="23">
        <f t="shared" si="130"/>
        <v>1.0589651022864136E-2</v>
      </c>
      <c r="D464">
        <f t="shared" si="131"/>
        <v>3.1334545830018413E-2</v>
      </c>
      <c r="E464" s="38">
        <v>42</v>
      </c>
      <c r="F464" s="38">
        <v>40.200000000000003</v>
      </c>
      <c r="G464" s="22">
        <f t="shared" si="132"/>
        <v>4.3795620437956137E-2</v>
      </c>
      <c r="H464" s="38">
        <v>41.9</v>
      </c>
      <c r="I464" s="38">
        <v>41.11</v>
      </c>
      <c r="J464" s="22">
        <f t="shared" si="133"/>
        <v>1.9033851343211644E-2</v>
      </c>
      <c r="K464" s="35">
        <v>3616</v>
      </c>
      <c r="L464" s="37">
        <f t="shared" si="134"/>
        <v>380860000</v>
      </c>
      <c r="M464">
        <f t="shared" si="135"/>
        <v>151835.84</v>
      </c>
      <c r="N464">
        <f t="shared" si="136"/>
        <v>179250000</v>
      </c>
      <c r="O464">
        <f t="shared" si="137"/>
        <v>2.0172942817294281E-5</v>
      </c>
      <c r="P464" s="24">
        <v>78848.009999999995</v>
      </c>
      <c r="Q464" s="9">
        <v>0.1741</v>
      </c>
      <c r="R464" s="37">
        <f t="shared" si="138"/>
        <v>41958240000</v>
      </c>
      <c r="S464" s="37">
        <f t="shared" si="139"/>
        <v>16631849999.999998</v>
      </c>
      <c r="T464" s="37">
        <f t="shared" si="140"/>
        <v>435200000</v>
      </c>
      <c r="U464" s="37">
        <f t="shared" si="141"/>
        <v>292100000</v>
      </c>
      <c r="V464" s="37">
        <f t="shared" si="142"/>
        <v>8769580000</v>
      </c>
      <c r="W464">
        <f t="shared" si="143"/>
        <v>6.9744080336132338E-8</v>
      </c>
      <c r="X464">
        <f t="shared" si="144"/>
        <v>0.20900733681870354</v>
      </c>
      <c r="Y464" s="9"/>
    </row>
    <row r="465" spans="1:25">
      <c r="A465" s="33">
        <v>45538</v>
      </c>
      <c r="B465" s="38">
        <v>41.55</v>
      </c>
      <c r="C465" s="23">
        <f t="shared" si="130"/>
        <v>1.1687363038714314E-2</v>
      </c>
      <c r="D465">
        <f t="shared" si="131"/>
        <v>3.1334545830018413E-2</v>
      </c>
      <c r="E465" s="38">
        <v>42</v>
      </c>
      <c r="F465" s="38">
        <v>40.61</v>
      </c>
      <c r="G465" s="22">
        <f t="shared" si="132"/>
        <v>3.365210022999638E-2</v>
      </c>
      <c r="H465" s="38">
        <v>42</v>
      </c>
      <c r="I465" s="38">
        <v>40.770000000000003</v>
      </c>
      <c r="J465" s="22">
        <f t="shared" si="133"/>
        <v>2.9720913374410938E-2</v>
      </c>
      <c r="K465" s="35">
        <v>3404</v>
      </c>
      <c r="L465" s="37">
        <f t="shared" si="134"/>
        <v>380860000</v>
      </c>
      <c r="M465">
        <f t="shared" si="135"/>
        <v>141436.19999999998</v>
      </c>
      <c r="N465">
        <f t="shared" si="136"/>
        <v>179250000</v>
      </c>
      <c r="O465">
        <f t="shared" si="137"/>
        <v>1.8990237099023709E-5</v>
      </c>
      <c r="P465" s="24">
        <v>78356.320000000007</v>
      </c>
      <c r="Q465" s="9">
        <v>0.17469999999999999</v>
      </c>
      <c r="R465" s="37">
        <f t="shared" si="138"/>
        <v>41958240000</v>
      </c>
      <c r="S465" s="37">
        <f t="shared" si="139"/>
        <v>16631849999.999998</v>
      </c>
      <c r="T465" s="37">
        <f t="shared" si="140"/>
        <v>435200000</v>
      </c>
      <c r="U465" s="37">
        <f t="shared" si="141"/>
        <v>292100000</v>
      </c>
      <c r="V465" s="37">
        <f t="shared" si="142"/>
        <v>8769580000</v>
      </c>
      <c r="W465">
        <f t="shared" si="143"/>
        <v>8.2633463276829526E-8</v>
      </c>
      <c r="X465">
        <f t="shared" si="144"/>
        <v>0.20900733681870354</v>
      </c>
      <c r="Y465" s="9"/>
    </row>
    <row r="466" spans="1:25">
      <c r="A466" s="33">
        <v>45537</v>
      </c>
      <c r="B466" s="38">
        <v>41.07</v>
      </c>
      <c r="C466" s="23">
        <f t="shared" si="130"/>
        <v>-1.2740384615384643E-2</v>
      </c>
      <c r="D466">
        <f t="shared" si="131"/>
        <v>3.1334545830018413E-2</v>
      </c>
      <c r="E466" s="38">
        <v>42.9</v>
      </c>
      <c r="F466" s="38">
        <v>40.450000000000003</v>
      </c>
      <c r="G466" s="22">
        <f t="shared" si="132"/>
        <v>5.8788242351529595E-2</v>
      </c>
      <c r="H466" s="38">
        <v>41</v>
      </c>
      <c r="I466" s="38">
        <v>40.520000000000003</v>
      </c>
      <c r="J466" s="22">
        <f t="shared" si="133"/>
        <v>1.1776251226692758E-2</v>
      </c>
      <c r="K466" s="35">
        <v>12070</v>
      </c>
      <c r="L466" s="37">
        <f t="shared" si="134"/>
        <v>380860000</v>
      </c>
      <c r="M466">
        <f t="shared" si="135"/>
        <v>495714.9</v>
      </c>
      <c r="N466">
        <f t="shared" si="136"/>
        <v>179250000</v>
      </c>
      <c r="O466">
        <f t="shared" si="137"/>
        <v>6.7336122733612275E-5</v>
      </c>
      <c r="P466" s="24">
        <v>78283.3</v>
      </c>
      <c r="Q466" s="9">
        <v>0.17469999999999999</v>
      </c>
      <c r="R466" s="37">
        <f t="shared" si="138"/>
        <v>41958240000</v>
      </c>
      <c r="S466" s="37">
        <f t="shared" si="139"/>
        <v>16631849999.999998</v>
      </c>
      <c r="T466" s="37">
        <f t="shared" si="140"/>
        <v>435200000</v>
      </c>
      <c r="U466" s="37">
        <f t="shared" si="141"/>
        <v>292100000</v>
      </c>
      <c r="V466" s="37">
        <f t="shared" si="142"/>
        <v>8769580000</v>
      </c>
      <c r="W466">
        <f t="shared" si="143"/>
        <v>2.5701032217076072E-8</v>
      </c>
      <c r="X466">
        <f t="shared" si="144"/>
        <v>0.20900733681870354</v>
      </c>
      <c r="Y466" s="9"/>
    </row>
    <row r="467" spans="1:25">
      <c r="A467" s="33">
        <v>45534</v>
      </c>
      <c r="B467" s="38">
        <v>41.6</v>
      </c>
      <c r="C467" s="23">
        <f t="shared" si="130"/>
        <v>2.4096385542169015E-3</v>
      </c>
      <c r="D467">
        <f t="shared" si="131"/>
        <v>3.1334545830018413E-2</v>
      </c>
      <c r="E467" s="38">
        <v>41.8</v>
      </c>
      <c r="F467" s="38">
        <v>41.5</v>
      </c>
      <c r="G467" s="22">
        <f t="shared" si="132"/>
        <v>7.2028811524609167E-3</v>
      </c>
      <c r="H467" s="38">
        <v>41.99</v>
      </c>
      <c r="I467" s="38">
        <v>40.71</v>
      </c>
      <c r="J467" s="22">
        <f t="shared" si="133"/>
        <v>3.0955259975816229E-2</v>
      </c>
      <c r="K467" s="35">
        <v>7005</v>
      </c>
      <c r="L467" s="37">
        <f t="shared" si="134"/>
        <v>380860000</v>
      </c>
      <c r="M467">
        <f t="shared" si="135"/>
        <v>291408</v>
      </c>
      <c r="N467">
        <f t="shared" si="136"/>
        <v>179250000</v>
      </c>
      <c r="O467">
        <f t="shared" si="137"/>
        <v>3.9079497907949791E-5</v>
      </c>
      <c r="P467" s="24">
        <v>78488.22</v>
      </c>
      <c r="Q467" s="9">
        <v>0.17469999999999999</v>
      </c>
      <c r="R467" s="37">
        <f t="shared" si="138"/>
        <v>41958240000</v>
      </c>
      <c r="S467" s="37">
        <f t="shared" si="139"/>
        <v>16631849999.999998</v>
      </c>
      <c r="T467" s="37">
        <f t="shared" si="140"/>
        <v>435200000</v>
      </c>
      <c r="U467" s="37">
        <f t="shared" si="141"/>
        <v>292100000</v>
      </c>
      <c r="V467" s="37">
        <f t="shared" si="142"/>
        <v>8769580000</v>
      </c>
      <c r="W467">
        <f t="shared" si="143"/>
        <v>8.2689512786776666E-9</v>
      </c>
      <c r="X467">
        <f t="shared" si="144"/>
        <v>0.20900733681870354</v>
      </c>
      <c r="Y467" s="9"/>
    </row>
    <row r="468" spans="1:25">
      <c r="A468" s="33">
        <v>45533</v>
      </c>
      <c r="B468" s="38">
        <v>41.5</v>
      </c>
      <c r="C468" s="23">
        <f t="shared" si="130"/>
        <v>5.5730554882480457E-3</v>
      </c>
      <c r="D468">
        <f t="shared" si="131"/>
        <v>3.1334545830018413E-2</v>
      </c>
      <c r="E468" s="38">
        <v>42.9</v>
      </c>
      <c r="F468" s="38">
        <v>40.020000000000003</v>
      </c>
      <c r="G468" s="22">
        <f t="shared" si="132"/>
        <v>6.9464544138928982E-2</v>
      </c>
      <c r="H468" s="38">
        <v>41.99</v>
      </c>
      <c r="I468" s="38">
        <v>41</v>
      </c>
      <c r="J468" s="22">
        <f t="shared" si="133"/>
        <v>2.3858296180262726E-2</v>
      </c>
      <c r="K468" s="35">
        <v>8877</v>
      </c>
      <c r="L468" s="37">
        <f t="shared" si="134"/>
        <v>380860000</v>
      </c>
      <c r="M468">
        <f t="shared" si="135"/>
        <v>368395.5</v>
      </c>
      <c r="N468">
        <f t="shared" si="136"/>
        <v>179250000</v>
      </c>
      <c r="O468">
        <f t="shared" si="137"/>
        <v>4.9523012552301253E-5</v>
      </c>
      <c r="P468" s="24">
        <v>78349.66</v>
      </c>
      <c r="Q468" s="9">
        <v>0.17469999999999999</v>
      </c>
      <c r="R468" s="37">
        <f t="shared" si="138"/>
        <v>41958240000</v>
      </c>
      <c r="S468" s="37">
        <f t="shared" si="139"/>
        <v>16631849999.999998</v>
      </c>
      <c r="T468" s="37">
        <f t="shared" si="140"/>
        <v>435200000</v>
      </c>
      <c r="U468" s="37">
        <f t="shared" si="141"/>
        <v>292100000</v>
      </c>
      <c r="V468" s="37">
        <f t="shared" si="142"/>
        <v>8769580000</v>
      </c>
      <c r="W468">
        <f t="shared" si="143"/>
        <v>1.5127914125574405E-8</v>
      </c>
      <c r="X468">
        <f t="shared" si="144"/>
        <v>0.20900733681870354</v>
      </c>
      <c r="Y468" s="9"/>
    </row>
    <row r="469" spans="1:25">
      <c r="A469" s="33">
        <v>45532</v>
      </c>
      <c r="B469" s="38">
        <v>41.27</v>
      </c>
      <c r="C469" s="23">
        <f t="shared" si="130"/>
        <v>-2.2964015151515124E-2</v>
      </c>
      <c r="D469">
        <f t="shared" si="131"/>
        <v>3.1334545830018413E-2</v>
      </c>
      <c r="E469" s="38">
        <v>42.3</v>
      </c>
      <c r="F469" s="38">
        <v>40.67</v>
      </c>
      <c r="G469" s="22">
        <f t="shared" si="132"/>
        <v>3.9291310112088598E-2</v>
      </c>
      <c r="H469" s="38">
        <v>41.85</v>
      </c>
      <c r="I469" s="38">
        <v>40.81</v>
      </c>
      <c r="J469" s="22">
        <f t="shared" si="133"/>
        <v>2.5163319622550185E-2</v>
      </c>
      <c r="K469" s="35">
        <v>13960</v>
      </c>
      <c r="L469" s="37">
        <f t="shared" si="134"/>
        <v>380860000</v>
      </c>
      <c r="M469">
        <f t="shared" si="135"/>
        <v>576129.20000000007</v>
      </c>
      <c r="N469">
        <f t="shared" si="136"/>
        <v>179250000</v>
      </c>
      <c r="O469">
        <f t="shared" si="137"/>
        <v>7.7880055788005583E-5</v>
      </c>
      <c r="P469" s="24">
        <v>77992.789999999994</v>
      </c>
      <c r="Q469" s="9">
        <v>0.17469999999999999</v>
      </c>
      <c r="R469" s="37">
        <f t="shared" si="138"/>
        <v>41958240000</v>
      </c>
      <c r="S469" s="37">
        <f t="shared" si="139"/>
        <v>16631849999.999998</v>
      </c>
      <c r="T469" s="37">
        <f t="shared" si="140"/>
        <v>435200000</v>
      </c>
      <c r="U469" s="37">
        <f t="shared" si="141"/>
        <v>292100000</v>
      </c>
      <c r="V469" s="37">
        <f t="shared" si="142"/>
        <v>8769580000</v>
      </c>
      <c r="W469">
        <f t="shared" si="143"/>
        <v>3.9859141233450971E-8</v>
      </c>
      <c r="X469">
        <f t="shared" si="144"/>
        <v>0.20900733681870354</v>
      </c>
      <c r="Y469" s="9"/>
    </row>
    <row r="470" spans="1:25">
      <c r="A470" s="33">
        <v>45531</v>
      </c>
      <c r="B470" s="38">
        <v>42.24</v>
      </c>
      <c r="C470" s="23">
        <f t="shared" si="130"/>
        <v>3.5637918745544919E-3</v>
      </c>
      <c r="D470">
        <f t="shared" si="131"/>
        <v>3.1334545830018413E-2</v>
      </c>
      <c r="E470" s="38">
        <v>43.8</v>
      </c>
      <c r="F470" s="38">
        <v>41.8</v>
      </c>
      <c r="G470" s="22">
        <f t="shared" si="132"/>
        <v>4.6728971962616828E-2</v>
      </c>
      <c r="H470" s="38">
        <v>42.5</v>
      </c>
      <c r="I470" s="38">
        <v>42.2</v>
      </c>
      <c r="J470" s="22">
        <f t="shared" si="133"/>
        <v>7.0838252656433799E-3</v>
      </c>
      <c r="K470" s="35">
        <v>11189</v>
      </c>
      <c r="L470" s="37">
        <f t="shared" si="134"/>
        <v>380860000</v>
      </c>
      <c r="M470">
        <f t="shared" si="135"/>
        <v>472623.36000000004</v>
      </c>
      <c r="N470">
        <f t="shared" si="136"/>
        <v>179250000</v>
      </c>
      <c r="O470">
        <f t="shared" si="137"/>
        <v>6.2421199442119941E-5</v>
      </c>
      <c r="P470" s="24">
        <v>78084.240000000005</v>
      </c>
      <c r="Q470" s="9">
        <v>0.17469999999999999</v>
      </c>
      <c r="R470" s="37">
        <f t="shared" si="138"/>
        <v>41958240000</v>
      </c>
      <c r="S470" s="37">
        <f t="shared" si="139"/>
        <v>16631849999.999998</v>
      </c>
      <c r="T470" s="37">
        <f t="shared" si="140"/>
        <v>435200000</v>
      </c>
      <c r="U470" s="37">
        <f t="shared" si="141"/>
        <v>292100000</v>
      </c>
      <c r="V470" s="37">
        <f t="shared" si="142"/>
        <v>8769580000</v>
      </c>
      <c r="W470">
        <f t="shared" si="143"/>
        <v>7.5404480103448371E-9</v>
      </c>
      <c r="X470">
        <f t="shared" si="144"/>
        <v>0.20900733681870354</v>
      </c>
      <c r="Y470" s="9"/>
    </row>
    <row r="471" spans="1:25">
      <c r="A471" s="33">
        <v>45530</v>
      </c>
      <c r="B471" s="38">
        <v>42.09</v>
      </c>
      <c r="C471" s="23">
        <f t="shared" si="130"/>
        <v>1.42168674698796E-2</v>
      </c>
      <c r="D471">
        <f t="shared" si="131"/>
        <v>3.1334545830018413E-2</v>
      </c>
      <c r="E471" s="38">
        <v>44.4</v>
      </c>
      <c r="F471" s="38">
        <v>41.95</v>
      </c>
      <c r="G471" s="22">
        <f t="shared" si="132"/>
        <v>5.6745801968731809E-2</v>
      </c>
      <c r="H471" s="38">
        <v>42.38</v>
      </c>
      <c r="I471" s="38">
        <v>42.12</v>
      </c>
      <c r="J471" s="22">
        <f t="shared" si="133"/>
        <v>6.1538461538462753E-3</v>
      </c>
      <c r="K471" s="35">
        <v>66553</v>
      </c>
      <c r="L471" s="37">
        <f t="shared" si="134"/>
        <v>380860000</v>
      </c>
      <c r="M471">
        <f t="shared" si="135"/>
        <v>2801215.77</v>
      </c>
      <c r="N471">
        <f t="shared" si="136"/>
        <v>179250000</v>
      </c>
      <c r="O471">
        <f t="shared" si="137"/>
        <v>3.7128591352859138E-4</v>
      </c>
      <c r="P471" s="24">
        <v>78571.06</v>
      </c>
      <c r="Q471" s="9">
        <v>0.17469999999999999</v>
      </c>
      <c r="R471" s="37">
        <f t="shared" si="138"/>
        <v>41958240000</v>
      </c>
      <c r="S471" s="37">
        <f t="shared" si="139"/>
        <v>16631849999.999998</v>
      </c>
      <c r="T471" s="37">
        <f t="shared" si="140"/>
        <v>435200000</v>
      </c>
      <c r="U471" s="37">
        <f t="shared" si="141"/>
        <v>292100000</v>
      </c>
      <c r="V471" s="37">
        <f t="shared" si="142"/>
        <v>8769580000</v>
      </c>
      <c r="W471">
        <f t="shared" si="143"/>
        <v>5.075248976582621E-9</v>
      </c>
      <c r="X471">
        <f t="shared" si="144"/>
        <v>0.20900733681870354</v>
      </c>
      <c r="Y471" s="9"/>
    </row>
    <row r="472" spans="1:25">
      <c r="A472" s="33">
        <v>45527</v>
      </c>
      <c r="B472" s="38">
        <v>41.5</v>
      </c>
      <c r="C472" s="23">
        <f t="shared" si="130"/>
        <v>1.8654884634266029E-2</v>
      </c>
      <c r="D472">
        <f t="shared" si="131"/>
        <v>3.1334545830018413E-2</v>
      </c>
      <c r="E472" s="38">
        <v>41.98</v>
      </c>
      <c r="F472" s="38">
        <v>40.15</v>
      </c>
      <c r="G472" s="22">
        <f t="shared" si="132"/>
        <v>4.4563496895166158E-2</v>
      </c>
      <c r="H472" s="38">
        <v>41.8</v>
      </c>
      <c r="I472" s="38">
        <v>41.35</v>
      </c>
      <c r="J472" s="22">
        <f t="shared" si="133"/>
        <v>1.0823812387251851E-2</v>
      </c>
      <c r="K472" s="35">
        <v>22843</v>
      </c>
      <c r="L472" s="37">
        <f t="shared" si="134"/>
        <v>380860000</v>
      </c>
      <c r="M472">
        <f t="shared" si="135"/>
        <v>947984.5</v>
      </c>
      <c r="N472">
        <f t="shared" si="136"/>
        <v>179250000</v>
      </c>
      <c r="O472">
        <f t="shared" si="137"/>
        <v>1.2743654114365412E-4</v>
      </c>
      <c r="P472" s="24">
        <v>78801.429999999993</v>
      </c>
      <c r="Q472" s="9">
        <v>0.17469999999999999</v>
      </c>
      <c r="R472" s="37">
        <f t="shared" si="138"/>
        <v>41958240000</v>
      </c>
      <c r="S472" s="37">
        <f t="shared" si="139"/>
        <v>16631849999.999998</v>
      </c>
      <c r="T472" s="37">
        <f t="shared" si="140"/>
        <v>435200000</v>
      </c>
      <c r="U472" s="37">
        <f t="shared" si="141"/>
        <v>292100000</v>
      </c>
      <c r="V472" s="37">
        <f t="shared" si="142"/>
        <v>8769580000</v>
      </c>
      <c r="W472">
        <f t="shared" si="143"/>
        <v>1.9678470095519525E-8</v>
      </c>
      <c r="X472">
        <f t="shared" si="144"/>
        <v>0.20900733681870354</v>
      </c>
      <c r="Y472" s="9"/>
    </row>
    <row r="473" spans="1:25">
      <c r="A473" s="33">
        <v>45526</v>
      </c>
      <c r="B473" s="38">
        <v>40.74</v>
      </c>
      <c r="C473" s="23">
        <f t="shared" si="130"/>
        <v>-2.2552783109404936E-2</v>
      </c>
      <c r="D473">
        <f t="shared" si="131"/>
        <v>3.1334545830018413E-2</v>
      </c>
      <c r="E473" s="38">
        <v>42</v>
      </c>
      <c r="F473" s="38">
        <v>40.32</v>
      </c>
      <c r="G473" s="22">
        <f t="shared" si="132"/>
        <v>4.0816326530612242E-2</v>
      </c>
      <c r="H473" s="38">
        <v>41.49</v>
      </c>
      <c r="I473" s="38">
        <v>40.950000000000003</v>
      </c>
      <c r="J473" s="22">
        <f t="shared" si="133"/>
        <v>1.3100436681222688E-2</v>
      </c>
      <c r="K473" s="35">
        <v>27212</v>
      </c>
      <c r="L473" s="37">
        <f t="shared" si="134"/>
        <v>380860000</v>
      </c>
      <c r="M473">
        <f t="shared" si="135"/>
        <v>1108616.8800000001</v>
      </c>
      <c r="N473">
        <f t="shared" si="136"/>
        <v>179250000</v>
      </c>
      <c r="O473">
        <f t="shared" si="137"/>
        <v>1.5181032078103208E-4</v>
      </c>
      <c r="P473" s="24">
        <v>78793.41</v>
      </c>
      <c r="Q473" s="9">
        <v>0.17469999999999999</v>
      </c>
      <c r="R473" s="37">
        <f t="shared" si="138"/>
        <v>41958240000</v>
      </c>
      <c r="S473" s="37">
        <f t="shared" si="139"/>
        <v>16631849999.999998</v>
      </c>
      <c r="T473" s="37">
        <f t="shared" si="140"/>
        <v>435200000</v>
      </c>
      <c r="U473" s="37">
        <f t="shared" si="141"/>
        <v>292100000</v>
      </c>
      <c r="V473" s="37">
        <f t="shared" si="142"/>
        <v>8769580000</v>
      </c>
      <c r="W473">
        <f t="shared" si="143"/>
        <v>2.0343171312171373E-8</v>
      </c>
      <c r="X473">
        <f t="shared" si="144"/>
        <v>0.20900733681870354</v>
      </c>
      <c r="Y473" s="9"/>
    </row>
    <row r="474" spans="1:25">
      <c r="A474" s="33">
        <v>45525</v>
      </c>
      <c r="B474" s="38">
        <v>41.68</v>
      </c>
      <c r="C474" s="23">
        <f t="shared" si="130"/>
        <v>3.6118468576931996E-3</v>
      </c>
      <c r="D474">
        <f t="shared" si="131"/>
        <v>3.1334545830018413E-2</v>
      </c>
      <c r="E474" s="38">
        <v>44.43</v>
      </c>
      <c r="F474" s="38">
        <v>41.11</v>
      </c>
      <c r="G474" s="22">
        <f t="shared" si="132"/>
        <v>7.762450315641807E-2</v>
      </c>
      <c r="H474" s="38">
        <v>41.51</v>
      </c>
      <c r="I474" s="38">
        <v>41.5</v>
      </c>
      <c r="J474" s="22">
        <f t="shared" si="133"/>
        <v>2.4093482712921364E-4</v>
      </c>
      <c r="K474" s="35">
        <v>13615</v>
      </c>
      <c r="L474" s="37">
        <f t="shared" si="134"/>
        <v>380860000</v>
      </c>
      <c r="M474">
        <f t="shared" si="135"/>
        <v>567473.19999999995</v>
      </c>
      <c r="N474">
        <f t="shared" si="136"/>
        <v>179250000</v>
      </c>
      <c r="O474">
        <f t="shared" si="137"/>
        <v>7.5955369595536956E-5</v>
      </c>
      <c r="P474" s="24">
        <v>78260.86</v>
      </c>
      <c r="Q474" s="9">
        <v>0.17469999999999999</v>
      </c>
      <c r="R474" s="37">
        <f t="shared" si="138"/>
        <v>41958240000</v>
      </c>
      <c r="S474" s="37">
        <f t="shared" si="139"/>
        <v>16631849999.999998</v>
      </c>
      <c r="T474" s="37">
        <f t="shared" si="140"/>
        <v>435200000</v>
      </c>
      <c r="U474" s="37">
        <f t="shared" si="141"/>
        <v>292100000</v>
      </c>
      <c r="V474" s="37">
        <f t="shared" si="142"/>
        <v>8769580000</v>
      </c>
      <c r="W474">
        <f t="shared" si="143"/>
        <v>6.3647884299966939E-9</v>
      </c>
      <c r="X474">
        <f t="shared" si="144"/>
        <v>0.20900733681870354</v>
      </c>
      <c r="Y474" s="9"/>
    </row>
    <row r="475" spans="1:25">
      <c r="A475" s="33">
        <v>45524</v>
      </c>
      <c r="B475" s="38">
        <v>41.53</v>
      </c>
      <c r="C475" s="23">
        <f t="shared" si="130"/>
        <v>-2.8765201122544361E-2</v>
      </c>
      <c r="D475">
        <f t="shared" si="131"/>
        <v>3.1334545830018413E-2</v>
      </c>
      <c r="E475" s="38">
        <v>43.55</v>
      </c>
      <c r="F475" s="38">
        <v>41.5</v>
      </c>
      <c r="G475" s="22">
        <f t="shared" si="132"/>
        <v>4.8206937095825922E-2</v>
      </c>
      <c r="H475" s="38">
        <v>41.98</v>
      </c>
      <c r="I475" s="38">
        <v>41.6</v>
      </c>
      <c r="J475" s="22">
        <f t="shared" si="133"/>
        <v>9.0930844699687839E-3</v>
      </c>
      <c r="K475" s="35">
        <v>31771</v>
      </c>
      <c r="L475" s="37">
        <f t="shared" si="134"/>
        <v>380860000</v>
      </c>
      <c r="M475">
        <f t="shared" si="135"/>
        <v>1319449.6300000001</v>
      </c>
      <c r="N475">
        <f t="shared" si="136"/>
        <v>179250000</v>
      </c>
      <c r="O475">
        <f t="shared" si="137"/>
        <v>1.7724407252440726E-4</v>
      </c>
      <c r="P475" s="24">
        <v>77745.52</v>
      </c>
      <c r="Q475" s="9">
        <v>0.189</v>
      </c>
      <c r="R475" s="37">
        <f t="shared" si="138"/>
        <v>41958240000</v>
      </c>
      <c r="S475" s="37">
        <f t="shared" si="139"/>
        <v>16631849999.999998</v>
      </c>
      <c r="T475" s="37">
        <f t="shared" si="140"/>
        <v>435200000</v>
      </c>
      <c r="U475" s="37">
        <f t="shared" si="141"/>
        <v>292100000</v>
      </c>
      <c r="V475" s="37">
        <f t="shared" si="142"/>
        <v>8769580000</v>
      </c>
      <c r="W475">
        <f t="shared" si="143"/>
        <v>2.1800908855114355E-8</v>
      </c>
      <c r="X475">
        <f t="shared" si="144"/>
        <v>0.20900733681870354</v>
      </c>
      <c r="Y475" s="9"/>
    </row>
    <row r="476" spans="1:25">
      <c r="A476" s="33">
        <v>45523</v>
      </c>
      <c r="B476" s="38">
        <v>42.76</v>
      </c>
      <c r="C476" s="23">
        <f t="shared" si="130"/>
        <v>-1.5653775322283604E-2</v>
      </c>
      <c r="D476">
        <f t="shared" si="131"/>
        <v>3.1334545830018413E-2</v>
      </c>
      <c r="E476" s="38">
        <v>44.9</v>
      </c>
      <c r="F476" s="38">
        <v>41.51</v>
      </c>
      <c r="G476" s="22">
        <f t="shared" si="132"/>
        <v>7.8463140840180551E-2</v>
      </c>
      <c r="H476" s="38">
        <v>42.87</v>
      </c>
      <c r="I476" s="38">
        <v>41.9</v>
      </c>
      <c r="J476" s="22">
        <f t="shared" si="133"/>
        <v>2.2885454759938632E-2</v>
      </c>
      <c r="K476" s="35">
        <v>52597</v>
      </c>
      <c r="L476" s="37">
        <f t="shared" si="134"/>
        <v>380860000</v>
      </c>
      <c r="M476">
        <f t="shared" si="135"/>
        <v>2249047.7199999997</v>
      </c>
      <c r="N476">
        <f t="shared" si="136"/>
        <v>179250000</v>
      </c>
      <c r="O476">
        <f t="shared" si="137"/>
        <v>2.9342817294281728E-4</v>
      </c>
      <c r="P476" s="24">
        <v>77830.34</v>
      </c>
      <c r="Q476" s="9">
        <v>0.189</v>
      </c>
      <c r="R476" s="37">
        <f t="shared" si="138"/>
        <v>41958240000</v>
      </c>
      <c r="S476" s="37">
        <f t="shared" si="139"/>
        <v>16631849999.999998</v>
      </c>
      <c r="T476" s="37">
        <f t="shared" si="140"/>
        <v>435200000</v>
      </c>
      <c r="U476" s="37">
        <f t="shared" si="141"/>
        <v>292100000</v>
      </c>
      <c r="V476" s="37">
        <f t="shared" si="142"/>
        <v>8769580000</v>
      </c>
      <c r="W476">
        <f t="shared" si="143"/>
        <v>6.9601792719114056E-9</v>
      </c>
      <c r="X476">
        <f t="shared" si="144"/>
        <v>0.20900733681870354</v>
      </c>
      <c r="Y476" s="9"/>
    </row>
    <row r="477" spans="1:25">
      <c r="A477" s="33">
        <v>45520</v>
      </c>
      <c r="B477" s="38">
        <v>43.44</v>
      </c>
      <c r="C477" s="23">
        <f t="shared" si="130"/>
        <v>-7.9855962719762821E-2</v>
      </c>
      <c r="D477">
        <f t="shared" si="131"/>
        <v>3.1334545830018413E-2</v>
      </c>
      <c r="E477" s="38">
        <v>48</v>
      </c>
      <c r="F477" s="38">
        <v>42.49</v>
      </c>
      <c r="G477" s="22">
        <f t="shared" si="132"/>
        <v>0.12178141231075251</v>
      </c>
      <c r="H477" s="38">
        <v>42.49</v>
      </c>
      <c r="I477" s="38"/>
      <c r="J477" s="22">
        <f t="shared" si="133"/>
        <v>2</v>
      </c>
      <c r="K477" s="35">
        <v>246885</v>
      </c>
      <c r="L477" s="37">
        <f t="shared" si="134"/>
        <v>380860000</v>
      </c>
      <c r="M477">
        <f t="shared" si="135"/>
        <v>10724684.399999999</v>
      </c>
      <c r="N477">
        <f t="shared" si="136"/>
        <v>179250000</v>
      </c>
      <c r="O477">
        <f t="shared" si="137"/>
        <v>1.3773221757322177E-3</v>
      </c>
      <c r="P477" s="24">
        <v>78045.31</v>
      </c>
      <c r="Q477" s="9">
        <v>0.189</v>
      </c>
      <c r="R477" s="37">
        <f t="shared" si="138"/>
        <v>41958240000</v>
      </c>
      <c r="S477" s="37">
        <f t="shared" si="139"/>
        <v>16631849999.999998</v>
      </c>
      <c r="T477" s="37">
        <f t="shared" si="140"/>
        <v>435200000</v>
      </c>
      <c r="U477" s="37">
        <f t="shared" si="141"/>
        <v>292100000</v>
      </c>
      <c r="V477" s="37">
        <f t="shared" si="142"/>
        <v>8769580000</v>
      </c>
      <c r="W477">
        <f t="shared" si="143"/>
        <v>7.4459965199314238E-9</v>
      </c>
      <c r="X477">
        <f t="shared" si="144"/>
        <v>0.20900733681870354</v>
      </c>
      <c r="Y477" s="9"/>
    </row>
    <row r="478" spans="1:25">
      <c r="A478" s="33">
        <v>45519</v>
      </c>
      <c r="B478" s="38">
        <v>47.21</v>
      </c>
      <c r="C478" s="23">
        <f t="shared" si="130"/>
        <v>9.9953401677539591E-2</v>
      </c>
      <c r="D478">
        <f t="shared" si="131"/>
        <v>3.1334545830018413E-2</v>
      </c>
      <c r="E478" s="38">
        <v>47.21</v>
      </c>
      <c r="F478" s="38">
        <v>44.05</v>
      </c>
      <c r="G478" s="22">
        <f t="shared" si="132"/>
        <v>6.925268463730011E-2</v>
      </c>
      <c r="H478" s="38"/>
      <c r="I478" s="38">
        <v>47.21</v>
      </c>
      <c r="J478" s="22">
        <f t="shared" si="133"/>
        <v>-2</v>
      </c>
      <c r="K478" s="35">
        <v>85092</v>
      </c>
      <c r="L478" s="37">
        <f t="shared" si="134"/>
        <v>380860000</v>
      </c>
      <c r="M478">
        <f t="shared" si="135"/>
        <v>4017193.3200000003</v>
      </c>
      <c r="N478">
        <f t="shared" si="136"/>
        <v>179250000</v>
      </c>
      <c r="O478">
        <f t="shared" si="137"/>
        <v>4.7471129707112969E-4</v>
      </c>
      <c r="P478" s="24">
        <v>78105.98</v>
      </c>
      <c r="Q478" s="9">
        <v>0.189</v>
      </c>
      <c r="R478" s="37">
        <f t="shared" si="138"/>
        <v>41958240000</v>
      </c>
      <c r="S478" s="37">
        <f t="shared" si="139"/>
        <v>16631849999.999998</v>
      </c>
      <c r="T478" s="37">
        <f t="shared" si="140"/>
        <v>435200000</v>
      </c>
      <c r="U478" s="37">
        <f t="shared" si="141"/>
        <v>292100000</v>
      </c>
      <c r="V478" s="37">
        <f t="shared" si="142"/>
        <v>8769580000</v>
      </c>
      <c r="W478">
        <f t="shared" si="143"/>
        <v>2.4881401942971365E-8</v>
      </c>
      <c r="X478">
        <f t="shared" si="144"/>
        <v>0.20900733681870354</v>
      </c>
      <c r="Y478" s="9"/>
    </row>
    <row r="479" spans="1:25">
      <c r="A479" s="33">
        <v>45517</v>
      </c>
      <c r="B479" s="38">
        <v>42.92</v>
      </c>
      <c r="C479" s="23">
        <f t="shared" si="130"/>
        <v>9.9948744233726253E-2</v>
      </c>
      <c r="D479">
        <f t="shared" si="131"/>
        <v>3.1334545830018413E-2</v>
      </c>
      <c r="E479" s="38">
        <v>42.92</v>
      </c>
      <c r="F479" s="38">
        <v>39.39</v>
      </c>
      <c r="G479" s="22">
        <f t="shared" si="132"/>
        <v>8.5773296075810981E-2</v>
      </c>
      <c r="H479" s="38"/>
      <c r="I479" s="38">
        <v>42.92</v>
      </c>
      <c r="J479" s="22">
        <f t="shared" si="133"/>
        <v>-2</v>
      </c>
      <c r="K479" s="35">
        <v>125818</v>
      </c>
      <c r="L479" s="37">
        <f t="shared" si="134"/>
        <v>380860000</v>
      </c>
      <c r="M479">
        <f t="shared" si="135"/>
        <v>5400108.5600000005</v>
      </c>
      <c r="N479">
        <f t="shared" si="136"/>
        <v>179250000</v>
      </c>
      <c r="O479">
        <f t="shared" si="137"/>
        <v>7.0191352859135284E-4</v>
      </c>
      <c r="P479" s="24">
        <v>77877.42</v>
      </c>
      <c r="Q479" s="9">
        <v>0.189</v>
      </c>
      <c r="R479" s="37">
        <f t="shared" si="138"/>
        <v>41958240000</v>
      </c>
      <c r="S479" s="37">
        <f t="shared" si="139"/>
        <v>16631849999.999998</v>
      </c>
      <c r="T479" s="37">
        <f t="shared" si="140"/>
        <v>435200000</v>
      </c>
      <c r="U479" s="37">
        <f t="shared" si="141"/>
        <v>292100000</v>
      </c>
      <c r="V479" s="37">
        <f t="shared" si="142"/>
        <v>8769580000</v>
      </c>
      <c r="W479">
        <f t="shared" si="143"/>
        <v>1.8508654617440921E-8</v>
      </c>
      <c r="X479">
        <f t="shared" si="144"/>
        <v>0.20900733681870354</v>
      </c>
      <c r="Y479" s="9"/>
    </row>
    <row r="480" spans="1:25">
      <c r="A480" s="33">
        <v>45516</v>
      </c>
      <c r="B480" s="38">
        <v>39.020000000000003</v>
      </c>
      <c r="C480" s="23">
        <f t="shared" si="130"/>
        <v>6.9041095890411047E-2</v>
      </c>
      <c r="D480">
        <f t="shared" si="131"/>
        <v>3.1334545830018413E-2</v>
      </c>
      <c r="E480" s="38">
        <v>39.4</v>
      </c>
      <c r="F480" s="38">
        <v>38.1</v>
      </c>
      <c r="G480" s="22">
        <f t="shared" si="132"/>
        <v>3.3548387096774122E-2</v>
      </c>
      <c r="H480" s="38">
        <v>38.96</v>
      </c>
      <c r="I480" s="38">
        <v>38.4</v>
      </c>
      <c r="J480" s="22">
        <f t="shared" si="133"/>
        <v>1.4477766287487133E-2</v>
      </c>
      <c r="K480" s="35">
        <v>21022</v>
      </c>
      <c r="L480" s="37">
        <f t="shared" si="134"/>
        <v>380860000</v>
      </c>
      <c r="M480">
        <f t="shared" si="135"/>
        <v>820278.44000000006</v>
      </c>
      <c r="N480">
        <f t="shared" si="136"/>
        <v>179250000</v>
      </c>
      <c r="O480">
        <f t="shared" si="137"/>
        <v>1.1727754532775453E-4</v>
      </c>
      <c r="P480" s="24">
        <v>77980.289999999994</v>
      </c>
      <c r="Q480" s="9">
        <v>0.189</v>
      </c>
      <c r="R480" s="37">
        <f t="shared" si="138"/>
        <v>41958240000</v>
      </c>
      <c r="S480" s="37">
        <f t="shared" si="139"/>
        <v>16631849999.999998</v>
      </c>
      <c r="T480" s="37">
        <f t="shared" si="140"/>
        <v>435200000</v>
      </c>
      <c r="U480" s="37">
        <f t="shared" si="141"/>
        <v>292100000</v>
      </c>
      <c r="V480" s="37">
        <f t="shared" si="142"/>
        <v>8769580000</v>
      </c>
      <c r="W480">
        <f t="shared" si="143"/>
        <v>8.4167878276077866E-8</v>
      </c>
      <c r="X480">
        <f t="shared" si="144"/>
        <v>0.20900733681870354</v>
      </c>
      <c r="Y480" s="9"/>
    </row>
    <row r="481" spans="1:25">
      <c r="A481" s="33">
        <v>45513</v>
      </c>
      <c r="B481" s="38">
        <v>36.5</v>
      </c>
      <c r="C481" s="23">
        <f t="shared" si="130"/>
        <v>-4.9073064340239836E-3</v>
      </c>
      <c r="D481">
        <f t="shared" si="131"/>
        <v>3.1334545830018413E-2</v>
      </c>
      <c r="E481" s="38">
        <v>37</v>
      </c>
      <c r="F481" s="38">
        <v>36.5</v>
      </c>
      <c r="G481" s="22">
        <f t="shared" si="132"/>
        <v>1.3605442176870748E-2</v>
      </c>
      <c r="H481" s="38">
        <v>38.5</v>
      </c>
      <c r="I481" s="38">
        <v>36.5</v>
      </c>
      <c r="J481" s="22">
        <f t="shared" si="133"/>
        <v>5.3333333333333337E-2</v>
      </c>
      <c r="K481" s="35">
        <v>1062</v>
      </c>
      <c r="L481" s="37">
        <f t="shared" si="134"/>
        <v>380860000</v>
      </c>
      <c r="M481">
        <f t="shared" si="135"/>
        <v>38763</v>
      </c>
      <c r="N481">
        <f t="shared" si="136"/>
        <v>179250000</v>
      </c>
      <c r="O481">
        <f t="shared" si="137"/>
        <v>5.9246861924686194E-6</v>
      </c>
      <c r="P481" s="24">
        <v>78569.59</v>
      </c>
      <c r="Q481" s="9">
        <v>0.189</v>
      </c>
      <c r="R481" s="37">
        <f t="shared" si="138"/>
        <v>41958240000</v>
      </c>
      <c r="S481" s="37">
        <f t="shared" si="139"/>
        <v>16631849999.999998</v>
      </c>
      <c r="T481" s="37">
        <f t="shared" si="140"/>
        <v>435200000</v>
      </c>
      <c r="U481" s="37">
        <f t="shared" si="141"/>
        <v>292100000</v>
      </c>
      <c r="V481" s="37">
        <f t="shared" si="142"/>
        <v>8769580000</v>
      </c>
      <c r="W481">
        <f t="shared" si="143"/>
        <v>1.2659769455470381E-7</v>
      </c>
      <c r="X481">
        <f t="shared" si="144"/>
        <v>0.20900733681870354</v>
      </c>
      <c r="Y481" s="9"/>
    </row>
    <row r="482" spans="1:25">
      <c r="A482" s="33">
        <v>45512</v>
      </c>
      <c r="B482" s="38">
        <v>36.68</v>
      </c>
      <c r="C482" s="23">
        <f t="shared" si="130"/>
        <v>-1.7938420348058946E-2</v>
      </c>
      <c r="D482">
        <f t="shared" si="131"/>
        <v>3.1334545830018413E-2</v>
      </c>
      <c r="E482" s="38">
        <v>37.9</v>
      </c>
      <c r="F482" s="38">
        <v>36</v>
      </c>
      <c r="G482" s="22">
        <f t="shared" si="132"/>
        <v>5.1420838971583178E-2</v>
      </c>
      <c r="H482" s="38">
        <v>37.700000000000003</v>
      </c>
      <c r="I482" s="38">
        <v>36</v>
      </c>
      <c r="J482" s="22">
        <f t="shared" si="133"/>
        <v>4.6132971506105909E-2</v>
      </c>
      <c r="K482" s="35">
        <v>13067</v>
      </c>
      <c r="L482" s="37">
        <f t="shared" si="134"/>
        <v>380860000</v>
      </c>
      <c r="M482">
        <f t="shared" si="135"/>
        <v>479297.56</v>
      </c>
      <c r="N482">
        <f t="shared" si="136"/>
        <v>179250000</v>
      </c>
      <c r="O482">
        <f t="shared" si="137"/>
        <v>7.289818688981869E-5</v>
      </c>
      <c r="P482" s="24">
        <v>77874.22</v>
      </c>
      <c r="Q482" s="9">
        <v>0.189</v>
      </c>
      <c r="R482" s="37">
        <f t="shared" si="138"/>
        <v>41958240000</v>
      </c>
      <c r="S482" s="37">
        <f t="shared" si="139"/>
        <v>16631849999.999998</v>
      </c>
      <c r="T482" s="37">
        <f t="shared" si="140"/>
        <v>435200000</v>
      </c>
      <c r="U482" s="37">
        <f t="shared" si="141"/>
        <v>292100000</v>
      </c>
      <c r="V482" s="37">
        <f t="shared" si="142"/>
        <v>8769580000</v>
      </c>
      <c r="W482">
        <f t="shared" si="143"/>
        <v>3.7426479592466411E-8</v>
      </c>
      <c r="X482">
        <f t="shared" si="144"/>
        <v>0.20900733681870354</v>
      </c>
      <c r="Y482" s="9"/>
    </row>
    <row r="483" spans="1:25">
      <c r="A483" s="33">
        <v>45511</v>
      </c>
      <c r="B483" s="38">
        <v>37.35</v>
      </c>
      <c r="C483" s="23">
        <f t="shared" si="130"/>
        <v>6.4672594987874423E-3</v>
      </c>
      <c r="D483">
        <f t="shared" si="131"/>
        <v>3.1334545830018413E-2</v>
      </c>
      <c r="E483" s="38">
        <v>38</v>
      </c>
      <c r="F483" s="38">
        <v>37</v>
      </c>
      <c r="G483" s="22">
        <f t="shared" si="132"/>
        <v>2.6666666666666668E-2</v>
      </c>
      <c r="H483" s="38">
        <v>37.5</v>
      </c>
      <c r="I483" s="38">
        <v>37.03</v>
      </c>
      <c r="J483" s="22">
        <f t="shared" si="133"/>
        <v>1.2612370857372839E-2</v>
      </c>
      <c r="K483" s="35">
        <v>5903</v>
      </c>
      <c r="L483" s="37">
        <f t="shared" si="134"/>
        <v>380860000</v>
      </c>
      <c r="M483">
        <f t="shared" si="135"/>
        <v>220477.05000000002</v>
      </c>
      <c r="N483">
        <f t="shared" si="136"/>
        <v>179250000</v>
      </c>
      <c r="O483">
        <f t="shared" si="137"/>
        <v>3.2931659693165966E-5</v>
      </c>
      <c r="P483" s="24">
        <v>77114.490000000005</v>
      </c>
      <c r="Q483" s="9">
        <v>0.189</v>
      </c>
      <c r="R483" s="37">
        <f t="shared" si="138"/>
        <v>41958240000</v>
      </c>
      <c r="S483" s="37">
        <f t="shared" si="139"/>
        <v>16631849999.999998</v>
      </c>
      <c r="T483" s="37">
        <f t="shared" si="140"/>
        <v>435200000</v>
      </c>
      <c r="U483" s="37">
        <f t="shared" si="141"/>
        <v>292100000</v>
      </c>
      <c r="V483" s="37">
        <f t="shared" si="142"/>
        <v>8769580000</v>
      </c>
      <c r="W483">
        <f t="shared" si="143"/>
        <v>2.9333028080643503E-8</v>
      </c>
      <c r="X483">
        <f t="shared" si="144"/>
        <v>0.20900733681870354</v>
      </c>
      <c r="Y483" s="9"/>
    </row>
    <row r="484" spans="1:25">
      <c r="A484" s="33">
        <v>45510</v>
      </c>
      <c r="B484" s="38">
        <v>37.11</v>
      </c>
      <c r="C484" s="23">
        <f t="shared" si="130"/>
        <v>-2.3421052631578964E-2</v>
      </c>
      <c r="D484">
        <f t="shared" si="131"/>
        <v>3.1334545830018413E-2</v>
      </c>
      <c r="E484" s="38">
        <v>37.979999999999997</v>
      </c>
      <c r="F484" s="38">
        <v>35.1</v>
      </c>
      <c r="G484" s="22">
        <f t="shared" si="132"/>
        <v>7.8817733990147659E-2</v>
      </c>
      <c r="H484" s="38">
        <v>37.979999999999997</v>
      </c>
      <c r="I484" s="38">
        <v>37.25</v>
      </c>
      <c r="J484" s="22">
        <f t="shared" si="133"/>
        <v>1.9407151402365996E-2</v>
      </c>
      <c r="K484" s="35">
        <v>2407</v>
      </c>
      <c r="L484" s="37">
        <f t="shared" si="134"/>
        <v>380860000</v>
      </c>
      <c r="M484">
        <f t="shared" si="135"/>
        <v>89323.77</v>
      </c>
      <c r="N484">
        <f t="shared" si="136"/>
        <v>179250000</v>
      </c>
      <c r="O484">
        <f t="shared" si="137"/>
        <v>1.3428172942817294E-5</v>
      </c>
      <c r="P484" s="24">
        <v>77191.34</v>
      </c>
      <c r="Q484" s="9">
        <v>0.19489999999999999</v>
      </c>
      <c r="R484" s="37">
        <f t="shared" si="138"/>
        <v>41958240000</v>
      </c>
      <c r="S484" s="37">
        <f t="shared" si="139"/>
        <v>16631849999.999998</v>
      </c>
      <c r="T484" s="37">
        <f t="shared" si="140"/>
        <v>435200000</v>
      </c>
      <c r="U484" s="37">
        <f t="shared" si="141"/>
        <v>292100000</v>
      </c>
      <c r="V484" s="37">
        <f t="shared" si="142"/>
        <v>8769580000</v>
      </c>
      <c r="W484">
        <f t="shared" si="143"/>
        <v>2.6220403182242491E-7</v>
      </c>
      <c r="X484">
        <f t="shared" si="144"/>
        <v>0.20900733681870354</v>
      </c>
      <c r="Y484" s="9"/>
    </row>
    <row r="485" spans="1:25">
      <c r="A485" s="33">
        <v>45509</v>
      </c>
      <c r="B485" s="38">
        <v>38</v>
      </c>
      <c r="C485" s="23">
        <f t="shared" si="130"/>
        <v>-2.3628248884222476E-3</v>
      </c>
      <c r="D485">
        <f t="shared" si="131"/>
        <v>3.1334545830018413E-2</v>
      </c>
      <c r="E485" s="38">
        <v>38.950000000000003</v>
      </c>
      <c r="F485" s="38">
        <v>36.020000000000003</v>
      </c>
      <c r="G485" s="22">
        <f t="shared" si="132"/>
        <v>7.816459917300253E-2</v>
      </c>
      <c r="H485" s="38">
        <v>38</v>
      </c>
      <c r="I485" s="38">
        <v>36.409999999999997</v>
      </c>
      <c r="J485" s="22">
        <f t="shared" si="133"/>
        <v>4.2736191372127495E-2</v>
      </c>
      <c r="K485" s="35">
        <v>1639</v>
      </c>
      <c r="L485" s="37">
        <f t="shared" si="134"/>
        <v>380860000</v>
      </c>
      <c r="M485">
        <f t="shared" si="135"/>
        <v>62282</v>
      </c>
      <c r="N485">
        <f t="shared" si="136"/>
        <v>179250000</v>
      </c>
      <c r="O485">
        <f t="shared" si="137"/>
        <v>9.1436541143654121E-6</v>
      </c>
      <c r="P485" s="24">
        <v>77084.490000000005</v>
      </c>
      <c r="Q485" s="9">
        <v>0.19489999999999999</v>
      </c>
      <c r="R485" s="37">
        <f t="shared" si="138"/>
        <v>41958240000</v>
      </c>
      <c r="S485" s="37">
        <f t="shared" si="139"/>
        <v>16631849999.999998</v>
      </c>
      <c r="T485" s="37">
        <f t="shared" si="140"/>
        <v>435200000</v>
      </c>
      <c r="U485" s="37">
        <f t="shared" si="141"/>
        <v>292100000</v>
      </c>
      <c r="V485" s="37">
        <f t="shared" si="142"/>
        <v>8769580000</v>
      </c>
      <c r="W485">
        <f t="shared" si="143"/>
        <v>3.7937524299512662E-8</v>
      </c>
      <c r="X485">
        <f t="shared" si="144"/>
        <v>0.20900733681870354</v>
      </c>
      <c r="Y485" s="9"/>
    </row>
    <row r="486" spans="1:25">
      <c r="A486" s="33">
        <v>45506</v>
      </c>
      <c r="B486" s="38">
        <v>38.090000000000003</v>
      </c>
      <c r="C486" s="23">
        <f t="shared" si="130"/>
        <v>-4.2002012072434473E-2</v>
      </c>
      <c r="D486">
        <f t="shared" si="131"/>
        <v>3.1334545830018413E-2</v>
      </c>
      <c r="E486" s="38">
        <v>39.61</v>
      </c>
      <c r="F486" s="38">
        <v>36.049999999999997</v>
      </c>
      <c r="G486" s="22">
        <f t="shared" si="132"/>
        <v>9.4105207507269431E-2</v>
      </c>
      <c r="H486" s="38">
        <v>39</v>
      </c>
      <c r="I486" s="38">
        <v>37.76</v>
      </c>
      <c r="J486" s="22">
        <f t="shared" si="133"/>
        <v>3.2308494007295525E-2</v>
      </c>
      <c r="K486" s="35">
        <v>14371</v>
      </c>
      <c r="L486" s="37">
        <f t="shared" si="134"/>
        <v>380860000</v>
      </c>
      <c r="M486">
        <f t="shared" si="135"/>
        <v>547391.39</v>
      </c>
      <c r="N486">
        <f t="shared" si="136"/>
        <v>179250000</v>
      </c>
      <c r="O486">
        <f t="shared" si="137"/>
        <v>8.0172942817294279E-5</v>
      </c>
      <c r="P486" s="24">
        <v>78225.98</v>
      </c>
      <c r="Q486" s="9">
        <v>0.19489999999999999</v>
      </c>
      <c r="R486" s="37">
        <f t="shared" si="138"/>
        <v>41958240000</v>
      </c>
      <c r="S486" s="37">
        <f t="shared" si="139"/>
        <v>16631849999.999998</v>
      </c>
      <c r="T486" s="37">
        <f t="shared" si="140"/>
        <v>435200000</v>
      </c>
      <c r="U486" s="37">
        <f t="shared" si="141"/>
        <v>292100000</v>
      </c>
      <c r="V486" s="37">
        <f t="shared" si="142"/>
        <v>8769580000</v>
      </c>
      <c r="W486">
        <f t="shared" si="143"/>
        <v>7.6731225298290629E-8</v>
      </c>
      <c r="X486">
        <f t="shared" si="144"/>
        <v>0.20900733681870354</v>
      </c>
      <c r="Y486" s="9"/>
    </row>
    <row r="487" spans="1:25">
      <c r="A487" s="33">
        <v>45505</v>
      </c>
      <c r="B487" s="38">
        <v>39.76</v>
      </c>
      <c r="C487" s="23">
        <f t="shared" si="130"/>
        <v>-1.069917890022393E-2</v>
      </c>
      <c r="D487">
        <f t="shared" si="131"/>
        <v>3.1334545830018413E-2</v>
      </c>
      <c r="E487" s="38">
        <v>40.99</v>
      </c>
      <c r="F487" s="38">
        <v>39</v>
      </c>
      <c r="G487" s="22">
        <f t="shared" si="132"/>
        <v>4.9756219527440977E-2</v>
      </c>
      <c r="H487" s="38">
        <v>39.85</v>
      </c>
      <c r="I487" s="38">
        <v>39.799999999999997</v>
      </c>
      <c r="J487" s="22">
        <f t="shared" si="133"/>
        <v>1.2554927809166167E-3</v>
      </c>
      <c r="K487" s="35">
        <v>27277</v>
      </c>
      <c r="L487" s="37">
        <f t="shared" si="134"/>
        <v>380860000</v>
      </c>
      <c r="M487">
        <f t="shared" si="135"/>
        <v>1084533.52</v>
      </c>
      <c r="N487">
        <f t="shared" si="136"/>
        <v>179250000</v>
      </c>
      <c r="O487">
        <f t="shared" si="137"/>
        <v>1.5217294281729429E-4</v>
      </c>
      <c r="P487" s="24">
        <v>77740.31</v>
      </c>
      <c r="Q487" s="9">
        <v>0.19489999999999999</v>
      </c>
      <c r="R487" s="37">
        <f t="shared" si="138"/>
        <v>41958240000</v>
      </c>
      <c r="S487" s="37">
        <f t="shared" si="139"/>
        <v>16631849999.999998</v>
      </c>
      <c r="T487" s="37">
        <f t="shared" si="140"/>
        <v>435200000</v>
      </c>
      <c r="U487" s="37">
        <f t="shared" si="141"/>
        <v>292100000</v>
      </c>
      <c r="V487" s="37">
        <f t="shared" si="142"/>
        <v>8769580000</v>
      </c>
      <c r="W487">
        <f t="shared" si="143"/>
        <v>9.8652357930107408E-9</v>
      </c>
      <c r="X487">
        <f t="shared" si="144"/>
        <v>0.20900733681870354</v>
      </c>
      <c r="Y487" s="9"/>
    </row>
    <row r="488" spans="1:25">
      <c r="A488" s="33">
        <v>45504</v>
      </c>
      <c r="B488" s="38">
        <v>40.19</v>
      </c>
      <c r="C488" s="23">
        <f t="shared" si="130"/>
        <v>1.7726006583945193E-2</v>
      </c>
      <c r="D488">
        <f t="shared" si="131"/>
        <v>3.1334545830018413E-2</v>
      </c>
      <c r="E488" s="38">
        <v>41.5</v>
      </c>
      <c r="F488" s="38">
        <v>39.9</v>
      </c>
      <c r="G488" s="22">
        <f t="shared" si="132"/>
        <v>3.9312039312039346E-2</v>
      </c>
      <c r="H488" s="38">
        <v>40.94</v>
      </c>
      <c r="I488" s="38">
        <v>40</v>
      </c>
      <c r="J488" s="22">
        <f t="shared" si="133"/>
        <v>2.3227081788979434E-2</v>
      </c>
      <c r="K488" s="35">
        <v>26987</v>
      </c>
      <c r="L488" s="37">
        <f t="shared" si="134"/>
        <v>380860000</v>
      </c>
      <c r="M488">
        <f t="shared" si="135"/>
        <v>1084607.53</v>
      </c>
      <c r="N488">
        <f t="shared" si="136"/>
        <v>179250000</v>
      </c>
      <c r="O488">
        <f t="shared" si="137"/>
        <v>1.5055509065550906E-4</v>
      </c>
      <c r="P488" s="24">
        <v>77886.990000000005</v>
      </c>
      <c r="Q488" s="9">
        <v>0.19489999999999999</v>
      </c>
      <c r="R488" s="37">
        <f t="shared" si="138"/>
        <v>41958240000</v>
      </c>
      <c r="S488" s="37">
        <f t="shared" si="139"/>
        <v>16631849999.999998</v>
      </c>
      <c r="T488" s="37">
        <f t="shared" si="140"/>
        <v>435200000</v>
      </c>
      <c r="U488" s="37">
        <f t="shared" si="141"/>
        <v>292100000</v>
      </c>
      <c r="V488" s="37">
        <f t="shared" si="142"/>
        <v>8769580000</v>
      </c>
      <c r="W488">
        <f t="shared" si="143"/>
        <v>1.6343244992910193E-8</v>
      </c>
      <c r="X488">
        <f t="shared" si="144"/>
        <v>0.20900733681870354</v>
      </c>
      <c r="Y488" s="9"/>
    </row>
    <row r="489" spans="1:25">
      <c r="A489" s="33">
        <v>45503</v>
      </c>
      <c r="B489" s="38">
        <v>39.49</v>
      </c>
      <c r="C489" s="23">
        <f t="shared" si="130"/>
        <v>1.5216839969566897E-3</v>
      </c>
      <c r="D489">
        <f t="shared" si="131"/>
        <v>3.1334545830018413E-2</v>
      </c>
      <c r="E489" s="38">
        <v>40</v>
      </c>
      <c r="F489" s="38">
        <v>38.549999999999997</v>
      </c>
      <c r="G489" s="22">
        <f t="shared" si="132"/>
        <v>3.6919159770846671E-2</v>
      </c>
      <c r="H489" s="38">
        <v>39.4</v>
      </c>
      <c r="I489" s="38">
        <v>38.549999999999997</v>
      </c>
      <c r="J489" s="22">
        <f t="shared" si="133"/>
        <v>2.1808851828094972E-2</v>
      </c>
      <c r="K489" s="35">
        <v>34065</v>
      </c>
      <c r="L489" s="37">
        <f t="shared" si="134"/>
        <v>380860000</v>
      </c>
      <c r="M489">
        <f t="shared" si="135"/>
        <v>1345226.85</v>
      </c>
      <c r="N489">
        <f t="shared" si="136"/>
        <v>179250000</v>
      </c>
      <c r="O489">
        <f t="shared" si="137"/>
        <v>1.900418410041841E-4</v>
      </c>
      <c r="P489" s="24">
        <v>78628.81</v>
      </c>
      <c r="Q489" s="9">
        <v>0.19489999999999999</v>
      </c>
      <c r="R489" s="37">
        <f t="shared" si="138"/>
        <v>41958240000</v>
      </c>
      <c r="S489" s="37">
        <f t="shared" si="139"/>
        <v>16631849999.999998</v>
      </c>
      <c r="T489" s="37">
        <f t="shared" si="140"/>
        <v>435200000</v>
      </c>
      <c r="U489" s="37">
        <f t="shared" si="141"/>
        <v>292100000</v>
      </c>
      <c r="V489" s="37">
        <f t="shared" si="142"/>
        <v>8769580000</v>
      </c>
      <c r="W489">
        <f t="shared" si="143"/>
        <v>1.1311727809749632E-9</v>
      </c>
      <c r="X489">
        <f t="shared" si="144"/>
        <v>0.20900733681870354</v>
      </c>
      <c r="Y489" s="9"/>
    </row>
    <row r="490" spans="1:25">
      <c r="A490" s="33">
        <v>45502</v>
      </c>
      <c r="B490" s="38">
        <v>39.43</v>
      </c>
      <c r="C490" s="23">
        <f t="shared" si="130"/>
        <v>-7.550969041026861E-3</v>
      </c>
      <c r="D490">
        <f t="shared" si="131"/>
        <v>3.1334545830018413E-2</v>
      </c>
      <c r="E490" s="38">
        <v>39.5</v>
      </c>
      <c r="F490" s="38">
        <v>38.01</v>
      </c>
      <c r="G490" s="22">
        <f t="shared" si="132"/>
        <v>3.8446652044897486E-2</v>
      </c>
      <c r="H490" s="38">
        <v>39.5</v>
      </c>
      <c r="I490" s="38">
        <v>38.5</v>
      </c>
      <c r="J490" s="22">
        <f t="shared" si="133"/>
        <v>2.564102564102564E-2</v>
      </c>
      <c r="K490" s="35">
        <v>3170</v>
      </c>
      <c r="L490" s="37">
        <f t="shared" si="134"/>
        <v>380860000</v>
      </c>
      <c r="M490">
        <f t="shared" si="135"/>
        <v>124993.1</v>
      </c>
      <c r="N490">
        <f t="shared" si="136"/>
        <v>179250000</v>
      </c>
      <c r="O490">
        <f t="shared" si="137"/>
        <v>1.7684797768479778E-5</v>
      </c>
      <c r="P490" s="24">
        <v>78827.740000000005</v>
      </c>
      <c r="Q490" s="9">
        <v>0.19489999999999999</v>
      </c>
      <c r="R490" s="37">
        <f t="shared" si="138"/>
        <v>41958240000</v>
      </c>
      <c r="S490" s="37">
        <f t="shared" si="139"/>
        <v>16631849999.999998</v>
      </c>
      <c r="T490" s="37">
        <f t="shared" si="140"/>
        <v>435200000</v>
      </c>
      <c r="U490" s="37">
        <f t="shared" si="141"/>
        <v>292100000</v>
      </c>
      <c r="V490" s="37">
        <f t="shared" si="142"/>
        <v>8769580000</v>
      </c>
      <c r="W490">
        <f t="shared" si="143"/>
        <v>6.0411087020218407E-8</v>
      </c>
      <c r="X490">
        <f t="shared" si="144"/>
        <v>0.20900733681870354</v>
      </c>
      <c r="Y490" s="9"/>
    </row>
    <row r="491" spans="1:25">
      <c r="A491" s="33">
        <v>45499</v>
      </c>
      <c r="B491" s="38">
        <v>39.729999999999997</v>
      </c>
      <c r="C491" s="23">
        <f t="shared" si="130"/>
        <v>7.8640284119734939E-3</v>
      </c>
      <c r="D491">
        <f t="shared" si="131"/>
        <v>3.1334545830018413E-2</v>
      </c>
      <c r="E491" s="38">
        <v>39.89</v>
      </c>
      <c r="F491" s="38">
        <v>38.049999999999997</v>
      </c>
      <c r="G491" s="22">
        <f t="shared" si="132"/>
        <v>4.7215807031049613E-2</v>
      </c>
      <c r="H491" s="38">
        <v>39.76</v>
      </c>
      <c r="I491" s="38">
        <v>38.5</v>
      </c>
      <c r="J491" s="22">
        <f t="shared" si="133"/>
        <v>3.2200357781753085E-2</v>
      </c>
      <c r="K491" s="35">
        <v>2024</v>
      </c>
      <c r="L491" s="37">
        <f t="shared" si="134"/>
        <v>380860000</v>
      </c>
      <c r="M491">
        <f t="shared" si="135"/>
        <v>80413.51999999999</v>
      </c>
      <c r="N491">
        <f t="shared" si="136"/>
        <v>179250000</v>
      </c>
      <c r="O491">
        <f t="shared" si="137"/>
        <v>1.1291492329149233E-5</v>
      </c>
      <c r="P491" s="24">
        <v>78029.509999999995</v>
      </c>
      <c r="Q491" s="9">
        <v>0.19489999999999999</v>
      </c>
      <c r="R491" s="37">
        <f t="shared" si="138"/>
        <v>41958240000</v>
      </c>
      <c r="S491" s="37">
        <f t="shared" si="139"/>
        <v>16631849999.999998</v>
      </c>
      <c r="T491" s="37">
        <f t="shared" si="140"/>
        <v>435200000</v>
      </c>
      <c r="U491" s="37">
        <f t="shared" si="141"/>
        <v>292100000</v>
      </c>
      <c r="V491" s="37">
        <f t="shared" si="142"/>
        <v>8769580000</v>
      </c>
      <c r="W491">
        <f t="shared" si="143"/>
        <v>9.779485355166015E-8</v>
      </c>
      <c r="X491">
        <f t="shared" si="144"/>
        <v>0.20900733681870354</v>
      </c>
      <c r="Y491" s="9"/>
    </row>
    <row r="492" spans="1:25">
      <c r="A492" s="33">
        <v>45498</v>
      </c>
      <c r="B492" s="38">
        <v>39.42</v>
      </c>
      <c r="C492" s="23">
        <f t="shared" si="130"/>
        <v>1.3367609254498796E-2</v>
      </c>
      <c r="D492">
        <f t="shared" si="131"/>
        <v>3.1334545830018413E-2</v>
      </c>
      <c r="E492" s="38">
        <v>39.950000000000003</v>
      </c>
      <c r="F492" s="38">
        <v>38.15</v>
      </c>
      <c r="G492" s="22">
        <f t="shared" si="132"/>
        <v>4.6094750320102545E-2</v>
      </c>
      <c r="H492" s="38">
        <v>39.65</v>
      </c>
      <c r="I492" s="38">
        <v>38.200000000000003</v>
      </c>
      <c r="J492" s="22">
        <f t="shared" si="133"/>
        <v>3.7251123956326161E-2</v>
      </c>
      <c r="K492" s="35">
        <v>1351</v>
      </c>
      <c r="L492" s="37">
        <f t="shared" si="134"/>
        <v>380860000</v>
      </c>
      <c r="M492">
        <f t="shared" si="135"/>
        <v>53256.420000000006</v>
      </c>
      <c r="N492">
        <f t="shared" si="136"/>
        <v>179250000</v>
      </c>
      <c r="O492">
        <f t="shared" si="137"/>
        <v>7.5369595536959554E-6</v>
      </c>
      <c r="P492" s="24">
        <v>78469.33</v>
      </c>
      <c r="Q492" s="9">
        <v>0.19489999999999999</v>
      </c>
      <c r="R492" s="37">
        <f t="shared" si="138"/>
        <v>41958240000</v>
      </c>
      <c r="S492" s="37">
        <f t="shared" si="139"/>
        <v>16631849999.999998</v>
      </c>
      <c r="T492" s="37">
        <f t="shared" si="140"/>
        <v>435200000</v>
      </c>
      <c r="U492" s="37">
        <f t="shared" si="141"/>
        <v>292100000</v>
      </c>
      <c r="V492" s="37">
        <f t="shared" si="142"/>
        <v>8769580000</v>
      </c>
      <c r="W492">
        <f t="shared" si="143"/>
        <v>2.5100465360793672E-7</v>
      </c>
      <c r="X492">
        <f t="shared" si="144"/>
        <v>0.20900733681870354</v>
      </c>
      <c r="Y492" s="9"/>
    </row>
    <row r="493" spans="1:25">
      <c r="A493" s="33">
        <v>45497</v>
      </c>
      <c r="B493" s="38">
        <v>38.9</v>
      </c>
      <c r="C493" s="23">
        <f t="shared" si="130"/>
        <v>2.1265423995799292E-2</v>
      </c>
      <c r="D493">
        <f t="shared" si="131"/>
        <v>3.1334545830018413E-2</v>
      </c>
      <c r="E493" s="38">
        <v>40.5</v>
      </c>
      <c r="F493" s="38">
        <v>38.75</v>
      </c>
      <c r="G493" s="22">
        <f t="shared" si="132"/>
        <v>4.4164037854889593E-2</v>
      </c>
      <c r="H493" s="38">
        <v>39.5</v>
      </c>
      <c r="I493" s="38">
        <v>38.75</v>
      </c>
      <c r="J493" s="22">
        <f t="shared" si="133"/>
        <v>1.9169329073482427E-2</v>
      </c>
      <c r="K493" s="35">
        <v>49090</v>
      </c>
      <c r="L493" s="37">
        <f t="shared" si="134"/>
        <v>380860000</v>
      </c>
      <c r="M493">
        <f t="shared" si="135"/>
        <v>1909601</v>
      </c>
      <c r="N493">
        <f t="shared" si="136"/>
        <v>179250000</v>
      </c>
      <c r="O493">
        <f t="shared" si="137"/>
        <v>2.7386331938633195E-4</v>
      </c>
      <c r="P493" s="24">
        <v>79397.009999999995</v>
      </c>
      <c r="Q493" s="9">
        <v>0.19489999999999999</v>
      </c>
      <c r="R493" s="37">
        <f t="shared" si="138"/>
        <v>41958240000</v>
      </c>
      <c r="S493" s="37">
        <f t="shared" si="139"/>
        <v>16631849999.999998</v>
      </c>
      <c r="T493" s="37">
        <f t="shared" si="140"/>
        <v>435200000</v>
      </c>
      <c r="U493" s="37">
        <f t="shared" si="141"/>
        <v>292100000</v>
      </c>
      <c r="V493" s="37">
        <f t="shared" si="142"/>
        <v>8769580000</v>
      </c>
      <c r="W493">
        <f t="shared" si="143"/>
        <v>1.1136056168696651E-8</v>
      </c>
      <c r="X493">
        <f t="shared" si="144"/>
        <v>0.20900733681870354</v>
      </c>
      <c r="Y493" s="9"/>
    </row>
    <row r="494" spans="1:25">
      <c r="A494" s="33">
        <v>45496</v>
      </c>
      <c r="B494" s="38">
        <v>38.090000000000003</v>
      </c>
      <c r="C494" s="23">
        <f t="shared" si="130"/>
        <v>-7.5560187597706911E-3</v>
      </c>
      <c r="D494">
        <f t="shared" si="131"/>
        <v>3.1334545830018413E-2</v>
      </c>
      <c r="E494" s="38">
        <v>42</v>
      </c>
      <c r="F494" s="38">
        <v>37.17</v>
      </c>
      <c r="G494" s="22">
        <f t="shared" si="132"/>
        <v>0.12201591511936336</v>
      </c>
      <c r="H494" s="38">
        <v>38.97</v>
      </c>
      <c r="I494" s="38">
        <v>38</v>
      </c>
      <c r="J494" s="22">
        <f t="shared" si="133"/>
        <v>2.5204625178640999E-2</v>
      </c>
      <c r="K494" s="35">
        <v>35615</v>
      </c>
      <c r="L494" s="37">
        <f t="shared" si="134"/>
        <v>380860000</v>
      </c>
      <c r="M494">
        <f t="shared" si="135"/>
        <v>1356575.35</v>
      </c>
      <c r="N494">
        <f t="shared" si="136"/>
        <v>179250000</v>
      </c>
      <c r="O494">
        <f t="shared" si="137"/>
        <v>1.9868898186889818E-4</v>
      </c>
      <c r="P494" s="24">
        <v>78987.09</v>
      </c>
      <c r="Q494" s="9">
        <v>0.19489999999999999</v>
      </c>
      <c r="R494" s="37">
        <f t="shared" si="138"/>
        <v>41958240000</v>
      </c>
      <c r="S494" s="37">
        <f t="shared" si="139"/>
        <v>16631849999.999998</v>
      </c>
      <c r="T494" s="37">
        <f t="shared" si="140"/>
        <v>435200000</v>
      </c>
      <c r="U494" s="37">
        <f t="shared" si="141"/>
        <v>292100000</v>
      </c>
      <c r="V494" s="37">
        <f t="shared" si="142"/>
        <v>8769580000</v>
      </c>
      <c r="W494">
        <f t="shared" si="143"/>
        <v>5.5699219064909966E-9</v>
      </c>
      <c r="X494">
        <f t="shared" si="144"/>
        <v>0.20900733681870354</v>
      </c>
      <c r="Y494" s="9"/>
    </row>
    <row r="495" spans="1:25" ht="15" thickBot="1">
      <c r="A495" s="33">
        <v>45495</v>
      </c>
      <c r="B495" s="38">
        <v>38.380000000000003</v>
      </c>
      <c r="C495" s="23">
        <f>IFERROR((B495-#REF!)/#REF!,0)</f>
        <v>0</v>
      </c>
      <c r="D495">
        <f t="shared" si="131"/>
        <v>3.1334545830018413E-2</v>
      </c>
      <c r="E495" s="38">
        <v>42</v>
      </c>
      <c r="F495" s="38">
        <v>37</v>
      </c>
      <c r="G495" s="22">
        <f t="shared" si="132"/>
        <v>0.12658227848101267</v>
      </c>
      <c r="H495" s="38">
        <v>38.380000000000003</v>
      </c>
      <c r="I495" s="38">
        <v>37.5</v>
      </c>
      <c r="J495" s="22">
        <f t="shared" si="133"/>
        <v>2.3194517659462378E-2</v>
      </c>
      <c r="K495" s="35">
        <v>20437</v>
      </c>
      <c r="L495" s="37">
        <f t="shared" si="134"/>
        <v>380860000</v>
      </c>
      <c r="M495">
        <f t="shared" si="135"/>
        <v>784372.06</v>
      </c>
      <c r="N495">
        <f t="shared" si="136"/>
        <v>179250000</v>
      </c>
      <c r="O495">
        <f t="shared" si="137"/>
        <v>1.140139470013947E-4</v>
      </c>
      <c r="P495" s="24">
        <v>78539.19</v>
      </c>
      <c r="Q495" s="9">
        <v>0.19489999999999999</v>
      </c>
      <c r="R495" s="37">
        <f t="shared" si="138"/>
        <v>41958240000</v>
      </c>
      <c r="S495" s="37">
        <f t="shared" si="139"/>
        <v>16631849999.999998</v>
      </c>
      <c r="T495" s="37">
        <f t="shared" si="140"/>
        <v>435200000</v>
      </c>
      <c r="U495" s="37">
        <f t="shared" si="141"/>
        <v>292100000</v>
      </c>
      <c r="V495" s="37">
        <f t="shared" si="142"/>
        <v>8769580000</v>
      </c>
      <c r="W495">
        <f t="shared" si="143"/>
        <v>0</v>
      </c>
      <c r="X495">
        <f t="shared" si="144"/>
        <v>0.20900733681870354</v>
      </c>
      <c r="Y495" s="9"/>
    </row>
    <row r="496" spans="1:25" ht="16" thickBot="1">
      <c r="A496" s="184" t="s">
        <v>48</v>
      </c>
      <c r="B496" s="185"/>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6"/>
      <c r="Y496" s="9"/>
    </row>
    <row r="497" spans="1:25" ht="43.5">
      <c r="A497" s="1" t="s">
        <v>14</v>
      </c>
      <c r="B497" s="2" t="s">
        <v>15</v>
      </c>
      <c r="C497" s="4" t="s">
        <v>16</v>
      </c>
      <c r="D497" s="4" t="s">
        <v>17</v>
      </c>
      <c r="E497" s="1" t="s">
        <v>0</v>
      </c>
      <c r="F497" s="1" t="s">
        <v>13</v>
      </c>
      <c r="G497" s="7" t="s">
        <v>18</v>
      </c>
      <c r="H497" s="1" t="s">
        <v>12</v>
      </c>
      <c r="I497" s="1" t="s">
        <v>1</v>
      </c>
      <c r="J497" s="7" t="s">
        <v>19</v>
      </c>
      <c r="K497" s="2" t="s">
        <v>2</v>
      </c>
      <c r="L497" s="2" t="s">
        <v>3</v>
      </c>
      <c r="M497" s="7" t="s">
        <v>20</v>
      </c>
      <c r="N497" s="2" t="s">
        <v>4</v>
      </c>
      <c r="O497" s="7" t="s">
        <v>21</v>
      </c>
      <c r="P497" s="2" t="s">
        <v>5</v>
      </c>
      <c r="Q497" s="2" t="s">
        <v>6</v>
      </c>
      <c r="R497" s="2" t="s">
        <v>7</v>
      </c>
      <c r="S497" s="2" t="s">
        <v>8</v>
      </c>
      <c r="T497" s="2" t="s">
        <v>9</v>
      </c>
      <c r="U497" s="2" t="s">
        <v>10</v>
      </c>
      <c r="V497" s="2" t="s">
        <v>11</v>
      </c>
      <c r="W497" s="7" t="s">
        <v>73</v>
      </c>
      <c r="X497" s="7" t="s">
        <v>72</v>
      </c>
      <c r="Y497" s="9"/>
    </row>
    <row r="498" spans="1:25">
      <c r="A498" s="33">
        <v>45555</v>
      </c>
      <c r="B498" s="38">
        <v>6.28</v>
      </c>
      <c r="C498" s="23">
        <f>IFERROR((B498-B499)/B499,0)</f>
        <v>4.8000000000000395E-3</v>
      </c>
      <c r="D498">
        <f>_xlfn.STDEV.S($C$498:$C$540)</f>
        <v>7.6626389519773505E-2</v>
      </c>
      <c r="E498" s="38">
        <v>6.68</v>
      </c>
      <c r="F498" s="38">
        <v>6.13</v>
      </c>
      <c r="G498" s="22">
        <f>IFERROR((E498-F498)/((E498+F498)/2),0)</f>
        <v>8.5870413739266183E-2</v>
      </c>
      <c r="H498" s="38">
        <v>6.33</v>
      </c>
      <c r="I498" s="38">
        <v>6.27</v>
      </c>
      <c r="J498" s="22">
        <f>IFERROR((H498-I498)/((H498+I498)/2),0)</f>
        <v>9.5238095238096027E-3</v>
      </c>
      <c r="K498" s="35">
        <v>18851097</v>
      </c>
      <c r="L498" s="37">
        <f>278.88*1000000</f>
        <v>278880000</v>
      </c>
      <c r="M498">
        <f>B498*K498</f>
        <v>118384889.16000001</v>
      </c>
      <c r="N498">
        <f>243.27*1000000</f>
        <v>243270000</v>
      </c>
      <c r="O498">
        <f>K498/N498</f>
        <v>7.7490430385990877E-2</v>
      </c>
      <c r="P498" s="24">
        <v>82074.45</v>
      </c>
      <c r="Q498" s="9">
        <v>0.1741</v>
      </c>
      <c r="R498" s="37">
        <f>13558.25*1000000</f>
        <v>13558250000</v>
      </c>
      <c r="S498" s="37">
        <f>10770.95*1000000</f>
        <v>10770950000</v>
      </c>
      <c r="T498">
        <f>-152.52*1000000</f>
        <v>-152520000</v>
      </c>
      <c r="U498" s="37">
        <f>35.79*1000000</f>
        <v>35790000</v>
      </c>
      <c r="V498" s="37">
        <f>6060.46*1000000</f>
        <v>6060460000</v>
      </c>
      <c r="W498">
        <f>IFERROR(ABS(C498)/M498,"0")</f>
        <v>4.0545715201141289E-11</v>
      </c>
      <c r="X498">
        <f>V498/R498</f>
        <v>0.44699426548411486</v>
      </c>
      <c r="Y498" s="9"/>
    </row>
    <row r="499" spans="1:25">
      <c r="A499" s="33">
        <v>45554</v>
      </c>
      <c r="B499" s="38">
        <v>6.25</v>
      </c>
      <c r="C499" s="23">
        <f t="shared" ref="C499:C539" si="145">IFERROR((B499-B500)/B500,0)</f>
        <v>-9.9423631123919359E-2</v>
      </c>
      <c r="D499">
        <f t="shared" ref="D499:D540" si="146">_xlfn.STDEV.S($C$498:$C$540)</f>
        <v>7.6626389519773505E-2</v>
      </c>
      <c r="E499" s="38">
        <v>7.05</v>
      </c>
      <c r="F499" s="38">
        <v>6.05</v>
      </c>
      <c r="G499" s="22">
        <f t="shared" ref="G499:G540" si="147">IFERROR((E499-F499)/((E499+F499)/2),0)</f>
        <v>0.15267175572519084</v>
      </c>
      <c r="H499" s="38">
        <v>6.37</v>
      </c>
      <c r="I499" s="38">
        <v>6.35</v>
      </c>
      <c r="J499" s="22">
        <f t="shared" ref="J499:J540" si="148">IFERROR((H499-I499)/((H499+I499)/2),0)</f>
        <v>3.1446540880503875E-3</v>
      </c>
      <c r="K499" s="35">
        <v>11844966</v>
      </c>
      <c r="L499" s="37">
        <f t="shared" ref="L499:L540" si="149">278.88*1000000</f>
        <v>278880000</v>
      </c>
      <c r="M499">
        <f t="shared" ref="M499:M540" si="150">B499*K499</f>
        <v>74031037.5</v>
      </c>
      <c r="N499">
        <f t="shared" ref="N499:N540" si="151">243.27*1000000</f>
        <v>243270000</v>
      </c>
      <c r="O499">
        <f t="shared" ref="O499:O540" si="152">K499/N499</f>
        <v>4.8690615365643113E-2</v>
      </c>
      <c r="P499" s="24">
        <v>81459.289999999994</v>
      </c>
      <c r="Q499" s="9">
        <v>0.1741</v>
      </c>
      <c r="R499" s="37">
        <f t="shared" ref="R499:R540" si="153">13558.25*1000000</f>
        <v>13558250000</v>
      </c>
      <c r="S499" s="37">
        <f t="shared" ref="S499:S540" si="154">10770.95*1000000</f>
        <v>10770950000</v>
      </c>
      <c r="T499">
        <f t="shared" ref="T499:T540" si="155">-152.52*1000000</f>
        <v>-152520000</v>
      </c>
      <c r="U499" s="37">
        <f t="shared" ref="U499:U540" si="156">35.79*1000000</f>
        <v>35790000</v>
      </c>
      <c r="V499" s="37">
        <f t="shared" ref="V499:V540" si="157">6060.46*1000000</f>
        <v>6060460000</v>
      </c>
      <c r="W499">
        <f t="shared" ref="W499:W540" si="158">IFERROR(ABS(C499)/M499,"0")</f>
        <v>1.3429992943691942E-9</v>
      </c>
      <c r="X499">
        <f t="shared" ref="X499:X540" si="159">V499/R499</f>
        <v>0.44699426548411486</v>
      </c>
      <c r="Y499" s="9"/>
    </row>
    <row r="500" spans="1:25">
      <c r="A500" s="33">
        <v>45553</v>
      </c>
      <c r="B500" s="38">
        <v>6.94</v>
      </c>
      <c r="C500" s="23">
        <f t="shared" si="145"/>
        <v>-2.8735632183907434E-3</v>
      </c>
      <c r="D500">
        <f t="shared" si="146"/>
        <v>7.6626389519773505E-2</v>
      </c>
      <c r="E500" s="38">
        <v>7.16</v>
      </c>
      <c r="F500" s="38">
        <v>6.6</v>
      </c>
      <c r="G500" s="22">
        <f t="shared" si="147"/>
        <v>8.1395348837209378E-2</v>
      </c>
      <c r="H500" s="38">
        <v>7</v>
      </c>
      <c r="I500" s="38">
        <v>6.96</v>
      </c>
      <c r="J500" s="22">
        <f t="shared" si="148"/>
        <v>5.7306590257879706E-3</v>
      </c>
      <c r="K500" s="35">
        <v>19649769</v>
      </c>
      <c r="L500" s="37">
        <f t="shared" si="149"/>
        <v>278880000</v>
      </c>
      <c r="M500">
        <f t="shared" si="150"/>
        <v>136369396.86000001</v>
      </c>
      <c r="N500">
        <f t="shared" si="151"/>
        <v>243270000</v>
      </c>
      <c r="O500">
        <f t="shared" si="152"/>
        <v>8.0773498581822673E-2</v>
      </c>
      <c r="P500" s="24">
        <v>80461.34</v>
      </c>
      <c r="Q500" s="9">
        <v>0.1741</v>
      </c>
      <c r="R500" s="37">
        <f t="shared" si="153"/>
        <v>13558250000</v>
      </c>
      <c r="S500" s="37">
        <f t="shared" si="154"/>
        <v>10770950000</v>
      </c>
      <c r="T500">
        <f t="shared" si="155"/>
        <v>-152520000</v>
      </c>
      <c r="U500" s="37">
        <f t="shared" si="156"/>
        <v>35790000</v>
      </c>
      <c r="V500" s="37">
        <f t="shared" si="157"/>
        <v>6060460000</v>
      </c>
      <c r="W500">
        <f t="shared" si="158"/>
        <v>2.1071906780821288E-11</v>
      </c>
      <c r="X500">
        <f t="shared" si="159"/>
        <v>0.44699426548411486</v>
      </c>
      <c r="Y500" s="9"/>
    </row>
    <row r="501" spans="1:25">
      <c r="A501" s="33">
        <v>45551</v>
      </c>
      <c r="B501" s="38">
        <v>6.96</v>
      </c>
      <c r="C501" s="23">
        <f t="shared" si="145"/>
        <v>-5.4347826086956569E-2</v>
      </c>
      <c r="D501">
        <f t="shared" si="146"/>
        <v>7.6626389519773505E-2</v>
      </c>
      <c r="E501" s="38">
        <v>8.36</v>
      </c>
      <c r="F501" s="38">
        <v>6.59</v>
      </c>
      <c r="G501" s="22">
        <f t="shared" si="147"/>
        <v>0.23678929765886284</v>
      </c>
      <c r="H501" s="38">
        <v>6.69</v>
      </c>
      <c r="I501" s="38">
        <v>6.66</v>
      </c>
      <c r="J501" s="22">
        <f t="shared" si="148"/>
        <v>4.4943820224719469E-3</v>
      </c>
      <c r="K501" s="35">
        <v>56890305</v>
      </c>
      <c r="L501" s="37">
        <f t="shared" si="149"/>
        <v>278880000</v>
      </c>
      <c r="M501">
        <f t="shared" si="150"/>
        <v>395956522.80000001</v>
      </c>
      <c r="N501">
        <f t="shared" si="151"/>
        <v>243270000</v>
      </c>
      <c r="O501">
        <f t="shared" si="152"/>
        <v>0.23385664076951534</v>
      </c>
      <c r="P501" s="24">
        <v>79491.14</v>
      </c>
      <c r="Q501" s="9">
        <v>0.1741</v>
      </c>
      <c r="R501" s="37">
        <f t="shared" si="153"/>
        <v>13558250000</v>
      </c>
      <c r="S501" s="37">
        <f t="shared" si="154"/>
        <v>10770950000</v>
      </c>
      <c r="T501">
        <f t="shared" si="155"/>
        <v>-152520000</v>
      </c>
      <c r="U501" s="37">
        <f t="shared" si="156"/>
        <v>35790000</v>
      </c>
      <c r="V501" s="37">
        <f t="shared" si="157"/>
        <v>6060460000</v>
      </c>
      <c r="W501">
        <f t="shared" si="158"/>
        <v>1.3725705464488075E-10</v>
      </c>
      <c r="X501">
        <f t="shared" si="159"/>
        <v>0.44699426548411486</v>
      </c>
      <c r="Y501" s="9"/>
    </row>
    <row r="502" spans="1:25">
      <c r="A502" s="33">
        <v>45548</v>
      </c>
      <c r="B502" s="38">
        <v>7.36</v>
      </c>
      <c r="C502" s="23">
        <f t="shared" si="145"/>
        <v>0.15723270440251572</v>
      </c>
      <c r="D502">
        <f t="shared" si="146"/>
        <v>7.6626389519773505E-2</v>
      </c>
      <c r="E502" s="38">
        <v>7.36</v>
      </c>
      <c r="F502" s="38">
        <v>6.58</v>
      </c>
      <c r="G502" s="22">
        <f t="shared" si="147"/>
        <v>0.11190817790530849</v>
      </c>
      <c r="H502" s="38"/>
      <c r="I502" s="38">
        <v>7.36</v>
      </c>
      <c r="J502" s="22">
        <f t="shared" si="148"/>
        <v>-2</v>
      </c>
      <c r="K502" s="35">
        <v>35180306</v>
      </c>
      <c r="L502" s="37">
        <f t="shared" si="149"/>
        <v>278880000</v>
      </c>
      <c r="M502">
        <f t="shared" si="150"/>
        <v>258927052.16</v>
      </c>
      <c r="N502">
        <f t="shared" si="151"/>
        <v>243270000</v>
      </c>
      <c r="O502">
        <f t="shared" si="152"/>
        <v>0.1446142393225634</v>
      </c>
      <c r="P502" s="24">
        <v>79333.06</v>
      </c>
      <c r="Q502" s="9">
        <v>0.1741</v>
      </c>
      <c r="R502" s="37">
        <f t="shared" si="153"/>
        <v>13558250000</v>
      </c>
      <c r="S502" s="37">
        <f t="shared" si="154"/>
        <v>10770950000</v>
      </c>
      <c r="T502">
        <f t="shared" si="155"/>
        <v>-152520000</v>
      </c>
      <c r="U502" s="37">
        <f t="shared" si="156"/>
        <v>35790000</v>
      </c>
      <c r="V502" s="37">
        <f t="shared" si="157"/>
        <v>6060460000</v>
      </c>
      <c r="W502">
        <f t="shared" si="158"/>
        <v>6.0724711107187128E-10</v>
      </c>
      <c r="X502">
        <f t="shared" si="159"/>
        <v>0.44699426548411486</v>
      </c>
      <c r="Y502" s="9"/>
    </row>
    <row r="503" spans="1:25">
      <c r="A503" s="33">
        <v>45547</v>
      </c>
      <c r="B503" s="38">
        <v>6.36</v>
      </c>
      <c r="C503" s="23">
        <f t="shared" si="145"/>
        <v>-6.2500000000000056E-3</v>
      </c>
      <c r="D503">
        <f t="shared" si="146"/>
        <v>7.6626389519773505E-2</v>
      </c>
      <c r="E503" s="38">
        <v>6.55</v>
      </c>
      <c r="F503" s="38">
        <v>6.25</v>
      </c>
      <c r="G503" s="22">
        <f t="shared" si="147"/>
        <v>4.6874999999999972E-2</v>
      </c>
      <c r="H503" s="38">
        <v>6.4</v>
      </c>
      <c r="I503" s="38">
        <v>6.35</v>
      </c>
      <c r="J503" s="22">
        <f t="shared" si="148"/>
        <v>7.8431372549020717E-3</v>
      </c>
      <c r="K503" s="35">
        <v>10130782</v>
      </c>
      <c r="L503" s="37">
        <f t="shared" si="149"/>
        <v>278880000</v>
      </c>
      <c r="M503">
        <f t="shared" si="150"/>
        <v>64431773.520000003</v>
      </c>
      <c r="N503">
        <f t="shared" si="151"/>
        <v>243270000</v>
      </c>
      <c r="O503">
        <f t="shared" si="152"/>
        <v>4.1644189583590251E-2</v>
      </c>
      <c r="P503" s="24">
        <v>79017.62</v>
      </c>
      <c r="Q503" s="9">
        <v>0.1741</v>
      </c>
      <c r="R503" s="37">
        <f t="shared" si="153"/>
        <v>13558250000</v>
      </c>
      <c r="S503" s="37">
        <f t="shared" si="154"/>
        <v>10770950000</v>
      </c>
      <c r="T503">
        <f t="shared" si="155"/>
        <v>-152520000</v>
      </c>
      <c r="U503" s="37">
        <f t="shared" si="156"/>
        <v>35790000</v>
      </c>
      <c r="V503" s="37">
        <f t="shared" si="157"/>
        <v>6060460000</v>
      </c>
      <c r="W503">
        <f t="shared" si="158"/>
        <v>9.7001830906609582E-11</v>
      </c>
      <c r="X503">
        <f t="shared" si="159"/>
        <v>0.44699426548411486</v>
      </c>
      <c r="Y503" s="9"/>
    </row>
    <row r="504" spans="1:25">
      <c r="A504" s="33">
        <v>45546</v>
      </c>
      <c r="B504" s="38">
        <v>6.4</v>
      </c>
      <c r="C504" s="23">
        <f t="shared" si="145"/>
        <v>-9.2879256965943662E-3</v>
      </c>
      <c r="D504">
        <f t="shared" si="146"/>
        <v>7.6626389519773505E-2</v>
      </c>
      <c r="E504" s="38">
        <v>6.6</v>
      </c>
      <c r="F504" s="38">
        <v>6.26</v>
      </c>
      <c r="G504" s="22">
        <f t="shared" si="147"/>
        <v>5.2877138413685826E-2</v>
      </c>
      <c r="H504" s="38">
        <v>6.47</v>
      </c>
      <c r="I504" s="38">
        <v>6.46</v>
      </c>
      <c r="J504" s="22">
        <f t="shared" si="148"/>
        <v>1.5467904098994257E-3</v>
      </c>
      <c r="K504" s="35">
        <v>14794158</v>
      </c>
      <c r="L504" s="37">
        <f t="shared" si="149"/>
        <v>278880000</v>
      </c>
      <c r="M504">
        <f t="shared" si="150"/>
        <v>94682611.200000003</v>
      </c>
      <c r="N504">
        <f t="shared" si="151"/>
        <v>243270000</v>
      </c>
      <c r="O504">
        <f t="shared" si="152"/>
        <v>6.0813737822172892E-2</v>
      </c>
      <c r="P504" s="24">
        <v>78651.8</v>
      </c>
      <c r="Q504" s="9">
        <v>0.1741</v>
      </c>
      <c r="R504" s="37">
        <f t="shared" si="153"/>
        <v>13558250000</v>
      </c>
      <c r="S504" s="37">
        <f t="shared" si="154"/>
        <v>10770950000</v>
      </c>
      <c r="T504">
        <f t="shared" si="155"/>
        <v>-152520000</v>
      </c>
      <c r="U504" s="37">
        <f t="shared" si="156"/>
        <v>35790000</v>
      </c>
      <c r="V504" s="37">
        <f t="shared" si="157"/>
        <v>6060460000</v>
      </c>
      <c r="W504">
        <f t="shared" si="158"/>
        <v>9.8095369137795454E-11</v>
      </c>
      <c r="X504">
        <f t="shared" si="159"/>
        <v>0.44699426548411486</v>
      </c>
      <c r="Y504" s="9"/>
    </row>
    <row r="505" spans="1:25">
      <c r="A505" s="33">
        <v>45545</v>
      </c>
      <c r="B505" s="38">
        <v>6.46</v>
      </c>
      <c r="C505" s="23">
        <f t="shared" si="145"/>
        <v>1.2539184952978068E-2</v>
      </c>
      <c r="D505">
        <f t="shared" si="146"/>
        <v>7.6626389519773505E-2</v>
      </c>
      <c r="E505" s="38">
        <v>6.67</v>
      </c>
      <c r="F505" s="38">
        <v>6.23</v>
      </c>
      <c r="G505" s="22">
        <f t="shared" si="147"/>
        <v>6.8217054263565807E-2</v>
      </c>
      <c r="H505" s="38">
        <v>6.47</v>
      </c>
      <c r="I505" s="38">
        <v>6.45</v>
      </c>
      <c r="J505" s="22">
        <f t="shared" si="148"/>
        <v>3.0959752321980762E-3</v>
      </c>
      <c r="K505" s="35">
        <v>17724116</v>
      </c>
      <c r="L505" s="37">
        <f t="shared" si="149"/>
        <v>278880000</v>
      </c>
      <c r="M505">
        <f t="shared" si="150"/>
        <v>114497789.36</v>
      </c>
      <c r="N505">
        <f t="shared" si="151"/>
        <v>243270000</v>
      </c>
      <c r="O505">
        <f t="shared" si="152"/>
        <v>7.2857795864677111E-2</v>
      </c>
      <c r="P505" s="24">
        <v>79286.740000000005</v>
      </c>
      <c r="Q505" s="9">
        <v>0.1741</v>
      </c>
      <c r="R505" s="37">
        <f t="shared" si="153"/>
        <v>13558250000</v>
      </c>
      <c r="S505" s="37">
        <f t="shared" si="154"/>
        <v>10770950000</v>
      </c>
      <c r="T505">
        <f t="shared" si="155"/>
        <v>-152520000</v>
      </c>
      <c r="U505" s="37">
        <f t="shared" si="156"/>
        <v>35790000</v>
      </c>
      <c r="V505" s="37">
        <f t="shared" si="157"/>
        <v>6060460000</v>
      </c>
      <c r="W505">
        <f t="shared" si="158"/>
        <v>1.0951464672870491E-10</v>
      </c>
      <c r="X505">
        <f t="shared" si="159"/>
        <v>0.44699426548411486</v>
      </c>
      <c r="Y505" s="9"/>
    </row>
    <row r="506" spans="1:25">
      <c r="A506" s="33">
        <v>45544</v>
      </c>
      <c r="B506" s="38">
        <v>6.38</v>
      </c>
      <c r="C506" s="23">
        <f t="shared" si="145"/>
        <v>3.9087947882736195E-2</v>
      </c>
      <c r="D506">
        <f t="shared" si="146"/>
        <v>7.6626389519773505E-2</v>
      </c>
      <c r="E506" s="38">
        <v>6.77</v>
      </c>
      <c r="F506" s="38">
        <v>5.9</v>
      </c>
      <c r="G506" s="22">
        <f t="shared" si="147"/>
        <v>0.13733228097868969</v>
      </c>
      <c r="H506" s="38">
        <v>6.45</v>
      </c>
      <c r="I506" s="38">
        <v>6.43</v>
      </c>
      <c r="J506" s="22">
        <f t="shared" si="148"/>
        <v>3.105590062111873E-3</v>
      </c>
      <c r="K506" s="35">
        <v>37264175</v>
      </c>
      <c r="L506" s="37">
        <f t="shared" si="149"/>
        <v>278880000</v>
      </c>
      <c r="M506">
        <f t="shared" si="150"/>
        <v>237745436.5</v>
      </c>
      <c r="N506">
        <f t="shared" si="151"/>
        <v>243270000</v>
      </c>
      <c r="O506">
        <f t="shared" si="152"/>
        <v>0.1531803140543429</v>
      </c>
      <c r="P506" s="24">
        <v>78615</v>
      </c>
      <c r="Q506" s="9">
        <v>0.1741</v>
      </c>
      <c r="R506" s="37">
        <f t="shared" si="153"/>
        <v>13558250000</v>
      </c>
      <c r="S506" s="37">
        <f t="shared" si="154"/>
        <v>10770950000</v>
      </c>
      <c r="T506">
        <f t="shared" si="155"/>
        <v>-152520000</v>
      </c>
      <c r="U506" s="37">
        <f t="shared" si="156"/>
        <v>35790000</v>
      </c>
      <c r="V506" s="37">
        <f t="shared" si="157"/>
        <v>6060460000</v>
      </c>
      <c r="W506">
        <f t="shared" si="158"/>
        <v>1.6441092816827294E-10</v>
      </c>
      <c r="X506">
        <f t="shared" si="159"/>
        <v>0.44699426548411486</v>
      </c>
      <c r="Y506" s="9"/>
    </row>
    <row r="507" spans="1:25">
      <c r="A507" s="33">
        <v>45541</v>
      </c>
      <c r="B507" s="38">
        <v>6.14</v>
      </c>
      <c r="C507" s="23">
        <f t="shared" si="145"/>
        <v>8.4805653710247272E-2</v>
      </c>
      <c r="D507">
        <f t="shared" si="146"/>
        <v>7.6626389519773505E-2</v>
      </c>
      <c r="E507" s="38">
        <v>6.4</v>
      </c>
      <c r="F507" s="38">
        <v>5.01</v>
      </c>
      <c r="G507" s="22">
        <f t="shared" si="147"/>
        <v>0.24364592462751983</v>
      </c>
      <c r="H507" s="38">
        <v>6.15</v>
      </c>
      <c r="I507" s="38">
        <v>6.14</v>
      </c>
      <c r="J507" s="22">
        <f t="shared" si="148"/>
        <v>1.6273393002442108E-3</v>
      </c>
      <c r="K507" s="35">
        <v>80985708</v>
      </c>
      <c r="L507" s="37">
        <f t="shared" si="149"/>
        <v>278880000</v>
      </c>
      <c r="M507">
        <f t="shared" si="150"/>
        <v>497252247.11999995</v>
      </c>
      <c r="N507">
        <f t="shared" si="151"/>
        <v>243270000</v>
      </c>
      <c r="O507">
        <f t="shared" si="152"/>
        <v>0.33290462449130598</v>
      </c>
      <c r="P507" s="24">
        <v>78897.73</v>
      </c>
      <c r="Q507" s="9">
        <v>0.1741</v>
      </c>
      <c r="R507" s="37">
        <f t="shared" si="153"/>
        <v>13558250000</v>
      </c>
      <c r="S507" s="37">
        <f t="shared" si="154"/>
        <v>10770950000</v>
      </c>
      <c r="T507">
        <f t="shared" si="155"/>
        <v>-152520000</v>
      </c>
      <c r="U507" s="37">
        <f t="shared" si="156"/>
        <v>35790000</v>
      </c>
      <c r="V507" s="37">
        <f t="shared" si="157"/>
        <v>6060460000</v>
      </c>
      <c r="W507">
        <f t="shared" si="158"/>
        <v>1.7054855800336174E-10</v>
      </c>
      <c r="X507">
        <f t="shared" si="159"/>
        <v>0.44699426548411486</v>
      </c>
      <c r="Y507" s="9"/>
    </row>
    <row r="508" spans="1:25">
      <c r="A508" s="33">
        <v>45540</v>
      </c>
      <c r="B508" s="38">
        <v>5.66</v>
      </c>
      <c r="C508" s="23">
        <f t="shared" si="145"/>
        <v>0.21459227467811159</v>
      </c>
      <c r="D508">
        <f t="shared" si="146"/>
        <v>7.6626389519773505E-2</v>
      </c>
      <c r="E508" s="38">
        <v>5.66</v>
      </c>
      <c r="F508" s="38">
        <v>5.15</v>
      </c>
      <c r="G508" s="22">
        <f t="shared" si="147"/>
        <v>9.4357076780758511E-2</v>
      </c>
      <c r="H508" s="38"/>
      <c r="I508" s="38">
        <v>5.66</v>
      </c>
      <c r="J508" s="22">
        <f t="shared" si="148"/>
        <v>-2</v>
      </c>
      <c r="K508" s="35">
        <v>66581544</v>
      </c>
      <c r="L508" s="37">
        <f t="shared" si="149"/>
        <v>278880000</v>
      </c>
      <c r="M508">
        <f t="shared" si="150"/>
        <v>376851539.04000002</v>
      </c>
      <c r="N508">
        <f t="shared" si="151"/>
        <v>243270000</v>
      </c>
      <c r="O508">
        <f t="shared" si="152"/>
        <v>0.27369401899124429</v>
      </c>
      <c r="P508" s="24">
        <v>78863.34</v>
      </c>
      <c r="Q508" s="9">
        <v>0.1741</v>
      </c>
      <c r="R508" s="37">
        <f t="shared" si="153"/>
        <v>13558250000</v>
      </c>
      <c r="S508" s="37">
        <f t="shared" si="154"/>
        <v>10770950000</v>
      </c>
      <c r="T508">
        <f t="shared" si="155"/>
        <v>-152520000</v>
      </c>
      <c r="U508" s="37">
        <f t="shared" si="156"/>
        <v>35790000</v>
      </c>
      <c r="V508" s="37">
        <f t="shared" si="157"/>
        <v>6060460000</v>
      </c>
      <c r="W508">
        <f t="shared" si="158"/>
        <v>5.6943451849704192E-10</v>
      </c>
      <c r="X508">
        <f t="shared" si="159"/>
        <v>0.44699426548411486</v>
      </c>
      <c r="Y508" s="9"/>
    </row>
    <row r="509" spans="1:25">
      <c r="A509" s="33">
        <v>45539</v>
      </c>
      <c r="B509" s="38">
        <v>4.66</v>
      </c>
      <c r="C509" s="23">
        <f t="shared" si="145"/>
        <v>0.27322404371584696</v>
      </c>
      <c r="D509">
        <f t="shared" si="146"/>
        <v>7.6626389519773505E-2</v>
      </c>
      <c r="E509" s="38">
        <v>4.66</v>
      </c>
      <c r="F509" s="38">
        <v>3.56</v>
      </c>
      <c r="G509" s="22">
        <f t="shared" si="147"/>
        <v>0.26763990267639903</v>
      </c>
      <c r="H509" s="38"/>
      <c r="I509" s="38">
        <v>4.66</v>
      </c>
      <c r="J509" s="22">
        <f t="shared" si="148"/>
        <v>-2</v>
      </c>
      <c r="K509" s="35">
        <v>26317629</v>
      </c>
      <c r="L509" s="37">
        <f t="shared" si="149"/>
        <v>278880000</v>
      </c>
      <c r="M509">
        <f t="shared" si="150"/>
        <v>122640151.14</v>
      </c>
      <c r="N509">
        <f t="shared" si="151"/>
        <v>243270000</v>
      </c>
      <c r="O509">
        <f t="shared" si="152"/>
        <v>0.10818279689234184</v>
      </c>
      <c r="P509" s="24">
        <v>78848.009999999995</v>
      </c>
      <c r="Q509" s="9">
        <v>0.1741</v>
      </c>
      <c r="R509" s="37">
        <f t="shared" si="153"/>
        <v>13558250000</v>
      </c>
      <c r="S509" s="37">
        <f t="shared" si="154"/>
        <v>10770950000</v>
      </c>
      <c r="T509">
        <f t="shared" si="155"/>
        <v>-152520000</v>
      </c>
      <c r="U509" s="37">
        <f t="shared" si="156"/>
        <v>35790000</v>
      </c>
      <c r="V509" s="37">
        <f t="shared" si="157"/>
        <v>6060460000</v>
      </c>
      <c r="W509">
        <f t="shared" si="158"/>
        <v>2.2278514921589403E-9</v>
      </c>
      <c r="X509">
        <f t="shared" si="159"/>
        <v>0.44699426548411486</v>
      </c>
      <c r="Y509" s="9"/>
    </row>
    <row r="510" spans="1:25">
      <c r="A510" s="33">
        <v>45538</v>
      </c>
      <c r="B510" s="38">
        <v>3.66</v>
      </c>
      <c r="C510" s="23">
        <f t="shared" si="145"/>
        <v>2.8089887640449462E-2</v>
      </c>
      <c r="D510">
        <f t="shared" si="146"/>
        <v>7.6626389519773505E-2</v>
      </c>
      <c r="E510" s="38">
        <v>3.7</v>
      </c>
      <c r="F510" s="38">
        <v>3.4</v>
      </c>
      <c r="G510" s="22">
        <f t="shared" si="147"/>
        <v>8.4507042253521208E-2</v>
      </c>
      <c r="H510" s="38">
        <v>3.69</v>
      </c>
      <c r="I510" s="38">
        <v>3.61</v>
      </c>
      <c r="J510" s="22">
        <f t="shared" si="148"/>
        <v>2.1917808219178103E-2</v>
      </c>
      <c r="K510" s="35">
        <v>1665992</v>
      </c>
      <c r="L510" s="37">
        <f t="shared" si="149"/>
        <v>278880000</v>
      </c>
      <c r="M510">
        <f t="shared" si="150"/>
        <v>6097530.7200000007</v>
      </c>
      <c r="N510">
        <f t="shared" si="151"/>
        <v>243270000</v>
      </c>
      <c r="O510">
        <f t="shared" si="152"/>
        <v>6.8483249064825091E-3</v>
      </c>
      <c r="P510" s="24">
        <v>78356.320000000007</v>
      </c>
      <c r="Q510" s="9">
        <v>0.17469999999999999</v>
      </c>
      <c r="R510" s="37">
        <f t="shared" si="153"/>
        <v>13558250000</v>
      </c>
      <c r="S510" s="37">
        <f t="shared" si="154"/>
        <v>10770950000</v>
      </c>
      <c r="T510">
        <f t="shared" si="155"/>
        <v>-152520000</v>
      </c>
      <c r="U510" s="37">
        <f t="shared" si="156"/>
        <v>35790000</v>
      </c>
      <c r="V510" s="37">
        <f t="shared" si="157"/>
        <v>6060460000</v>
      </c>
      <c r="W510">
        <f t="shared" si="158"/>
        <v>4.6067644314302788E-9</v>
      </c>
      <c r="X510">
        <f t="shared" si="159"/>
        <v>0.44699426548411486</v>
      </c>
      <c r="Y510" s="9"/>
    </row>
    <row r="511" spans="1:25">
      <c r="A511" s="33">
        <v>45537</v>
      </c>
      <c r="B511" s="38">
        <v>3.56</v>
      </c>
      <c r="C511" s="23">
        <f t="shared" si="145"/>
        <v>-4.0431266846361162E-2</v>
      </c>
      <c r="D511">
        <f t="shared" si="146"/>
        <v>7.6626389519773505E-2</v>
      </c>
      <c r="E511" s="38">
        <v>3.8</v>
      </c>
      <c r="F511" s="38">
        <v>3.5</v>
      </c>
      <c r="G511" s="22">
        <f t="shared" si="147"/>
        <v>8.2191780821917762E-2</v>
      </c>
      <c r="H511" s="38">
        <v>3.59</v>
      </c>
      <c r="I511" s="38">
        <v>3.58</v>
      </c>
      <c r="J511" s="22">
        <f t="shared" si="148"/>
        <v>2.7894002789399684E-3</v>
      </c>
      <c r="K511" s="35">
        <v>1727020</v>
      </c>
      <c r="L511" s="37">
        <f t="shared" si="149"/>
        <v>278880000</v>
      </c>
      <c r="M511">
        <f t="shared" si="150"/>
        <v>6148191.2000000002</v>
      </c>
      <c r="N511">
        <f t="shared" si="151"/>
        <v>243270000</v>
      </c>
      <c r="O511">
        <f t="shared" si="152"/>
        <v>7.0991902001890901E-3</v>
      </c>
      <c r="P511" s="24">
        <v>78283.3</v>
      </c>
      <c r="Q511" s="9">
        <v>0.17469999999999999</v>
      </c>
      <c r="R511" s="37">
        <f t="shared" si="153"/>
        <v>13558250000</v>
      </c>
      <c r="S511" s="37">
        <f t="shared" si="154"/>
        <v>10770950000</v>
      </c>
      <c r="T511">
        <f t="shared" si="155"/>
        <v>-152520000</v>
      </c>
      <c r="U511" s="37">
        <f t="shared" si="156"/>
        <v>35790000</v>
      </c>
      <c r="V511" s="37">
        <f t="shared" si="157"/>
        <v>6060460000</v>
      </c>
      <c r="W511">
        <f t="shared" si="158"/>
        <v>6.5761238600323883E-9</v>
      </c>
      <c r="X511">
        <f t="shared" si="159"/>
        <v>0.44699426548411486</v>
      </c>
      <c r="Y511" s="9"/>
    </row>
    <row r="512" spans="1:25">
      <c r="A512" s="33">
        <v>45534</v>
      </c>
      <c r="B512" s="38">
        <v>3.71</v>
      </c>
      <c r="C512" s="23">
        <f t="shared" si="145"/>
        <v>1.9230769230769187E-2</v>
      </c>
      <c r="D512">
        <f t="shared" si="146"/>
        <v>7.6626389519773505E-2</v>
      </c>
      <c r="E512" s="38">
        <v>3.9</v>
      </c>
      <c r="F512" s="38">
        <v>3.6</v>
      </c>
      <c r="G512" s="22">
        <f t="shared" si="147"/>
        <v>7.9999999999999946E-2</v>
      </c>
      <c r="H512" s="38">
        <v>3.7</v>
      </c>
      <c r="I512" s="38">
        <v>3.69</v>
      </c>
      <c r="J512" s="22">
        <f t="shared" si="148"/>
        <v>2.7063599458728633E-3</v>
      </c>
      <c r="K512" s="35">
        <v>3784591</v>
      </c>
      <c r="L512" s="37">
        <f t="shared" si="149"/>
        <v>278880000</v>
      </c>
      <c r="M512">
        <f t="shared" si="150"/>
        <v>14040832.609999999</v>
      </c>
      <c r="N512">
        <f t="shared" si="151"/>
        <v>243270000</v>
      </c>
      <c r="O512">
        <f t="shared" si="152"/>
        <v>1.5557162823200559E-2</v>
      </c>
      <c r="P512" s="24">
        <v>78488.22</v>
      </c>
      <c r="Q512" s="9">
        <v>0.17469999999999999</v>
      </c>
      <c r="R512" s="37">
        <f t="shared" si="153"/>
        <v>13558250000</v>
      </c>
      <c r="S512" s="37">
        <f t="shared" si="154"/>
        <v>10770950000</v>
      </c>
      <c r="T512">
        <f t="shared" si="155"/>
        <v>-152520000</v>
      </c>
      <c r="U512" s="37">
        <f t="shared" si="156"/>
        <v>35790000</v>
      </c>
      <c r="V512" s="37">
        <f t="shared" si="157"/>
        <v>6060460000</v>
      </c>
      <c r="W512">
        <f t="shared" si="158"/>
        <v>1.3696316853085244E-9</v>
      </c>
      <c r="X512">
        <f t="shared" si="159"/>
        <v>0.44699426548411486</v>
      </c>
      <c r="Y512" s="9"/>
    </row>
    <row r="513" spans="1:25">
      <c r="A513" s="33">
        <v>45533</v>
      </c>
      <c r="B513" s="38">
        <v>3.64</v>
      </c>
      <c r="C513" s="23">
        <f t="shared" si="145"/>
        <v>5.5248618784530436E-3</v>
      </c>
      <c r="D513">
        <f t="shared" si="146"/>
        <v>7.6626389519773505E-2</v>
      </c>
      <c r="E513" s="38">
        <v>3.79</v>
      </c>
      <c r="F513" s="38">
        <v>3.6</v>
      </c>
      <c r="G513" s="22">
        <f t="shared" si="147"/>
        <v>5.1420838971583199E-2</v>
      </c>
      <c r="H513" s="38">
        <v>3.69</v>
      </c>
      <c r="I513" s="38">
        <v>3.65</v>
      </c>
      <c r="J513" s="22">
        <f t="shared" si="148"/>
        <v>1.0899182561307912E-2</v>
      </c>
      <c r="K513" s="35">
        <v>1981028</v>
      </c>
      <c r="L513" s="37">
        <f t="shared" si="149"/>
        <v>278880000</v>
      </c>
      <c r="M513">
        <f t="shared" si="150"/>
        <v>7210941.9199999999</v>
      </c>
      <c r="N513">
        <f t="shared" si="151"/>
        <v>243270000</v>
      </c>
      <c r="O513">
        <f t="shared" si="152"/>
        <v>8.1433304558720769E-3</v>
      </c>
      <c r="P513" s="24">
        <v>78349.66</v>
      </c>
      <c r="Q513" s="9">
        <v>0.17469999999999999</v>
      </c>
      <c r="R513" s="37">
        <f t="shared" si="153"/>
        <v>13558250000</v>
      </c>
      <c r="S513" s="37">
        <f t="shared" si="154"/>
        <v>10770950000</v>
      </c>
      <c r="T513">
        <f t="shared" si="155"/>
        <v>-152520000</v>
      </c>
      <c r="U513" s="37">
        <f t="shared" si="156"/>
        <v>35790000</v>
      </c>
      <c r="V513" s="37">
        <f t="shared" si="157"/>
        <v>6060460000</v>
      </c>
      <c r="W513">
        <f t="shared" si="158"/>
        <v>7.6617755901340609E-10</v>
      </c>
      <c r="X513">
        <f t="shared" si="159"/>
        <v>0.44699426548411486</v>
      </c>
      <c r="Y513" s="9"/>
    </row>
    <row r="514" spans="1:25">
      <c r="A514" s="33">
        <v>45532</v>
      </c>
      <c r="B514" s="38">
        <v>3.62</v>
      </c>
      <c r="C514" s="23">
        <f t="shared" si="145"/>
        <v>-3.7234042553191404E-2</v>
      </c>
      <c r="D514">
        <f t="shared" si="146"/>
        <v>7.6626389519773505E-2</v>
      </c>
      <c r="E514" s="38">
        <v>3.85</v>
      </c>
      <c r="F514" s="38">
        <v>3.6</v>
      </c>
      <c r="G514" s="22">
        <f t="shared" si="147"/>
        <v>6.7114093959731544E-2</v>
      </c>
      <c r="H514" s="38">
        <v>3.68</v>
      </c>
      <c r="I514" s="38">
        <v>3.61</v>
      </c>
      <c r="J514" s="22">
        <f t="shared" si="148"/>
        <v>1.9204389574760023E-2</v>
      </c>
      <c r="K514" s="35">
        <v>4129205</v>
      </c>
      <c r="L514" s="37">
        <f t="shared" si="149"/>
        <v>278880000</v>
      </c>
      <c r="M514">
        <f t="shared" si="150"/>
        <v>14947722.1</v>
      </c>
      <c r="N514">
        <f t="shared" si="151"/>
        <v>243270000</v>
      </c>
      <c r="O514">
        <f t="shared" si="152"/>
        <v>1.6973753442676862E-2</v>
      </c>
      <c r="P514" s="24">
        <v>77992.789999999994</v>
      </c>
      <c r="Q514" s="9">
        <v>0.17469999999999999</v>
      </c>
      <c r="R514" s="37">
        <f t="shared" si="153"/>
        <v>13558250000</v>
      </c>
      <c r="S514" s="37">
        <f t="shared" si="154"/>
        <v>10770950000</v>
      </c>
      <c r="T514">
        <f t="shared" si="155"/>
        <v>-152520000</v>
      </c>
      <c r="U514" s="37">
        <f t="shared" si="156"/>
        <v>35790000</v>
      </c>
      <c r="V514" s="37">
        <f t="shared" si="157"/>
        <v>6060460000</v>
      </c>
      <c r="W514">
        <f t="shared" si="158"/>
        <v>2.4909509491878636E-9</v>
      </c>
      <c r="X514">
        <f t="shared" si="159"/>
        <v>0.44699426548411486</v>
      </c>
      <c r="Y514" s="9"/>
    </row>
    <row r="515" spans="1:25">
      <c r="A515" s="33">
        <v>45531</v>
      </c>
      <c r="B515" s="38">
        <v>3.76</v>
      </c>
      <c r="C515" s="23">
        <f t="shared" si="145"/>
        <v>5.3475935828875866E-3</v>
      </c>
      <c r="D515">
        <f t="shared" si="146"/>
        <v>7.6626389519773505E-2</v>
      </c>
      <c r="E515" s="38">
        <v>3.87</v>
      </c>
      <c r="F515" s="38">
        <v>3.66</v>
      </c>
      <c r="G515" s="22">
        <f t="shared" si="147"/>
        <v>5.5776892430278877E-2</v>
      </c>
      <c r="H515" s="38">
        <v>3.8</v>
      </c>
      <c r="I515" s="38">
        <v>3.79</v>
      </c>
      <c r="J515" s="22">
        <f t="shared" si="148"/>
        <v>2.6350461133069266E-3</v>
      </c>
      <c r="K515" s="35">
        <v>4809186</v>
      </c>
      <c r="L515" s="37">
        <f t="shared" si="149"/>
        <v>278880000</v>
      </c>
      <c r="M515">
        <f t="shared" si="150"/>
        <v>18082539.359999999</v>
      </c>
      <c r="N515">
        <f t="shared" si="151"/>
        <v>243270000</v>
      </c>
      <c r="O515">
        <f t="shared" si="152"/>
        <v>1.9768923418423973E-2</v>
      </c>
      <c r="P515" s="24">
        <v>78084.240000000005</v>
      </c>
      <c r="Q515" s="9">
        <v>0.17469999999999999</v>
      </c>
      <c r="R515" s="37">
        <f t="shared" si="153"/>
        <v>13558250000</v>
      </c>
      <c r="S515" s="37">
        <f t="shared" si="154"/>
        <v>10770950000</v>
      </c>
      <c r="T515">
        <f t="shared" si="155"/>
        <v>-152520000</v>
      </c>
      <c r="U515" s="37">
        <f t="shared" si="156"/>
        <v>35790000</v>
      </c>
      <c r="V515" s="37">
        <f t="shared" si="157"/>
        <v>6060460000</v>
      </c>
      <c r="W515">
        <f t="shared" si="158"/>
        <v>2.9573244533988873E-10</v>
      </c>
      <c r="X515">
        <f t="shared" si="159"/>
        <v>0.44699426548411486</v>
      </c>
      <c r="Y515" s="9"/>
    </row>
    <row r="516" spans="1:25">
      <c r="A516" s="33">
        <v>45530</v>
      </c>
      <c r="B516" s="38">
        <v>3.74</v>
      </c>
      <c r="C516" s="23">
        <f t="shared" si="145"/>
        <v>-9.879518072289159E-2</v>
      </c>
      <c r="D516">
        <f t="shared" si="146"/>
        <v>7.6626389519773505E-2</v>
      </c>
      <c r="E516" s="38">
        <v>4.38</v>
      </c>
      <c r="F516" s="38">
        <v>3.66</v>
      </c>
      <c r="G516" s="22">
        <f t="shared" si="147"/>
        <v>0.17910447761194026</v>
      </c>
      <c r="H516" s="38">
        <v>3.74</v>
      </c>
      <c r="I516" s="38">
        <v>3.73</v>
      </c>
      <c r="J516" s="22">
        <f t="shared" si="148"/>
        <v>2.6773761713521364E-3</v>
      </c>
      <c r="K516" s="35">
        <v>13068701</v>
      </c>
      <c r="L516" s="37">
        <f t="shared" si="149"/>
        <v>278880000</v>
      </c>
      <c r="M516">
        <f t="shared" si="150"/>
        <v>48876941.740000002</v>
      </c>
      <c r="N516">
        <f t="shared" si="151"/>
        <v>243270000</v>
      </c>
      <c r="O516">
        <f t="shared" si="152"/>
        <v>5.3720972581904877E-2</v>
      </c>
      <c r="P516" s="24">
        <v>78571.06</v>
      </c>
      <c r="Q516" s="9">
        <v>0.17469999999999999</v>
      </c>
      <c r="R516" s="37">
        <f t="shared" si="153"/>
        <v>13558250000</v>
      </c>
      <c r="S516" s="37">
        <f t="shared" si="154"/>
        <v>10770950000</v>
      </c>
      <c r="T516">
        <f t="shared" si="155"/>
        <v>-152520000</v>
      </c>
      <c r="U516" s="37">
        <f t="shared" si="156"/>
        <v>35790000</v>
      </c>
      <c r="V516" s="37">
        <f t="shared" si="157"/>
        <v>6060460000</v>
      </c>
      <c r="W516">
        <f t="shared" si="158"/>
        <v>2.0213044680338379E-9</v>
      </c>
      <c r="X516">
        <f t="shared" si="159"/>
        <v>0.44699426548411486</v>
      </c>
      <c r="Y516" s="9"/>
    </row>
    <row r="517" spans="1:25">
      <c r="A517" s="33">
        <v>45527</v>
      </c>
      <c r="B517" s="38">
        <v>4.1500000000000004</v>
      </c>
      <c r="C517" s="23">
        <f t="shared" si="145"/>
        <v>0.12162162162162167</v>
      </c>
      <c r="D517">
        <f t="shared" si="146"/>
        <v>7.6626389519773505E-2</v>
      </c>
      <c r="E517" s="38">
        <v>4.28</v>
      </c>
      <c r="F517" s="38">
        <v>3.8</v>
      </c>
      <c r="G517" s="22">
        <f t="shared" si="147"/>
        <v>0.11881188118811892</v>
      </c>
      <c r="H517" s="38">
        <v>4.2</v>
      </c>
      <c r="I517" s="38">
        <v>4.16</v>
      </c>
      <c r="J517" s="22">
        <f t="shared" si="148"/>
        <v>9.5693779904306303E-3</v>
      </c>
      <c r="K517" s="35">
        <v>36736701</v>
      </c>
      <c r="L517" s="37">
        <f t="shared" si="149"/>
        <v>278880000</v>
      </c>
      <c r="M517">
        <f t="shared" si="150"/>
        <v>152457309.15000001</v>
      </c>
      <c r="N517">
        <f t="shared" si="151"/>
        <v>243270000</v>
      </c>
      <c r="O517">
        <f t="shared" si="152"/>
        <v>0.15101204834134913</v>
      </c>
      <c r="P517" s="24">
        <v>78801.429999999993</v>
      </c>
      <c r="Q517" s="9">
        <v>0.17469999999999999</v>
      </c>
      <c r="R517" s="37">
        <f t="shared" si="153"/>
        <v>13558250000</v>
      </c>
      <c r="S517" s="37">
        <f t="shared" si="154"/>
        <v>10770950000</v>
      </c>
      <c r="T517">
        <f t="shared" si="155"/>
        <v>-152520000</v>
      </c>
      <c r="U517" s="37">
        <f t="shared" si="156"/>
        <v>35790000</v>
      </c>
      <c r="V517" s="37">
        <f t="shared" si="157"/>
        <v>6060460000</v>
      </c>
      <c r="W517">
        <f t="shared" si="158"/>
        <v>7.9774215024325494E-10</v>
      </c>
      <c r="X517">
        <f t="shared" si="159"/>
        <v>0.44699426548411486</v>
      </c>
      <c r="Y517" s="9"/>
    </row>
    <row r="518" spans="1:25">
      <c r="A518" s="33">
        <v>45526</v>
      </c>
      <c r="B518" s="38">
        <v>3.7</v>
      </c>
      <c r="C518" s="23">
        <f t="shared" si="145"/>
        <v>0.12804878048780499</v>
      </c>
      <c r="D518">
        <f t="shared" si="146"/>
        <v>7.6626389519773505E-2</v>
      </c>
      <c r="E518" s="38">
        <v>3.93</v>
      </c>
      <c r="F518" s="38">
        <v>3.32</v>
      </c>
      <c r="G518" s="22">
        <f t="shared" si="147"/>
        <v>0.16827586206896561</v>
      </c>
      <c r="H518" s="38">
        <v>3.7</v>
      </c>
      <c r="I518" s="38">
        <v>3.69</v>
      </c>
      <c r="J518" s="22">
        <f t="shared" si="148"/>
        <v>2.7063599458728633E-3</v>
      </c>
      <c r="K518" s="35">
        <v>21707363</v>
      </c>
      <c r="L518" s="37">
        <f t="shared" si="149"/>
        <v>278880000</v>
      </c>
      <c r="M518">
        <f t="shared" si="150"/>
        <v>80317243.100000009</v>
      </c>
      <c r="N518">
        <f t="shared" si="151"/>
        <v>243270000</v>
      </c>
      <c r="O518">
        <f t="shared" si="152"/>
        <v>8.9231565749989722E-2</v>
      </c>
      <c r="P518" s="24">
        <v>78793.41</v>
      </c>
      <c r="Q518" s="9">
        <v>0.17469999999999999</v>
      </c>
      <c r="R518" s="37">
        <f t="shared" si="153"/>
        <v>13558250000</v>
      </c>
      <c r="S518" s="37">
        <f t="shared" si="154"/>
        <v>10770950000</v>
      </c>
      <c r="T518">
        <f t="shared" si="155"/>
        <v>-152520000</v>
      </c>
      <c r="U518" s="37">
        <f t="shared" si="156"/>
        <v>35790000</v>
      </c>
      <c r="V518" s="37">
        <f t="shared" si="157"/>
        <v>6060460000</v>
      </c>
      <c r="W518">
        <f t="shared" si="158"/>
        <v>1.5942875470510886E-9</v>
      </c>
      <c r="X518">
        <f t="shared" si="159"/>
        <v>0.44699426548411486</v>
      </c>
      <c r="Y518" s="9"/>
    </row>
    <row r="519" spans="1:25">
      <c r="A519" s="33">
        <v>45525</v>
      </c>
      <c r="B519" s="38">
        <v>3.28</v>
      </c>
      <c r="C519" s="23">
        <f t="shared" si="145"/>
        <v>2.4999999999999883E-2</v>
      </c>
      <c r="D519">
        <f t="shared" si="146"/>
        <v>7.6626389519773505E-2</v>
      </c>
      <c r="E519" s="38">
        <v>3.29</v>
      </c>
      <c r="F519" s="38">
        <v>3.2</v>
      </c>
      <c r="G519" s="22">
        <f t="shared" si="147"/>
        <v>2.7734976887519216E-2</v>
      </c>
      <c r="H519" s="38">
        <v>3.29</v>
      </c>
      <c r="I519" s="38">
        <v>3.28</v>
      </c>
      <c r="J519" s="22">
        <f t="shared" si="148"/>
        <v>3.0441400304414704E-3</v>
      </c>
      <c r="K519" s="35">
        <v>944969</v>
      </c>
      <c r="L519" s="37">
        <f t="shared" si="149"/>
        <v>278880000</v>
      </c>
      <c r="M519">
        <f t="shared" si="150"/>
        <v>3099498.32</v>
      </c>
      <c r="N519">
        <f t="shared" si="151"/>
        <v>243270000</v>
      </c>
      <c r="O519">
        <f t="shared" si="152"/>
        <v>3.8844452665762323E-3</v>
      </c>
      <c r="P519" s="24">
        <v>78260.86</v>
      </c>
      <c r="Q519" s="9">
        <v>0.17469999999999999</v>
      </c>
      <c r="R519" s="37">
        <f t="shared" si="153"/>
        <v>13558250000</v>
      </c>
      <c r="S519" s="37">
        <f t="shared" si="154"/>
        <v>10770950000</v>
      </c>
      <c r="T519">
        <f t="shared" si="155"/>
        <v>-152520000</v>
      </c>
      <c r="U519" s="37">
        <f t="shared" si="156"/>
        <v>35790000</v>
      </c>
      <c r="V519" s="37">
        <f t="shared" si="157"/>
        <v>6060460000</v>
      </c>
      <c r="W519">
        <f t="shared" si="158"/>
        <v>8.0658214391288609E-9</v>
      </c>
      <c r="X519">
        <f t="shared" si="159"/>
        <v>0.44699426548411486</v>
      </c>
      <c r="Y519" s="9"/>
    </row>
    <row r="520" spans="1:25">
      <c r="A520" s="33">
        <v>45524</v>
      </c>
      <c r="B520" s="38">
        <v>3.2</v>
      </c>
      <c r="C520" s="23">
        <f t="shared" si="145"/>
        <v>-3.1152647975077217E-3</v>
      </c>
      <c r="D520">
        <f t="shared" si="146"/>
        <v>7.6626389519773505E-2</v>
      </c>
      <c r="E520" s="38">
        <v>3.33</v>
      </c>
      <c r="F520" s="38">
        <v>3.15</v>
      </c>
      <c r="G520" s="22">
        <f t="shared" si="147"/>
        <v>5.5555555555555601E-2</v>
      </c>
      <c r="H520" s="38">
        <v>3.22</v>
      </c>
      <c r="I520" s="38">
        <v>3.18</v>
      </c>
      <c r="J520" s="22">
        <f t="shared" si="148"/>
        <v>1.2500000000000011E-2</v>
      </c>
      <c r="K520" s="35">
        <v>602788</v>
      </c>
      <c r="L520" s="37">
        <f t="shared" si="149"/>
        <v>278880000</v>
      </c>
      <c r="M520">
        <f t="shared" si="150"/>
        <v>1928921.6</v>
      </c>
      <c r="N520">
        <f t="shared" si="151"/>
        <v>243270000</v>
      </c>
      <c r="O520">
        <f t="shared" si="152"/>
        <v>2.4778558802976119E-3</v>
      </c>
      <c r="P520" s="24">
        <v>77745.52</v>
      </c>
      <c r="Q520" s="9">
        <v>0.189</v>
      </c>
      <c r="R520" s="37">
        <f t="shared" si="153"/>
        <v>13558250000</v>
      </c>
      <c r="S520" s="37">
        <f t="shared" si="154"/>
        <v>10770950000</v>
      </c>
      <c r="T520">
        <f t="shared" si="155"/>
        <v>-152520000</v>
      </c>
      <c r="U520" s="37">
        <f t="shared" si="156"/>
        <v>35790000</v>
      </c>
      <c r="V520" s="37">
        <f t="shared" si="157"/>
        <v>6060460000</v>
      </c>
      <c r="W520">
        <f t="shared" si="158"/>
        <v>1.615029246138216E-9</v>
      </c>
      <c r="X520">
        <f t="shared" si="159"/>
        <v>0.44699426548411486</v>
      </c>
      <c r="Y520" s="9"/>
    </row>
    <row r="521" spans="1:25">
      <c r="A521" s="33">
        <v>45523</v>
      </c>
      <c r="B521" s="38">
        <v>3.21</v>
      </c>
      <c r="C521" s="23">
        <f t="shared" si="145"/>
        <v>-2.727272727272723E-2</v>
      </c>
      <c r="D521">
        <f t="shared" si="146"/>
        <v>7.6626389519773505E-2</v>
      </c>
      <c r="E521" s="38">
        <v>3.4</v>
      </c>
      <c r="F521" s="38">
        <v>3.2</v>
      </c>
      <c r="G521" s="22">
        <f t="shared" si="147"/>
        <v>6.0606060606060531E-2</v>
      </c>
      <c r="H521" s="38">
        <v>3.22</v>
      </c>
      <c r="I521" s="38">
        <v>3.2</v>
      </c>
      <c r="J521" s="22">
        <f t="shared" si="148"/>
        <v>6.2305295950155822E-3</v>
      </c>
      <c r="K521" s="35">
        <v>1163357</v>
      </c>
      <c r="L521" s="37">
        <f t="shared" si="149"/>
        <v>278880000</v>
      </c>
      <c r="M521">
        <f t="shared" si="150"/>
        <v>3734375.9699999997</v>
      </c>
      <c r="N521">
        <f t="shared" si="151"/>
        <v>243270000</v>
      </c>
      <c r="O521">
        <f t="shared" si="152"/>
        <v>4.7821638508652939E-3</v>
      </c>
      <c r="P521" s="24">
        <v>77830.34</v>
      </c>
      <c r="Q521" s="9">
        <v>0.189</v>
      </c>
      <c r="R521" s="37">
        <f t="shared" si="153"/>
        <v>13558250000</v>
      </c>
      <c r="S521" s="37">
        <f t="shared" si="154"/>
        <v>10770950000</v>
      </c>
      <c r="T521">
        <f t="shared" si="155"/>
        <v>-152520000</v>
      </c>
      <c r="U521" s="37">
        <f t="shared" si="156"/>
        <v>35790000</v>
      </c>
      <c r="V521" s="37">
        <f t="shared" si="157"/>
        <v>6060460000</v>
      </c>
      <c r="W521">
        <f t="shared" si="158"/>
        <v>7.3031551969651388E-9</v>
      </c>
      <c r="X521">
        <f t="shared" si="159"/>
        <v>0.44699426548411486</v>
      </c>
      <c r="Y521" s="9"/>
    </row>
    <row r="522" spans="1:25">
      <c r="A522" s="33">
        <v>45520</v>
      </c>
      <c r="B522" s="38">
        <v>3.3</v>
      </c>
      <c r="C522" s="23">
        <f t="shared" si="145"/>
        <v>-3.0211480362538463E-3</v>
      </c>
      <c r="D522">
        <f t="shared" si="146"/>
        <v>7.6626389519773505E-2</v>
      </c>
      <c r="E522" s="38">
        <v>3.47</v>
      </c>
      <c r="F522" s="38">
        <v>3.29</v>
      </c>
      <c r="G522" s="22">
        <f t="shared" si="147"/>
        <v>5.3254437869822535E-2</v>
      </c>
      <c r="H522" s="38">
        <v>3.31</v>
      </c>
      <c r="I522" s="38">
        <v>3.3</v>
      </c>
      <c r="J522" s="22">
        <f t="shared" si="148"/>
        <v>3.0257186081695106E-3</v>
      </c>
      <c r="K522" s="35">
        <v>2430091</v>
      </c>
      <c r="L522" s="37">
        <f t="shared" si="149"/>
        <v>278880000</v>
      </c>
      <c r="M522">
        <f t="shared" si="150"/>
        <v>8019300.2999999998</v>
      </c>
      <c r="N522">
        <f t="shared" si="151"/>
        <v>243270000</v>
      </c>
      <c r="O522">
        <f t="shared" si="152"/>
        <v>9.9892752908291201E-3</v>
      </c>
      <c r="P522" s="24">
        <v>78045.31</v>
      </c>
      <c r="Q522" s="9">
        <v>0.189</v>
      </c>
      <c r="R522" s="37">
        <f t="shared" si="153"/>
        <v>13558250000</v>
      </c>
      <c r="S522" s="37">
        <f t="shared" si="154"/>
        <v>10770950000</v>
      </c>
      <c r="T522">
        <f t="shared" si="155"/>
        <v>-152520000</v>
      </c>
      <c r="U522" s="37">
        <f t="shared" si="156"/>
        <v>35790000</v>
      </c>
      <c r="V522" s="37">
        <f t="shared" si="157"/>
        <v>6060460000</v>
      </c>
      <c r="W522">
        <f t="shared" si="158"/>
        <v>3.7673461813792489E-10</v>
      </c>
      <c r="X522">
        <f t="shared" si="159"/>
        <v>0.44699426548411486</v>
      </c>
      <c r="Y522" s="9"/>
    </row>
    <row r="523" spans="1:25">
      <c r="A523" s="33">
        <v>45519</v>
      </c>
      <c r="B523" s="38">
        <v>3.31</v>
      </c>
      <c r="C523" s="23">
        <f t="shared" si="145"/>
        <v>-1.4880952380952328E-2</v>
      </c>
      <c r="D523">
        <f t="shared" si="146"/>
        <v>7.6626389519773505E-2</v>
      </c>
      <c r="E523" s="38">
        <v>3.4</v>
      </c>
      <c r="F523" s="38">
        <v>3.3</v>
      </c>
      <c r="G523" s="22">
        <f t="shared" si="147"/>
        <v>2.9850746268656747E-2</v>
      </c>
      <c r="H523" s="38">
        <v>3.35</v>
      </c>
      <c r="I523" s="38">
        <v>3.32</v>
      </c>
      <c r="J523" s="22">
        <f t="shared" si="148"/>
        <v>8.9955022488756361E-3</v>
      </c>
      <c r="K523" s="35">
        <v>1414823</v>
      </c>
      <c r="L523" s="37">
        <f t="shared" si="149"/>
        <v>278880000</v>
      </c>
      <c r="M523">
        <f t="shared" si="150"/>
        <v>4683064.13</v>
      </c>
      <c r="N523">
        <f t="shared" si="151"/>
        <v>243270000</v>
      </c>
      <c r="O523">
        <f t="shared" si="152"/>
        <v>5.8158548115262877E-3</v>
      </c>
      <c r="P523" s="24">
        <v>78105.98</v>
      </c>
      <c r="Q523" s="9">
        <v>0.189</v>
      </c>
      <c r="R523" s="37">
        <f t="shared" si="153"/>
        <v>13558250000</v>
      </c>
      <c r="S523" s="37">
        <f t="shared" si="154"/>
        <v>10770950000</v>
      </c>
      <c r="T523">
        <f t="shared" si="155"/>
        <v>-152520000</v>
      </c>
      <c r="U523" s="37">
        <f t="shared" si="156"/>
        <v>35790000</v>
      </c>
      <c r="V523" s="37">
        <f t="shared" si="157"/>
        <v>6060460000</v>
      </c>
      <c r="W523">
        <f t="shared" si="158"/>
        <v>3.1776102073050895E-9</v>
      </c>
      <c r="X523">
        <f t="shared" si="159"/>
        <v>0.44699426548411486</v>
      </c>
      <c r="Y523" s="9"/>
    </row>
    <row r="524" spans="1:25">
      <c r="A524" s="33">
        <v>45517</v>
      </c>
      <c r="B524" s="38">
        <v>3.36</v>
      </c>
      <c r="C524" s="23">
        <f t="shared" si="145"/>
        <v>9.00900900900895E-3</v>
      </c>
      <c r="D524">
        <f t="shared" si="146"/>
        <v>7.6626389519773505E-2</v>
      </c>
      <c r="E524" s="38">
        <v>3.4</v>
      </c>
      <c r="F524" s="38">
        <v>3.3</v>
      </c>
      <c r="G524" s="22">
        <f t="shared" si="147"/>
        <v>2.9850746268656747E-2</v>
      </c>
      <c r="H524" s="38">
        <v>3.35</v>
      </c>
      <c r="I524" s="38">
        <v>3.33</v>
      </c>
      <c r="J524" s="22">
        <f t="shared" si="148"/>
        <v>5.988023952095814E-3</v>
      </c>
      <c r="K524" s="35">
        <v>2072898</v>
      </c>
      <c r="L524" s="37">
        <f t="shared" si="149"/>
        <v>278880000</v>
      </c>
      <c r="M524">
        <f t="shared" si="150"/>
        <v>6964937.2799999993</v>
      </c>
      <c r="N524">
        <f t="shared" si="151"/>
        <v>243270000</v>
      </c>
      <c r="O524">
        <f t="shared" si="152"/>
        <v>8.5209766925638183E-3</v>
      </c>
      <c r="P524" s="24">
        <v>77877.42</v>
      </c>
      <c r="Q524" s="9">
        <v>0.189</v>
      </c>
      <c r="R524" s="37">
        <f t="shared" si="153"/>
        <v>13558250000</v>
      </c>
      <c r="S524" s="37">
        <f t="shared" si="154"/>
        <v>10770950000</v>
      </c>
      <c r="T524">
        <f t="shared" si="155"/>
        <v>-152520000</v>
      </c>
      <c r="U524" s="37">
        <f t="shared" si="156"/>
        <v>35790000</v>
      </c>
      <c r="V524" s="37">
        <f t="shared" si="157"/>
        <v>6060460000</v>
      </c>
      <c r="W524">
        <f t="shared" si="158"/>
        <v>1.2934802779744414E-9</v>
      </c>
      <c r="X524">
        <f t="shared" si="159"/>
        <v>0.44699426548411486</v>
      </c>
      <c r="Y524" s="9"/>
    </row>
    <row r="525" spans="1:25">
      <c r="A525" s="33">
        <v>45516</v>
      </c>
      <c r="B525" s="38">
        <v>3.33</v>
      </c>
      <c r="C525" s="23">
        <f t="shared" si="145"/>
        <v>3.0120481927711539E-3</v>
      </c>
      <c r="D525">
        <f t="shared" si="146"/>
        <v>7.6626389519773505E-2</v>
      </c>
      <c r="E525" s="38">
        <v>3.45</v>
      </c>
      <c r="F525" s="38">
        <v>3.24</v>
      </c>
      <c r="G525" s="22">
        <f t="shared" si="147"/>
        <v>6.2780269058295951E-2</v>
      </c>
      <c r="H525" s="38">
        <v>3.35</v>
      </c>
      <c r="I525" s="38">
        <v>3.32</v>
      </c>
      <c r="J525" s="22">
        <f t="shared" si="148"/>
        <v>8.9955022488756361E-3</v>
      </c>
      <c r="K525" s="35">
        <v>2264657</v>
      </c>
      <c r="L525" s="37">
        <f t="shared" si="149"/>
        <v>278880000</v>
      </c>
      <c r="M525">
        <f t="shared" si="150"/>
        <v>7541307.8100000005</v>
      </c>
      <c r="N525">
        <f t="shared" si="151"/>
        <v>243270000</v>
      </c>
      <c r="O525">
        <f t="shared" si="152"/>
        <v>9.3092325399761582E-3</v>
      </c>
      <c r="P525" s="24">
        <v>77980.289999999994</v>
      </c>
      <c r="Q525" s="9">
        <v>0.189</v>
      </c>
      <c r="R525" s="37">
        <f t="shared" si="153"/>
        <v>13558250000</v>
      </c>
      <c r="S525" s="37">
        <f t="shared" si="154"/>
        <v>10770950000</v>
      </c>
      <c r="T525">
        <f t="shared" si="155"/>
        <v>-152520000</v>
      </c>
      <c r="U525" s="37">
        <f t="shared" si="156"/>
        <v>35790000</v>
      </c>
      <c r="V525" s="37">
        <f t="shared" si="157"/>
        <v>6060460000</v>
      </c>
      <c r="W525">
        <f t="shared" si="158"/>
        <v>3.9940661071771765E-10</v>
      </c>
      <c r="X525">
        <f t="shared" si="159"/>
        <v>0.44699426548411486</v>
      </c>
      <c r="Y525" s="9"/>
    </row>
    <row r="526" spans="1:25">
      <c r="A526" s="33">
        <v>45513</v>
      </c>
      <c r="B526" s="38">
        <v>3.32</v>
      </c>
      <c r="C526" s="23">
        <f t="shared" si="145"/>
        <v>2.1538461538461489E-2</v>
      </c>
      <c r="D526">
        <f t="shared" si="146"/>
        <v>7.6626389519773505E-2</v>
      </c>
      <c r="E526" s="38">
        <v>3.35</v>
      </c>
      <c r="F526" s="38">
        <v>3.23</v>
      </c>
      <c r="G526" s="22">
        <f t="shared" si="147"/>
        <v>3.6474164133738635E-2</v>
      </c>
      <c r="H526" s="38">
        <v>3.35</v>
      </c>
      <c r="I526" s="38">
        <v>3.34</v>
      </c>
      <c r="J526" s="22">
        <f t="shared" si="148"/>
        <v>2.9895366218236864E-3</v>
      </c>
      <c r="K526" s="35">
        <v>2504410</v>
      </c>
      <c r="L526" s="37">
        <f t="shared" si="149"/>
        <v>278880000</v>
      </c>
      <c r="M526">
        <f t="shared" si="150"/>
        <v>8314641.1999999993</v>
      </c>
      <c r="N526">
        <f t="shared" si="151"/>
        <v>243270000</v>
      </c>
      <c r="O526">
        <f t="shared" si="152"/>
        <v>1.0294775352489004E-2</v>
      </c>
      <c r="P526" s="24">
        <v>78569.59</v>
      </c>
      <c r="Q526" s="9">
        <v>0.189</v>
      </c>
      <c r="R526" s="37">
        <f t="shared" si="153"/>
        <v>13558250000</v>
      </c>
      <c r="S526" s="37">
        <f t="shared" si="154"/>
        <v>10770950000</v>
      </c>
      <c r="T526">
        <f t="shared" si="155"/>
        <v>-152520000</v>
      </c>
      <c r="U526" s="37">
        <f t="shared" si="156"/>
        <v>35790000</v>
      </c>
      <c r="V526" s="37">
        <f t="shared" si="157"/>
        <v>6060460000</v>
      </c>
      <c r="W526">
        <f t="shared" si="158"/>
        <v>2.5904258548717038E-9</v>
      </c>
      <c r="X526">
        <f t="shared" si="159"/>
        <v>0.44699426548411486</v>
      </c>
      <c r="Y526" s="9"/>
    </row>
    <row r="527" spans="1:25">
      <c r="A527" s="33">
        <v>45512</v>
      </c>
      <c r="B527" s="38">
        <v>3.25</v>
      </c>
      <c r="C527" s="23">
        <f t="shared" si="145"/>
        <v>-1.2158054711246211E-2</v>
      </c>
      <c r="D527">
        <f t="shared" si="146"/>
        <v>7.6626389519773505E-2</v>
      </c>
      <c r="E527" s="38">
        <v>3.44</v>
      </c>
      <c r="F527" s="38">
        <v>3.22</v>
      </c>
      <c r="G527" s="22">
        <f t="shared" si="147"/>
        <v>6.6066066066065993E-2</v>
      </c>
      <c r="H527" s="38">
        <v>3.27</v>
      </c>
      <c r="I527" s="38">
        <v>3.23</v>
      </c>
      <c r="J527" s="22">
        <f t="shared" si="148"/>
        <v>1.2307692307692318E-2</v>
      </c>
      <c r="K527" s="35">
        <v>827910</v>
      </c>
      <c r="L527" s="37">
        <f t="shared" si="149"/>
        <v>278880000</v>
      </c>
      <c r="M527">
        <f t="shared" si="150"/>
        <v>2690707.5</v>
      </c>
      <c r="N527">
        <f t="shared" si="151"/>
        <v>243270000</v>
      </c>
      <c r="O527">
        <f t="shared" si="152"/>
        <v>3.4032556418793934E-3</v>
      </c>
      <c r="P527" s="24">
        <v>77874.22</v>
      </c>
      <c r="Q527" s="9">
        <v>0.189</v>
      </c>
      <c r="R527" s="37">
        <f t="shared" si="153"/>
        <v>13558250000</v>
      </c>
      <c r="S527" s="37">
        <f t="shared" si="154"/>
        <v>10770950000</v>
      </c>
      <c r="T527">
        <f t="shared" si="155"/>
        <v>-152520000</v>
      </c>
      <c r="U527" s="37">
        <f t="shared" si="156"/>
        <v>35790000</v>
      </c>
      <c r="V527" s="37">
        <f t="shared" si="157"/>
        <v>6060460000</v>
      </c>
      <c r="W527">
        <f t="shared" si="158"/>
        <v>4.518534516013432E-9</v>
      </c>
      <c r="X527">
        <f t="shared" si="159"/>
        <v>0.44699426548411486</v>
      </c>
      <c r="Y527" s="9"/>
    </row>
    <row r="528" spans="1:25">
      <c r="A528" s="33">
        <v>45511</v>
      </c>
      <c r="B528" s="38">
        <v>3.29</v>
      </c>
      <c r="C528" s="23">
        <f t="shared" si="145"/>
        <v>-4.0816326530612276E-2</v>
      </c>
      <c r="D528">
        <f t="shared" si="146"/>
        <v>7.6626389519773505E-2</v>
      </c>
      <c r="E528" s="38">
        <v>3.55</v>
      </c>
      <c r="F528" s="38">
        <v>3.26</v>
      </c>
      <c r="G528" s="22">
        <f t="shared" si="147"/>
        <v>8.5168869309838482E-2</v>
      </c>
      <c r="H528" s="38">
        <v>3.29</v>
      </c>
      <c r="I528" s="38">
        <v>3.28</v>
      </c>
      <c r="J528" s="22">
        <f t="shared" si="148"/>
        <v>3.0441400304414704E-3</v>
      </c>
      <c r="K528" s="35">
        <v>3286863</v>
      </c>
      <c r="L528" s="37">
        <f t="shared" si="149"/>
        <v>278880000</v>
      </c>
      <c r="M528">
        <f t="shared" si="150"/>
        <v>10813779.27</v>
      </c>
      <c r="N528">
        <f t="shared" si="151"/>
        <v>243270000</v>
      </c>
      <c r="O528">
        <f t="shared" si="152"/>
        <v>1.351117277099519E-2</v>
      </c>
      <c r="P528" s="24">
        <v>77114.490000000005</v>
      </c>
      <c r="Q528" s="9">
        <v>0.189</v>
      </c>
      <c r="R528" s="37">
        <f t="shared" si="153"/>
        <v>13558250000</v>
      </c>
      <c r="S528" s="37">
        <f t="shared" si="154"/>
        <v>10770950000</v>
      </c>
      <c r="T528">
        <f t="shared" si="155"/>
        <v>-152520000</v>
      </c>
      <c r="U528" s="37">
        <f t="shared" si="156"/>
        <v>35790000</v>
      </c>
      <c r="V528" s="37">
        <f t="shared" si="157"/>
        <v>6060460000</v>
      </c>
      <c r="W528">
        <f t="shared" si="158"/>
        <v>3.7744737997238847E-9</v>
      </c>
      <c r="X528">
        <f t="shared" si="159"/>
        <v>0.44699426548411486</v>
      </c>
      <c r="Y528" s="9"/>
    </row>
    <row r="529" spans="1:25">
      <c r="A529" s="33">
        <v>45510</v>
      </c>
      <c r="B529" s="38">
        <v>3.43</v>
      </c>
      <c r="C529" s="23">
        <f t="shared" si="145"/>
        <v>-5.7692307692307682E-2</v>
      </c>
      <c r="D529">
        <f t="shared" si="146"/>
        <v>7.6626389519773505E-2</v>
      </c>
      <c r="E529" s="38">
        <v>3.75</v>
      </c>
      <c r="F529" s="38">
        <v>3.35</v>
      </c>
      <c r="G529" s="22">
        <f t="shared" si="147"/>
        <v>0.11267605633802814</v>
      </c>
      <c r="H529" s="38">
        <v>3.46</v>
      </c>
      <c r="I529" s="38">
        <v>3.44</v>
      </c>
      <c r="J529" s="22">
        <f t="shared" si="148"/>
        <v>5.7971014492753676E-3</v>
      </c>
      <c r="K529" s="35">
        <v>9520888</v>
      </c>
      <c r="L529" s="37">
        <f t="shared" si="149"/>
        <v>278880000</v>
      </c>
      <c r="M529">
        <f t="shared" si="150"/>
        <v>32656645.84</v>
      </c>
      <c r="N529">
        <f t="shared" si="151"/>
        <v>243270000</v>
      </c>
      <c r="O529">
        <f t="shared" si="152"/>
        <v>3.913712336087475E-2</v>
      </c>
      <c r="P529" s="24">
        <v>77191.34</v>
      </c>
      <c r="Q529" s="9">
        <v>0.19489999999999999</v>
      </c>
      <c r="R529" s="37">
        <f t="shared" si="153"/>
        <v>13558250000</v>
      </c>
      <c r="S529" s="37">
        <f t="shared" si="154"/>
        <v>10770950000</v>
      </c>
      <c r="T529">
        <f t="shared" si="155"/>
        <v>-152520000</v>
      </c>
      <c r="U529" s="37">
        <f t="shared" si="156"/>
        <v>35790000</v>
      </c>
      <c r="V529" s="37">
        <f t="shared" si="157"/>
        <v>6060460000</v>
      </c>
      <c r="W529">
        <f t="shared" si="158"/>
        <v>1.7666329841395519E-9</v>
      </c>
      <c r="X529">
        <f t="shared" si="159"/>
        <v>0.44699426548411486</v>
      </c>
      <c r="Y529" s="9"/>
    </row>
    <row r="530" spans="1:25">
      <c r="A530" s="33">
        <v>45509</v>
      </c>
      <c r="B530" s="38">
        <v>3.64</v>
      </c>
      <c r="C530" s="23">
        <f t="shared" si="145"/>
        <v>0.19736842105263161</v>
      </c>
      <c r="D530">
        <f t="shared" si="146"/>
        <v>7.6626389519773505E-2</v>
      </c>
      <c r="E530" s="38">
        <v>3.75</v>
      </c>
      <c r="F530" s="38">
        <v>3.03</v>
      </c>
      <c r="G530" s="22">
        <f t="shared" si="147"/>
        <v>0.21238938053097353</v>
      </c>
      <c r="H530" s="38">
        <v>3.63</v>
      </c>
      <c r="I530" s="38">
        <v>3.62</v>
      </c>
      <c r="J530" s="22">
        <f t="shared" si="148"/>
        <v>2.7586206896551137E-3</v>
      </c>
      <c r="K530" s="35">
        <v>19453743</v>
      </c>
      <c r="L530" s="37">
        <f t="shared" si="149"/>
        <v>278880000</v>
      </c>
      <c r="M530">
        <f t="shared" si="150"/>
        <v>70811624.519999996</v>
      </c>
      <c r="N530">
        <f t="shared" si="151"/>
        <v>243270000</v>
      </c>
      <c r="O530">
        <f t="shared" si="152"/>
        <v>7.9967702552719205E-2</v>
      </c>
      <c r="P530" s="24">
        <v>77084.490000000005</v>
      </c>
      <c r="Q530" s="9">
        <v>0.19489999999999999</v>
      </c>
      <c r="R530" s="37">
        <f t="shared" si="153"/>
        <v>13558250000</v>
      </c>
      <c r="S530" s="37">
        <f t="shared" si="154"/>
        <v>10770950000</v>
      </c>
      <c r="T530">
        <f t="shared" si="155"/>
        <v>-152520000</v>
      </c>
      <c r="U530" s="37">
        <f t="shared" si="156"/>
        <v>35790000</v>
      </c>
      <c r="V530" s="37">
        <f t="shared" si="157"/>
        <v>6060460000</v>
      </c>
      <c r="W530">
        <f t="shared" si="158"/>
        <v>2.787231932475818E-9</v>
      </c>
      <c r="X530">
        <f t="shared" si="159"/>
        <v>0.44699426548411486</v>
      </c>
      <c r="Y530" s="9"/>
    </row>
    <row r="531" spans="1:25">
      <c r="A531" s="33">
        <v>45506</v>
      </c>
      <c r="B531" s="38">
        <v>3.04</v>
      </c>
      <c r="C531" s="23">
        <f t="shared" si="145"/>
        <v>-9.7719869706839758E-3</v>
      </c>
      <c r="D531">
        <f t="shared" si="146"/>
        <v>7.6626389519773505E-2</v>
      </c>
      <c r="E531" s="38">
        <v>3.18</v>
      </c>
      <c r="F531" s="38">
        <v>2.98</v>
      </c>
      <c r="G531" s="22">
        <f t="shared" si="147"/>
        <v>6.4935064935064984E-2</v>
      </c>
      <c r="H531" s="38">
        <v>3.03</v>
      </c>
      <c r="I531" s="38">
        <v>3.02</v>
      </c>
      <c r="J531" s="22">
        <f t="shared" si="148"/>
        <v>3.3057851239668718E-3</v>
      </c>
      <c r="K531" s="35">
        <v>4672540</v>
      </c>
      <c r="L531" s="37">
        <f t="shared" si="149"/>
        <v>278880000</v>
      </c>
      <c r="M531">
        <f t="shared" si="150"/>
        <v>14204521.6</v>
      </c>
      <c r="N531">
        <f t="shared" si="151"/>
        <v>243270000</v>
      </c>
      <c r="O531">
        <f t="shared" si="152"/>
        <v>1.9207218317096229E-2</v>
      </c>
      <c r="P531" s="24">
        <v>78225.98</v>
      </c>
      <c r="Q531" s="9">
        <v>0.19489999999999999</v>
      </c>
      <c r="R531" s="37">
        <f t="shared" si="153"/>
        <v>13558250000</v>
      </c>
      <c r="S531" s="37">
        <f t="shared" si="154"/>
        <v>10770950000</v>
      </c>
      <c r="T531">
        <f t="shared" si="155"/>
        <v>-152520000</v>
      </c>
      <c r="U531" s="37">
        <f t="shared" si="156"/>
        <v>35790000</v>
      </c>
      <c r="V531" s="37">
        <f t="shared" si="157"/>
        <v>6060460000</v>
      </c>
      <c r="W531">
        <f t="shared" si="158"/>
        <v>6.879490380502485E-10</v>
      </c>
      <c r="X531">
        <f t="shared" si="159"/>
        <v>0.44699426548411486</v>
      </c>
      <c r="Y531" s="9"/>
    </row>
    <row r="532" spans="1:25">
      <c r="A532" s="33">
        <v>45505</v>
      </c>
      <c r="B532" s="38">
        <v>3.07</v>
      </c>
      <c r="C532" s="23">
        <f t="shared" si="145"/>
        <v>3.2679738562090806E-3</v>
      </c>
      <c r="D532">
        <f t="shared" si="146"/>
        <v>7.6626389519773505E-2</v>
      </c>
      <c r="E532" s="38">
        <v>3.19</v>
      </c>
      <c r="F532" s="38">
        <v>3</v>
      </c>
      <c r="G532" s="22">
        <f t="shared" si="147"/>
        <v>6.1389337641357018E-2</v>
      </c>
      <c r="H532" s="38">
        <v>3.1</v>
      </c>
      <c r="I532" s="38">
        <v>3.05</v>
      </c>
      <c r="J532" s="22">
        <f t="shared" si="148"/>
        <v>1.6260162601626101E-2</v>
      </c>
      <c r="K532" s="35">
        <v>776357</v>
      </c>
      <c r="L532" s="37">
        <f t="shared" si="149"/>
        <v>278880000</v>
      </c>
      <c r="M532">
        <f t="shared" si="150"/>
        <v>2383415.9899999998</v>
      </c>
      <c r="N532">
        <f t="shared" si="151"/>
        <v>243270000</v>
      </c>
      <c r="O532">
        <f t="shared" si="152"/>
        <v>3.1913388416163111E-3</v>
      </c>
      <c r="P532" s="24">
        <v>77740.31</v>
      </c>
      <c r="Q532" s="9">
        <v>0.19489999999999999</v>
      </c>
      <c r="R532" s="37">
        <f t="shared" si="153"/>
        <v>13558250000</v>
      </c>
      <c r="S532" s="37">
        <f t="shared" si="154"/>
        <v>10770950000</v>
      </c>
      <c r="T532">
        <f t="shared" si="155"/>
        <v>-152520000</v>
      </c>
      <c r="U532" s="37">
        <f t="shared" si="156"/>
        <v>35790000</v>
      </c>
      <c r="V532" s="37">
        <f t="shared" si="157"/>
        <v>6060460000</v>
      </c>
      <c r="W532">
        <f t="shared" si="158"/>
        <v>1.3711302894334785E-9</v>
      </c>
      <c r="X532">
        <f t="shared" si="159"/>
        <v>0.44699426548411486</v>
      </c>
      <c r="Y532" s="9"/>
    </row>
    <row r="533" spans="1:25">
      <c r="A533" s="33">
        <v>45504</v>
      </c>
      <c r="B533" s="38">
        <v>3.06</v>
      </c>
      <c r="C533" s="23">
        <f t="shared" si="145"/>
        <v>-2.8571428571428525E-2</v>
      </c>
      <c r="D533">
        <f t="shared" si="146"/>
        <v>7.6626389519773505E-2</v>
      </c>
      <c r="E533" s="38">
        <v>3.2</v>
      </c>
      <c r="F533" s="38">
        <v>3</v>
      </c>
      <c r="G533" s="22">
        <f t="shared" si="147"/>
        <v>6.4516129032258118E-2</v>
      </c>
      <c r="H533" s="38">
        <v>3.08</v>
      </c>
      <c r="I533" s="38">
        <v>3.06</v>
      </c>
      <c r="J533" s="22">
        <f t="shared" si="148"/>
        <v>6.5146579804560316E-3</v>
      </c>
      <c r="K533" s="35">
        <v>1283996</v>
      </c>
      <c r="L533" s="37">
        <f t="shared" si="149"/>
        <v>278880000</v>
      </c>
      <c r="M533">
        <f t="shared" si="150"/>
        <v>3929027.7600000002</v>
      </c>
      <c r="N533">
        <f t="shared" si="151"/>
        <v>243270000</v>
      </c>
      <c r="O533">
        <f t="shared" si="152"/>
        <v>5.2780696345624207E-3</v>
      </c>
      <c r="P533" s="24">
        <v>77886.990000000005</v>
      </c>
      <c r="Q533" s="9">
        <v>0.19489999999999999</v>
      </c>
      <c r="R533" s="37">
        <f t="shared" si="153"/>
        <v>13558250000</v>
      </c>
      <c r="S533" s="37">
        <f t="shared" si="154"/>
        <v>10770950000</v>
      </c>
      <c r="T533">
        <f t="shared" si="155"/>
        <v>-152520000</v>
      </c>
      <c r="U533" s="37">
        <f t="shared" si="156"/>
        <v>35790000</v>
      </c>
      <c r="V533" s="37">
        <f t="shared" si="157"/>
        <v>6060460000</v>
      </c>
      <c r="W533">
        <f t="shared" si="158"/>
        <v>7.2718825919999412E-9</v>
      </c>
      <c r="X533">
        <f t="shared" si="159"/>
        <v>0.44699426548411486</v>
      </c>
      <c r="Y533" s="9"/>
    </row>
    <row r="534" spans="1:25">
      <c r="A534" s="33">
        <v>45503</v>
      </c>
      <c r="B534" s="38">
        <v>3.15</v>
      </c>
      <c r="C534" s="23">
        <f t="shared" si="145"/>
        <v>-1.8691588785046745E-2</v>
      </c>
      <c r="D534">
        <f t="shared" si="146"/>
        <v>7.6626389519773505E-2</v>
      </c>
      <c r="E534" s="38">
        <v>3.29</v>
      </c>
      <c r="F534" s="38">
        <v>3.13</v>
      </c>
      <c r="G534" s="22">
        <f t="shared" si="147"/>
        <v>4.9844236760124658E-2</v>
      </c>
      <c r="H534" s="38">
        <v>3.17</v>
      </c>
      <c r="I534" s="38">
        <v>3.15</v>
      </c>
      <c r="J534" s="22">
        <f t="shared" si="148"/>
        <v>6.329113924050638E-3</v>
      </c>
      <c r="K534" s="35">
        <v>375913</v>
      </c>
      <c r="L534" s="37">
        <f t="shared" si="149"/>
        <v>278880000</v>
      </c>
      <c r="M534">
        <f t="shared" si="150"/>
        <v>1184125.95</v>
      </c>
      <c r="N534">
        <f t="shared" si="151"/>
        <v>243270000</v>
      </c>
      <c r="O534">
        <f t="shared" si="152"/>
        <v>1.5452501335964156E-3</v>
      </c>
      <c r="P534" s="24">
        <v>78628.81</v>
      </c>
      <c r="Q534" s="9">
        <v>0.19489999999999999</v>
      </c>
      <c r="R534" s="37">
        <f t="shared" si="153"/>
        <v>13558250000</v>
      </c>
      <c r="S534" s="37">
        <f t="shared" si="154"/>
        <v>10770950000</v>
      </c>
      <c r="T534">
        <f t="shared" si="155"/>
        <v>-152520000</v>
      </c>
      <c r="U534" s="37">
        <f t="shared" si="156"/>
        <v>35790000</v>
      </c>
      <c r="V534" s="37">
        <f t="shared" si="157"/>
        <v>6060460000</v>
      </c>
      <c r="W534">
        <f t="shared" si="158"/>
        <v>1.5785135681763199E-8</v>
      </c>
      <c r="X534">
        <f t="shared" si="159"/>
        <v>0.44699426548411486</v>
      </c>
      <c r="Y534" s="9"/>
    </row>
    <row r="535" spans="1:25">
      <c r="A535" s="33">
        <v>45502</v>
      </c>
      <c r="B535" s="38">
        <v>3.21</v>
      </c>
      <c r="C535" s="23">
        <f t="shared" si="145"/>
        <v>-9.2592592592593351E-3</v>
      </c>
      <c r="D535">
        <f t="shared" si="146"/>
        <v>7.6626389519773505E-2</v>
      </c>
      <c r="E535" s="38">
        <v>3.29</v>
      </c>
      <c r="F535" s="38">
        <v>3.11</v>
      </c>
      <c r="G535" s="22">
        <f t="shared" si="147"/>
        <v>5.625000000000005E-2</v>
      </c>
      <c r="H535" s="38">
        <v>3.24</v>
      </c>
      <c r="I535" s="38">
        <v>3.18</v>
      </c>
      <c r="J535" s="22">
        <f t="shared" si="148"/>
        <v>1.8691588785046745E-2</v>
      </c>
      <c r="K535" s="35">
        <v>835106</v>
      </c>
      <c r="L535" s="37">
        <f t="shared" si="149"/>
        <v>278880000</v>
      </c>
      <c r="M535">
        <f t="shared" si="150"/>
        <v>2680690.2599999998</v>
      </c>
      <c r="N535">
        <f t="shared" si="151"/>
        <v>243270000</v>
      </c>
      <c r="O535">
        <f t="shared" si="152"/>
        <v>3.4328359436017592E-3</v>
      </c>
      <c r="P535" s="24">
        <v>78827.740000000005</v>
      </c>
      <c r="Q535" s="9">
        <v>0.19489999999999999</v>
      </c>
      <c r="R535" s="37">
        <f t="shared" si="153"/>
        <v>13558250000</v>
      </c>
      <c r="S535" s="37">
        <f t="shared" si="154"/>
        <v>10770950000</v>
      </c>
      <c r="T535">
        <f t="shared" si="155"/>
        <v>-152520000</v>
      </c>
      <c r="U535" s="37">
        <f t="shared" si="156"/>
        <v>35790000</v>
      </c>
      <c r="V535" s="37">
        <f t="shared" si="157"/>
        <v>6060460000</v>
      </c>
      <c r="W535">
        <f t="shared" si="158"/>
        <v>3.4540578586872383E-9</v>
      </c>
      <c r="X535">
        <f t="shared" si="159"/>
        <v>0.44699426548411486</v>
      </c>
      <c r="Y535" s="9"/>
    </row>
    <row r="536" spans="1:25">
      <c r="A536" s="33">
        <v>45499</v>
      </c>
      <c r="B536" s="38">
        <v>3.24</v>
      </c>
      <c r="C536" s="23">
        <f t="shared" si="145"/>
        <v>6.2111801242236073E-3</v>
      </c>
      <c r="D536">
        <f t="shared" si="146"/>
        <v>7.6626389519773505E-2</v>
      </c>
      <c r="E536" s="38">
        <v>3.38</v>
      </c>
      <c r="F536" s="38">
        <v>3.2</v>
      </c>
      <c r="G536" s="22">
        <f t="shared" si="147"/>
        <v>5.4711246200607813E-2</v>
      </c>
      <c r="H536" s="38">
        <v>3.27</v>
      </c>
      <c r="I536" s="38">
        <v>3.25</v>
      </c>
      <c r="J536" s="22">
        <f t="shared" si="148"/>
        <v>6.1349693251533804E-3</v>
      </c>
      <c r="K536" s="35">
        <v>1771009</v>
      </c>
      <c r="L536" s="37">
        <f t="shared" si="149"/>
        <v>278880000</v>
      </c>
      <c r="M536">
        <f t="shared" si="150"/>
        <v>5738069.1600000001</v>
      </c>
      <c r="N536">
        <f t="shared" si="151"/>
        <v>243270000</v>
      </c>
      <c r="O536">
        <f t="shared" si="152"/>
        <v>7.2800139762403916E-3</v>
      </c>
      <c r="P536" s="24">
        <v>78029.509999999995</v>
      </c>
      <c r="Q536" s="9">
        <v>0.19489999999999999</v>
      </c>
      <c r="R536" s="37">
        <f t="shared" si="153"/>
        <v>13558250000</v>
      </c>
      <c r="S536" s="37">
        <f t="shared" si="154"/>
        <v>10770950000</v>
      </c>
      <c r="T536">
        <f t="shared" si="155"/>
        <v>-152520000</v>
      </c>
      <c r="U536" s="37">
        <f t="shared" si="156"/>
        <v>35790000</v>
      </c>
      <c r="V536" s="37">
        <f t="shared" si="157"/>
        <v>6060460000</v>
      </c>
      <c r="W536">
        <f t="shared" si="158"/>
        <v>1.0824512481518447E-9</v>
      </c>
      <c r="X536">
        <f t="shared" si="159"/>
        <v>0.44699426548411486</v>
      </c>
      <c r="Y536" s="9"/>
    </row>
    <row r="537" spans="1:25">
      <c r="A537" s="33">
        <v>45498</v>
      </c>
      <c r="B537" s="38">
        <v>3.22</v>
      </c>
      <c r="C537" s="23">
        <f t="shared" si="145"/>
        <v>5.9210526315789526E-2</v>
      </c>
      <c r="D537">
        <f t="shared" si="146"/>
        <v>7.6626389519773505E-2</v>
      </c>
      <c r="E537" s="38">
        <v>3.37</v>
      </c>
      <c r="F537" s="38">
        <v>3.05</v>
      </c>
      <c r="G537" s="22">
        <f t="shared" si="147"/>
        <v>9.9688473520249316E-2</v>
      </c>
      <c r="H537" s="38">
        <v>3.25</v>
      </c>
      <c r="I537" s="38">
        <v>3.23</v>
      </c>
      <c r="J537" s="22">
        <f t="shared" si="148"/>
        <v>6.1728395061728444E-3</v>
      </c>
      <c r="K537" s="35">
        <v>4147726</v>
      </c>
      <c r="L537" s="37">
        <f t="shared" si="149"/>
        <v>278880000</v>
      </c>
      <c r="M537">
        <f t="shared" si="150"/>
        <v>13355677.720000001</v>
      </c>
      <c r="N537">
        <f t="shared" si="151"/>
        <v>243270000</v>
      </c>
      <c r="O537">
        <f t="shared" si="152"/>
        <v>1.7049886956879187E-2</v>
      </c>
      <c r="P537" s="24">
        <v>78469.33</v>
      </c>
      <c r="Q537" s="9">
        <v>0.19489999999999999</v>
      </c>
      <c r="R537" s="37">
        <f t="shared" si="153"/>
        <v>13558250000</v>
      </c>
      <c r="S537" s="37">
        <f t="shared" si="154"/>
        <v>10770950000</v>
      </c>
      <c r="T537">
        <f t="shared" si="155"/>
        <v>-152520000</v>
      </c>
      <c r="U537" s="37">
        <f t="shared" si="156"/>
        <v>35790000</v>
      </c>
      <c r="V537" s="37">
        <f t="shared" si="157"/>
        <v>6060460000</v>
      </c>
      <c r="W537">
        <f t="shared" si="158"/>
        <v>4.433359920561899E-9</v>
      </c>
      <c r="X537">
        <f t="shared" si="159"/>
        <v>0.44699426548411486</v>
      </c>
      <c r="Y537" s="9"/>
    </row>
    <row r="538" spans="1:25">
      <c r="A538" s="33">
        <v>45497</v>
      </c>
      <c r="B538" s="38">
        <v>3.04</v>
      </c>
      <c r="C538" s="23">
        <f t="shared" si="145"/>
        <v>6.6225165562913968E-3</v>
      </c>
      <c r="D538">
        <f t="shared" si="146"/>
        <v>7.6626389519773505E-2</v>
      </c>
      <c r="E538" s="38">
        <v>3.13</v>
      </c>
      <c r="F538" s="38">
        <v>3.02</v>
      </c>
      <c r="G538" s="22">
        <f t="shared" si="147"/>
        <v>3.5772357723577196E-2</v>
      </c>
      <c r="H538" s="38">
        <v>3.05</v>
      </c>
      <c r="I538" s="38">
        <v>3.02</v>
      </c>
      <c r="J538" s="22">
        <f t="shared" si="148"/>
        <v>9.884678747940627E-3</v>
      </c>
      <c r="K538" s="35">
        <v>592394</v>
      </c>
      <c r="L538" s="37">
        <f t="shared" si="149"/>
        <v>278880000</v>
      </c>
      <c r="M538">
        <f t="shared" si="150"/>
        <v>1800877.76</v>
      </c>
      <c r="N538">
        <f t="shared" si="151"/>
        <v>243270000</v>
      </c>
      <c r="O538">
        <f t="shared" si="152"/>
        <v>2.4351296912895138E-3</v>
      </c>
      <c r="P538" s="24">
        <v>79397.009999999995</v>
      </c>
      <c r="Q538" s="9">
        <v>0.19489999999999999</v>
      </c>
      <c r="R538" s="37">
        <f t="shared" si="153"/>
        <v>13558250000</v>
      </c>
      <c r="S538" s="37">
        <f t="shared" si="154"/>
        <v>10770950000</v>
      </c>
      <c r="T538">
        <f t="shared" si="155"/>
        <v>-152520000</v>
      </c>
      <c r="U538" s="37">
        <f t="shared" si="156"/>
        <v>35790000</v>
      </c>
      <c r="V538" s="37">
        <f t="shared" si="157"/>
        <v>6060460000</v>
      </c>
      <c r="W538">
        <f t="shared" si="158"/>
        <v>3.6773826094067579E-9</v>
      </c>
      <c r="X538">
        <f t="shared" si="159"/>
        <v>0.44699426548411486</v>
      </c>
      <c r="Y538" s="9"/>
    </row>
    <row r="539" spans="1:25">
      <c r="A539" s="33">
        <v>45496</v>
      </c>
      <c r="B539" s="38">
        <v>3.02</v>
      </c>
      <c r="C539" s="23">
        <f t="shared" si="145"/>
        <v>6.6666666666666723E-3</v>
      </c>
      <c r="D539">
        <f t="shared" si="146"/>
        <v>7.6626389519773505E-2</v>
      </c>
      <c r="E539" s="38">
        <v>3.15</v>
      </c>
      <c r="F539" s="38">
        <v>3</v>
      </c>
      <c r="G539" s="22">
        <f t="shared" si="147"/>
        <v>4.8780487804878016E-2</v>
      </c>
      <c r="H539" s="38">
        <v>3.05</v>
      </c>
      <c r="I539" s="38">
        <v>3.02</v>
      </c>
      <c r="J539" s="22">
        <f t="shared" si="148"/>
        <v>9.884678747940627E-3</v>
      </c>
      <c r="K539" s="35">
        <v>559381</v>
      </c>
      <c r="L539" s="37">
        <f t="shared" si="149"/>
        <v>278880000</v>
      </c>
      <c r="M539">
        <f t="shared" si="150"/>
        <v>1689330.62</v>
      </c>
      <c r="N539">
        <f t="shared" si="151"/>
        <v>243270000</v>
      </c>
      <c r="O539">
        <f t="shared" si="152"/>
        <v>2.2994245077485923E-3</v>
      </c>
      <c r="P539" s="24">
        <v>78987.09</v>
      </c>
      <c r="Q539" s="9">
        <v>0.19489999999999999</v>
      </c>
      <c r="R539" s="37">
        <f t="shared" si="153"/>
        <v>13558250000</v>
      </c>
      <c r="S539" s="37">
        <f t="shared" si="154"/>
        <v>10770950000</v>
      </c>
      <c r="T539">
        <f t="shared" si="155"/>
        <v>-152520000</v>
      </c>
      <c r="U539" s="37">
        <f t="shared" si="156"/>
        <v>35790000</v>
      </c>
      <c r="V539" s="37">
        <f t="shared" si="157"/>
        <v>6060460000</v>
      </c>
      <c r="W539">
        <f t="shared" si="158"/>
        <v>3.9463362516134777E-9</v>
      </c>
      <c r="X539">
        <f t="shared" si="159"/>
        <v>0.44699426548411486</v>
      </c>
      <c r="Y539" s="9"/>
    </row>
    <row r="540" spans="1:25" ht="15" thickBot="1">
      <c r="A540" s="33">
        <v>45495</v>
      </c>
      <c r="B540" s="38">
        <v>3</v>
      </c>
      <c r="C540" s="23">
        <f>IFERROR((B540-#REF!)/#REF!,0)</f>
        <v>0</v>
      </c>
      <c r="D540">
        <f t="shared" si="146"/>
        <v>7.6626389519773505E-2</v>
      </c>
      <c r="E540" s="38">
        <v>3.14</v>
      </c>
      <c r="F540" s="38">
        <v>2.98</v>
      </c>
      <c r="G540" s="22">
        <f t="shared" si="147"/>
        <v>5.2287581699346448E-2</v>
      </c>
      <c r="H540" s="38">
        <v>3.02</v>
      </c>
      <c r="I540" s="38">
        <v>3</v>
      </c>
      <c r="J540" s="22">
        <f t="shared" si="148"/>
        <v>6.6445182724252554E-3</v>
      </c>
      <c r="K540" s="35">
        <v>495568</v>
      </c>
      <c r="L540" s="37">
        <f t="shared" si="149"/>
        <v>278880000</v>
      </c>
      <c r="M540">
        <f t="shared" si="150"/>
        <v>1486704</v>
      </c>
      <c r="N540">
        <f t="shared" si="151"/>
        <v>243270000</v>
      </c>
      <c r="O540">
        <f t="shared" si="152"/>
        <v>2.0371110288979325E-3</v>
      </c>
      <c r="P540" s="24">
        <v>78539.19</v>
      </c>
      <c r="Q540" s="9">
        <v>0.19489999999999999</v>
      </c>
      <c r="R540" s="37">
        <f t="shared" si="153"/>
        <v>13558250000</v>
      </c>
      <c r="S540" s="37">
        <f t="shared" si="154"/>
        <v>10770950000</v>
      </c>
      <c r="T540">
        <f t="shared" si="155"/>
        <v>-152520000</v>
      </c>
      <c r="U540" s="37">
        <f t="shared" si="156"/>
        <v>35790000</v>
      </c>
      <c r="V540" s="37">
        <f t="shared" si="157"/>
        <v>6060460000</v>
      </c>
      <c r="W540">
        <f t="shared" si="158"/>
        <v>0</v>
      </c>
      <c r="X540">
        <f t="shared" si="159"/>
        <v>0.44699426548411486</v>
      </c>
      <c r="Y540" s="9"/>
    </row>
    <row r="541" spans="1:25" ht="16" thickBot="1">
      <c r="A541" s="184" t="s">
        <v>53</v>
      </c>
      <c r="B541" s="185"/>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6"/>
      <c r="Y541" s="9"/>
    </row>
    <row r="542" spans="1:25" ht="43.5">
      <c r="A542" s="16" t="s">
        <v>14</v>
      </c>
      <c r="B542" s="16" t="s">
        <v>15</v>
      </c>
      <c r="C542" s="17" t="s">
        <v>16</v>
      </c>
      <c r="D542" s="17" t="s">
        <v>17</v>
      </c>
      <c r="E542" s="18" t="s">
        <v>0</v>
      </c>
      <c r="F542" s="18" t="s">
        <v>13</v>
      </c>
      <c r="G542" s="17" t="s">
        <v>18</v>
      </c>
      <c r="H542" s="16" t="s">
        <v>12</v>
      </c>
      <c r="I542" s="18" t="s">
        <v>1</v>
      </c>
      <c r="J542" s="19" t="s">
        <v>19</v>
      </c>
      <c r="K542" s="20" t="s">
        <v>2</v>
      </c>
      <c r="L542" s="20" t="s">
        <v>52</v>
      </c>
      <c r="M542" s="19" t="s">
        <v>59</v>
      </c>
      <c r="N542" s="2" t="s">
        <v>4</v>
      </c>
      <c r="O542" s="19" t="s">
        <v>21</v>
      </c>
      <c r="P542" s="20" t="s">
        <v>51</v>
      </c>
      <c r="Q542" s="20" t="s">
        <v>6</v>
      </c>
      <c r="R542" s="20" t="s">
        <v>7</v>
      </c>
      <c r="S542" s="20" t="s">
        <v>29</v>
      </c>
      <c r="T542" s="20" t="s">
        <v>50</v>
      </c>
      <c r="U542" s="20" t="s">
        <v>10</v>
      </c>
      <c r="V542" s="20" t="s">
        <v>32</v>
      </c>
      <c r="W542" s="7" t="s">
        <v>73</v>
      </c>
      <c r="X542" s="7" t="s">
        <v>72</v>
      </c>
      <c r="Y542" s="9"/>
    </row>
    <row r="543" spans="1:25">
      <c r="A543" s="21">
        <v>45555</v>
      </c>
      <c r="B543" s="28">
        <v>8.23</v>
      </c>
      <c r="C543" s="23">
        <f t="shared" ref="C543:C584" si="160">IFERROR((B543-B544)/B544,0)</f>
        <v>-1.3189448441246934E-2</v>
      </c>
      <c r="D543" s="24">
        <f>_xlfn.STDEV.S($C$543:$C$585)</f>
        <v>3.4635319307587377E-2</v>
      </c>
      <c r="E543" s="28">
        <v>8.8000000000000007</v>
      </c>
      <c r="F543" s="28">
        <v>8.15</v>
      </c>
      <c r="G543" s="39">
        <f>(E543-F543)/(AVERAGE(E543,F543))</f>
        <v>7.669616519174044E-2</v>
      </c>
      <c r="H543" s="28">
        <v>8.33</v>
      </c>
      <c r="I543" s="28">
        <v>8.25</v>
      </c>
      <c r="J543" s="39">
        <f>(H543-I543)/AVERAGE(H543,I543)</f>
        <v>9.6501809408926515E-3</v>
      </c>
      <c r="K543" s="25">
        <v>7721759</v>
      </c>
      <c r="L543" s="40">
        <f>561.09*1000000</f>
        <v>561090000</v>
      </c>
      <c r="M543" s="41">
        <f t="shared" ref="M543:M585" si="161">B543*K543</f>
        <v>63550076.57</v>
      </c>
      <c r="N543" s="24">
        <f>561.1*1000000</f>
        <v>561100000</v>
      </c>
      <c r="O543" s="41">
        <f>K543/N543</f>
        <v>1.376182320441989E-2</v>
      </c>
      <c r="P543" s="36">
        <v>82074.45</v>
      </c>
      <c r="Q543" s="9">
        <v>0.1741</v>
      </c>
      <c r="R543" s="26">
        <f>15890*1000000</f>
        <v>15890000000</v>
      </c>
      <c r="S543" s="26">
        <f>4002.556*1000000</f>
        <v>4002556000</v>
      </c>
      <c r="T543" s="26">
        <f>-1634.613*1000000</f>
        <v>-1634613000</v>
      </c>
      <c r="U543" s="26">
        <f>499.8*1000000</f>
        <v>499800000</v>
      </c>
      <c r="V543" s="26">
        <f>2312*1000000</f>
        <v>2312000000</v>
      </c>
      <c r="W543">
        <f>IFERROR(ABS(C543)/M543,"0")</f>
        <v>2.0754417859306341E-10</v>
      </c>
      <c r="X543">
        <f>V543/R543</f>
        <v>0.14550031466331026</v>
      </c>
      <c r="Y543" s="9"/>
    </row>
    <row r="544" spans="1:25">
      <c r="A544" s="21">
        <v>45554</v>
      </c>
      <c r="B544" s="28">
        <v>8.34</v>
      </c>
      <c r="C544" s="23">
        <f t="shared" si="160"/>
        <v>-3.3603707995365106E-2</v>
      </c>
      <c r="D544" s="24">
        <f t="shared" ref="D544:D585" si="162">_xlfn.STDEV.S($C$543:$C$585)</f>
        <v>3.4635319307587377E-2</v>
      </c>
      <c r="E544" s="28">
        <v>8.7200000000000006</v>
      </c>
      <c r="F544" s="28">
        <v>8.3000000000000007</v>
      </c>
      <c r="G544" s="39">
        <f t="shared" ref="G544:G584" si="163">(E544-F544)/(AVERAGE(E544,F544))</f>
        <v>4.9353701527614556E-2</v>
      </c>
      <c r="H544" s="28">
        <v>8.32</v>
      </c>
      <c r="I544" s="28">
        <v>8.31</v>
      </c>
      <c r="J544" s="39">
        <f t="shared" ref="J544:J585" si="164">(H544-I544)/AVERAGE(H544,I544)</f>
        <v>1.202645820805747E-3</v>
      </c>
      <c r="K544" s="25">
        <v>2876605</v>
      </c>
      <c r="L544" s="40">
        <f t="shared" ref="L544:L585" si="165">561.09*1000000</f>
        <v>561090000</v>
      </c>
      <c r="M544" s="41">
        <f t="shared" si="161"/>
        <v>23990885.699999999</v>
      </c>
      <c r="N544" s="24">
        <f t="shared" ref="N544:N585" si="166">561.1*1000000</f>
        <v>561100000</v>
      </c>
      <c r="O544" s="41">
        <f t="shared" ref="O544:O585" si="167">K544/N544</f>
        <v>5.1267242915701301E-3</v>
      </c>
      <c r="P544" s="36">
        <v>81459.289999999994</v>
      </c>
      <c r="Q544" s="9">
        <v>0.1741</v>
      </c>
      <c r="R544" s="26">
        <f t="shared" ref="R544:R585" si="168">15890*1000000</f>
        <v>15890000000</v>
      </c>
      <c r="S544" s="26">
        <f t="shared" ref="S544:S585" si="169">4002.556*1000000</f>
        <v>4002556000</v>
      </c>
      <c r="T544" s="26">
        <f t="shared" ref="T544:T585" si="170">-1634.613*1000000</f>
        <v>-1634613000</v>
      </c>
      <c r="U544" s="26">
        <f t="shared" ref="U544:U585" si="171">499.8*1000000</f>
        <v>499800000</v>
      </c>
      <c r="V544" s="26">
        <f t="shared" ref="V544:V585" si="172">2312*1000000</f>
        <v>2312000000</v>
      </c>
      <c r="W544">
        <f t="shared" ref="W544:W585" si="173">IFERROR(ABS(C544)/M544,"0")</f>
        <v>1.4006864279864878E-9</v>
      </c>
      <c r="X544">
        <f t="shared" ref="X544:X585" si="174">V544/R544</f>
        <v>0.14550031466331026</v>
      </c>
      <c r="Y544" s="9"/>
    </row>
    <row r="545" spans="1:25">
      <c r="A545" s="21">
        <v>45553</v>
      </c>
      <c r="B545" s="28">
        <v>8.6300000000000008</v>
      </c>
      <c r="C545" s="23">
        <f t="shared" si="160"/>
        <v>4.6565774155996418E-3</v>
      </c>
      <c r="D545" s="24">
        <f t="shared" si="162"/>
        <v>3.4635319307587377E-2</v>
      </c>
      <c r="E545" s="28">
        <v>8.75</v>
      </c>
      <c r="F545" s="28">
        <v>8.49</v>
      </c>
      <c r="G545" s="39">
        <f t="shared" si="163"/>
        <v>3.0162412993039414E-2</v>
      </c>
      <c r="H545" s="28">
        <v>8.66</v>
      </c>
      <c r="I545" s="28">
        <v>8.59</v>
      </c>
      <c r="J545" s="39">
        <f t="shared" si="164"/>
        <v>8.1159420289855407E-3</v>
      </c>
      <c r="K545" s="25">
        <v>2507647</v>
      </c>
      <c r="L545" s="40">
        <f t="shared" si="165"/>
        <v>561090000</v>
      </c>
      <c r="M545" s="41">
        <f t="shared" si="161"/>
        <v>21640993.610000003</v>
      </c>
      <c r="N545" s="24">
        <f t="shared" si="166"/>
        <v>561100000</v>
      </c>
      <c r="O545" s="41">
        <f t="shared" si="167"/>
        <v>4.4691623596506865E-3</v>
      </c>
      <c r="P545" s="36">
        <v>80461.34</v>
      </c>
      <c r="Q545" s="9">
        <v>0.1741</v>
      </c>
      <c r="R545" s="26">
        <f t="shared" si="168"/>
        <v>15890000000</v>
      </c>
      <c r="S545" s="26">
        <f t="shared" si="169"/>
        <v>4002556000</v>
      </c>
      <c r="T545" s="26">
        <f t="shared" si="170"/>
        <v>-1634613000</v>
      </c>
      <c r="U545" s="26">
        <f t="shared" si="171"/>
        <v>499800000</v>
      </c>
      <c r="V545" s="26">
        <f t="shared" si="172"/>
        <v>2312000000</v>
      </c>
      <c r="W545">
        <f t="shared" si="173"/>
        <v>2.1517391943814918E-10</v>
      </c>
      <c r="X545">
        <f t="shared" si="174"/>
        <v>0.14550031466331026</v>
      </c>
      <c r="Y545" s="9"/>
    </row>
    <row r="546" spans="1:25">
      <c r="A546" s="21">
        <v>45551</v>
      </c>
      <c r="B546" s="28">
        <v>8.59</v>
      </c>
      <c r="C546" s="23">
        <f t="shared" si="160"/>
        <v>-2.71800679501699E-2</v>
      </c>
      <c r="D546" s="24">
        <f t="shared" si="162"/>
        <v>3.4635319307587377E-2</v>
      </c>
      <c r="E546" s="28">
        <v>9.35</v>
      </c>
      <c r="F546" s="28">
        <v>8.5</v>
      </c>
      <c r="G546" s="39">
        <f t="shared" si="163"/>
        <v>9.5238095238095191E-2</v>
      </c>
      <c r="H546" s="28">
        <v>8.59</v>
      </c>
      <c r="I546" s="28">
        <v>8.58</v>
      </c>
      <c r="J546" s="39">
        <f t="shared" si="164"/>
        <v>1.1648223645893752E-3</v>
      </c>
      <c r="K546" s="25">
        <v>11013505</v>
      </c>
      <c r="L546" s="40">
        <f t="shared" si="165"/>
        <v>561090000</v>
      </c>
      <c r="M546" s="41">
        <f t="shared" si="161"/>
        <v>94606007.950000003</v>
      </c>
      <c r="N546" s="24">
        <f t="shared" si="166"/>
        <v>561100000</v>
      </c>
      <c r="O546" s="41">
        <f t="shared" si="167"/>
        <v>1.9628417394403849E-2</v>
      </c>
      <c r="P546" s="36">
        <v>79491.14</v>
      </c>
      <c r="Q546" s="9">
        <v>0.1741</v>
      </c>
      <c r="R546" s="26">
        <f t="shared" si="168"/>
        <v>15890000000</v>
      </c>
      <c r="S546" s="26">
        <f t="shared" si="169"/>
        <v>4002556000</v>
      </c>
      <c r="T546" s="26">
        <f t="shared" si="170"/>
        <v>-1634613000</v>
      </c>
      <c r="U546" s="26">
        <f t="shared" si="171"/>
        <v>499800000</v>
      </c>
      <c r="V546" s="26">
        <f t="shared" si="172"/>
        <v>2312000000</v>
      </c>
      <c r="W546">
        <f t="shared" si="173"/>
        <v>2.8729748288855789E-10</v>
      </c>
      <c r="X546">
        <f t="shared" si="174"/>
        <v>0.14550031466331026</v>
      </c>
      <c r="Y546" s="9"/>
    </row>
    <row r="547" spans="1:25">
      <c r="A547" s="21">
        <v>45548</v>
      </c>
      <c r="B547" s="28">
        <v>8.83</v>
      </c>
      <c r="C547" s="23">
        <f t="shared" si="160"/>
        <v>-5.561497326203204E-2</v>
      </c>
      <c r="D547" s="24">
        <f t="shared" si="162"/>
        <v>3.4635319307587377E-2</v>
      </c>
      <c r="E547" s="28">
        <v>9.7899999999999991</v>
      </c>
      <c r="F547" s="28">
        <v>8.7799999999999994</v>
      </c>
      <c r="G547" s="39">
        <f t="shared" si="163"/>
        <v>0.1087775982767905</v>
      </c>
      <c r="H547" s="28">
        <v>8.85</v>
      </c>
      <c r="I547" s="28">
        <v>8.83</v>
      </c>
      <c r="J547" s="39">
        <f t="shared" si="164"/>
        <v>2.2624434389139788E-3</v>
      </c>
      <c r="K547" s="25">
        <v>21744520</v>
      </c>
      <c r="L547" s="40">
        <f t="shared" si="165"/>
        <v>561090000</v>
      </c>
      <c r="M547" s="41">
        <f t="shared" si="161"/>
        <v>192004111.59999999</v>
      </c>
      <c r="N547" s="24">
        <f t="shared" si="166"/>
        <v>561100000</v>
      </c>
      <c r="O547" s="41">
        <f t="shared" si="167"/>
        <v>3.8753377294599892E-2</v>
      </c>
      <c r="P547" s="36">
        <v>79333.06</v>
      </c>
      <c r="Q547" s="9">
        <v>0.1741</v>
      </c>
      <c r="R547" s="26">
        <f t="shared" si="168"/>
        <v>15890000000</v>
      </c>
      <c r="S547" s="26">
        <f t="shared" si="169"/>
        <v>4002556000</v>
      </c>
      <c r="T547" s="26">
        <f t="shared" si="170"/>
        <v>-1634613000</v>
      </c>
      <c r="U547" s="26">
        <f t="shared" si="171"/>
        <v>499800000</v>
      </c>
      <c r="V547" s="26">
        <f t="shared" si="172"/>
        <v>2312000000</v>
      </c>
      <c r="W547">
        <f t="shared" si="173"/>
        <v>2.8965511622945914E-10</v>
      </c>
      <c r="X547">
        <f t="shared" si="174"/>
        <v>0.14550031466331026</v>
      </c>
      <c r="Y547" s="9"/>
    </row>
    <row r="548" spans="1:25">
      <c r="A548" s="21">
        <v>45547</v>
      </c>
      <c r="B548" s="28">
        <v>9.35</v>
      </c>
      <c r="C548" s="23">
        <f t="shared" si="160"/>
        <v>0.11976047904191617</v>
      </c>
      <c r="D548" s="24">
        <f t="shared" si="162"/>
        <v>3.4635319307587377E-2</v>
      </c>
      <c r="E548" s="28">
        <v>9.35</v>
      </c>
      <c r="F548" s="28">
        <v>8.4499999999999993</v>
      </c>
      <c r="G548" s="39">
        <f t="shared" si="163"/>
        <v>0.10112359550561803</v>
      </c>
      <c r="H548" s="28">
        <v>8.65</v>
      </c>
      <c r="I548" s="28">
        <v>9.35</v>
      </c>
      <c r="J548" s="39">
        <f t="shared" si="164"/>
        <v>-7.7777777777777696E-2</v>
      </c>
      <c r="K548" s="25">
        <v>32499453</v>
      </c>
      <c r="L548" s="40">
        <f t="shared" si="165"/>
        <v>561090000</v>
      </c>
      <c r="M548" s="41">
        <f t="shared" si="161"/>
        <v>303869885.55000001</v>
      </c>
      <c r="N548" s="24">
        <f t="shared" si="166"/>
        <v>561100000</v>
      </c>
      <c r="O548" s="41">
        <f t="shared" si="167"/>
        <v>5.7920964177508465E-2</v>
      </c>
      <c r="P548" s="36">
        <v>79017.62</v>
      </c>
      <c r="Q548" s="9">
        <v>0.1741</v>
      </c>
      <c r="R548" s="26">
        <f t="shared" si="168"/>
        <v>15890000000</v>
      </c>
      <c r="S548" s="26">
        <f t="shared" si="169"/>
        <v>4002556000</v>
      </c>
      <c r="T548" s="26">
        <f t="shared" si="170"/>
        <v>-1634613000</v>
      </c>
      <c r="U548" s="26">
        <f t="shared" si="171"/>
        <v>499800000</v>
      </c>
      <c r="V548" s="26">
        <f t="shared" si="172"/>
        <v>2312000000</v>
      </c>
      <c r="W548">
        <f t="shared" si="173"/>
        <v>3.9411762973863457E-10</v>
      </c>
      <c r="X548">
        <f t="shared" si="174"/>
        <v>0.14550031466331026</v>
      </c>
      <c r="Y548" s="9"/>
    </row>
    <row r="549" spans="1:25">
      <c r="A549" s="21">
        <v>45546</v>
      </c>
      <c r="B549" s="28">
        <v>8.35</v>
      </c>
      <c r="C549" s="23">
        <f t="shared" si="160"/>
        <v>2.4009603841536101E-3</v>
      </c>
      <c r="D549" s="24">
        <f t="shared" si="162"/>
        <v>3.4635319307587377E-2</v>
      </c>
      <c r="E549" s="28">
        <v>8.74</v>
      </c>
      <c r="F549" s="28">
        <v>8.26</v>
      </c>
      <c r="G549" s="39">
        <f t="shared" si="163"/>
        <v>5.6470588235294168E-2</v>
      </c>
      <c r="H549" s="28">
        <v>8.3699999999999992</v>
      </c>
      <c r="I549" s="28">
        <v>8.35</v>
      </c>
      <c r="J549" s="39">
        <f t="shared" si="164"/>
        <v>2.3923444976076047E-3</v>
      </c>
      <c r="K549" s="25">
        <v>3731733</v>
      </c>
      <c r="L549" s="40">
        <f t="shared" si="165"/>
        <v>561090000</v>
      </c>
      <c r="M549" s="41">
        <f t="shared" si="161"/>
        <v>31159970.549999997</v>
      </c>
      <c r="N549" s="24">
        <f t="shared" si="166"/>
        <v>561100000</v>
      </c>
      <c r="O549" s="41">
        <f t="shared" si="167"/>
        <v>6.6507449652468366E-3</v>
      </c>
      <c r="P549" s="36">
        <v>78651.8</v>
      </c>
      <c r="Q549" s="9">
        <v>0.1741</v>
      </c>
      <c r="R549" s="26">
        <f t="shared" si="168"/>
        <v>15890000000</v>
      </c>
      <c r="S549" s="26">
        <f t="shared" si="169"/>
        <v>4002556000</v>
      </c>
      <c r="T549" s="26">
        <f t="shared" si="170"/>
        <v>-1634613000</v>
      </c>
      <c r="U549" s="26">
        <f t="shared" si="171"/>
        <v>499800000</v>
      </c>
      <c r="V549" s="26">
        <f t="shared" si="172"/>
        <v>2312000000</v>
      </c>
      <c r="W549">
        <f t="shared" si="173"/>
        <v>7.7052716731582741E-11</v>
      </c>
      <c r="X549">
        <f t="shared" si="174"/>
        <v>0.14550031466331026</v>
      </c>
      <c r="Y549" s="9"/>
    </row>
    <row r="550" spans="1:25">
      <c r="A550" s="21">
        <v>45545</v>
      </c>
      <c r="B550" s="28">
        <v>8.33</v>
      </c>
      <c r="C550" s="23">
        <f t="shared" si="160"/>
        <v>-7.1513706793802732E-3</v>
      </c>
      <c r="D550" s="24">
        <f t="shared" si="162"/>
        <v>3.4635319307587377E-2</v>
      </c>
      <c r="E550" s="28">
        <v>8.5</v>
      </c>
      <c r="F550" s="28">
        <v>8.25</v>
      </c>
      <c r="G550" s="39">
        <f t="shared" si="163"/>
        <v>2.9850746268656716E-2</v>
      </c>
      <c r="H550" s="28">
        <v>8.4</v>
      </c>
      <c r="I550" s="28">
        <v>8.35</v>
      </c>
      <c r="J550" s="39">
        <f t="shared" si="164"/>
        <v>5.9701492537314283E-3</v>
      </c>
      <c r="K550" s="25">
        <v>1114362</v>
      </c>
      <c r="L550" s="40">
        <f t="shared" si="165"/>
        <v>561090000</v>
      </c>
      <c r="M550" s="41">
        <f t="shared" si="161"/>
        <v>9282635.4600000009</v>
      </c>
      <c r="N550" s="24">
        <f t="shared" si="166"/>
        <v>561100000</v>
      </c>
      <c r="O550" s="41">
        <f t="shared" si="167"/>
        <v>1.9860310105150598E-3</v>
      </c>
      <c r="P550" s="36">
        <v>79286.740000000005</v>
      </c>
      <c r="Q550" s="9">
        <v>0.1741</v>
      </c>
      <c r="R550" s="26">
        <f t="shared" si="168"/>
        <v>15890000000</v>
      </c>
      <c r="S550" s="26">
        <f t="shared" si="169"/>
        <v>4002556000</v>
      </c>
      <c r="T550" s="26">
        <f t="shared" si="170"/>
        <v>-1634613000</v>
      </c>
      <c r="U550" s="26">
        <f t="shared" si="171"/>
        <v>499800000</v>
      </c>
      <c r="V550" s="26">
        <f t="shared" si="172"/>
        <v>2312000000</v>
      </c>
      <c r="W550">
        <f t="shared" si="173"/>
        <v>7.7040305096504048E-10</v>
      </c>
      <c r="X550">
        <f t="shared" si="174"/>
        <v>0.14550031466331026</v>
      </c>
      <c r="Y550" s="9"/>
    </row>
    <row r="551" spans="1:25">
      <c r="A551" s="21">
        <v>45544</v>
      </c>
      <c r="B551" s="28">
        <v>8.39</v>
      </c>
      <c r="C551" s="23">
        <f t="shared" si="160"/>
        <v>-9.4451003541912715E-3</v>
      </c>
      <c r="D551" s="24">
        <f t="shared" si="162"/>
        <v>3.4635319307587377E-2</v>
      </c>
      <c r="E551" s="28">
        <v>8.5500000000000007</v>
      </c>
      <c r="F551" s="28">
        <v>8.24</v>
      </c>
      <c r="G551" s="39">
        <f t="shared" si="163"/>
        <v>3.6926742108397914E-2</v>
      </c>
      <c r="H551" s="28">
        <v>8.44</v>
      </c>
      <c r="I551" s="28">
        <v>8.42</v>
      </c>
      <c r="J551" s="39">
        <f t="shared" si="164"/>
        <v>2.3724792408065924E-3</v>
      </c>
      <c r="K551" s="25">
        <v>2417525</v>
      </c>
      <c r="L551" s="40">
        <f t="shared" si="165"/>
        <v>561090000</v>
      </c>
      <c r="M551" s="41">
        <f t="shared" si="161"/>
        <v>20283034.75</v>
      </c>
      <c r="N551" s="24">
        <f t="shared" si="166"/>
        <v>561100000</v>
      </c>
      <c r="O551" s="41">
        <f t="shared" si="167"/>
        <v>4.3085457137765105E-3</v>
      </c>
      <c r="P551" s="36">
        <v>78615</v>
      </c>
      <c r="Q551" s="9">
        <v>0.1741</v>
      </c>
      <c r="R551" s="26">
        <f t="shared" si="168"/>
        <v>15890000000</v>
      </c>
      <c r="S551" s="26">
        <f t="shared" si="169"/>
        <v>4002556000</v>
      </c>
      <c r="T551" s="26">
        <f t="shared" si="170"/>
        <v>-1634613000</v>
      </c>
      <c r="U551" s="26">
        <f t="shared" si="171"/>
        <v>499800000</v>
      </c>
      <c r="V551" s="26">
        <f t="shared" si="172"/>
        <v>2312000000</v>
      </c>
      <c r="W551">
        <f t="shared" si="173"/>
        <v>4.6566504818472845E-10</v>
      </c>
      <c r="X551">
        <f t="shared" si="174"/>
        <v>0.14550031466331026</v>
      </c>
      <c r="Y551" s="9"/>
    </row>
    <row r="552" spans="1:25">
      <c r="A552" s="21">
        <v>45541</v>
      </c>
      <c r="B552" s="28">
        <v>8.4700000000000006</v>
      </c>
      <c r="C552" s="23">
        <f t="shared" si="160"/>
        <v>-1.5116279069767327E-2</v>
      </c>
      <c r="D552" s="24">
        <f t="shared" si="162"/>
        <v>3.4635319307587377E-2</v>
      </c>
      <c r="E552" s="28">
        <v>8.83</v>
      </c>
      <c r="F552" s="28">
        <v>8.4600000000000009</v>
      </c>
      <c r="G552" s="39">
        <f t="shared" si="163"/>
        <v>4.2799305957200606E-2</v>
      </c>
      <c r="H552" s="28">
        <v>8.49</v>
      </c>
      <c r="I552" s="28">
        <v>8.48</v>
      </c>
      <c r="J552" s="39">
        <f t="shared" si="164"/>
        <v>1.1785503830288495E-3</v>
      </c>
      <c r="K552" s="25">
        <v>1887880</v>
      </c>
      <c r="L552" s="40">
        <f t="shared" si="165"/>
        <v>561090000</v>
      </c>
      <c r="M552" s="41">
        <f t="shared" si="161"/>
        <v>15990343.600000001</v>
      </c>
      <c r="N552" s="24">
        <f t="shared" si="166"/>
        <v>561100000</v>
      </c>
      <c r="O552" s="41">
        <f t="shared" si="167"/>
        <v>3.3646052397077169E-3</v>
      </c>
      <c r="P552" s="36">
        <v>78897.73</v>
      </c>
      <c r="Q552" s="9">
        <v>0.1741</v>
      </c>
      <c r="R552" s="26">
        <f t="shared" si="168"/>
        <v>15890000000</v>
      </c>
      <c r="S552" s="26">
        <f t="shared" si="169"/>
        <v>4002556000</v>
      </c>
      <c r="T552" s="26">
        <f t="shared" si="170"/>
        <v>-1634613000</v>
      </c>
      <c r="U552" s="26">
        <f t="shared" si="171"/>
        <v>499800000</v>
      </c>
      <c r="V552" s="26">
        <f t="shared" si="172"/>
        <v>2312000000</v>
      </c>
      <c r="W552">
        <f t="shared" si="173"/>
        <v>9.4533797696300438E-10</v>
      </c>
      <c r="X552">
        <f t="shared" si="174"/>
        <v>0.14550031466331026</v>
      </c>
      <c r="Y552" s="9"/>
    </row>
    <row r="553" spans="1:25">
      <c r="A553" s="21">
        <v>45540</v>
      </c>
      <c r="B553" s="28">
        <v>8.6</v>
      </c>
      <c r="C553" s="23">
        <f t="shared" si="160"/>
        <v>9.3896713615023563E-3</v>
      </c>
      <c r="D553" s="24">
        <f t="shared" si="162"/>
        <v>3.4635319307587377E-2</v>
      </c>
      <c r="E553" s="28">
        <v>8.8699999999999992</v>
      </c>
      <c r="F553" s="28">
        <v>8.57</v>
      </c>
      <c r="G553" s="39">
        <f t="shared" si="163"/>
        <v>3.4403669724770526E-2</v>
      </c>
      <c r="H553" s="28">
        <v>8.6999999999999993</v>
      </c>
      <c r="I553" s="28">
        <v>8.68</v>
      </c>
      <c r="J553" s="39">
        <f t="shared" si="164"/>
        <v>2.3014959723819993E-3</v>
      </c>
      <c r="K553" s="25">
        <v>4639430</v>
      </c>
      <c r="L553" s="40">
        <f t="shared" si="165"/>
        <v>561090000</v>
      </c>
      <c r="M553" s="41">
        <f t="shared" si="161"/>
        <v>39899098</v>
      </c>
      <c r="N553" s="24">
        <f t="shared" si="166"/>
        <v>561100000</v>
      </c>
      <c r="O553" s="41">
        <f t="shared" si="167"/>
        <v>8.2684548208875417E-3</v>
      </c>
      <c r="P553" s="36">
        <v>78863.34</v>
      </c>
      <c r="Q553" s="9">
        <v>0.1741</v>
      </c>
      <c r="R553" s="26">
        <f t="shared" si="168"/>
        <v>15890000000</v>
      </c>
      <c r="S553" s="26">
        <f t="shared" si="169"/>
        <v>4002556000</v>
      </c>
      <c r="T553" s="26">
        <f t="shared" si="170"/>
        <v>-1634613000</v>
      </c>
      <c r="U553" s="26">
        <f t="shared" si="171"/>
        <v>499800000</v>
      </c>
      <c r="V553" s="26">
        <f t="shared" si="172"/>
        <v>2312000000</v>
      </c>
      <c r="W553">
        <f t="shared" si="173"/>
        <v>2.3533542942505508E-10</v>
      </c>
      <c r="X553">
        <f t="shared" si="174"/>
        <v>0.14550031466331026</v>
      </c>
      <c r="Y553" s="9"/>
    </row>
    <row r="554" spans="1:25">
      <c r="A554" s="21">
        <v>45539</v>
      </c>
      <c r="B554" s="28">
        <v>8.52</v>
      </c>
      <c r="C554" s="23">
        <f t="shared" si="160"/>
        <v>2.527075812274357E-2</v>
      </c>
      <c r="D554" s="24">
        <f t="shared" si="162"/>
        <v>3.4635319307587377E-2</v>
      </c>
      <c r="E554" s="28">
        <v>8.7200000000000006</v>
      </c>
      <c r="F554" s="28">
        <v>8.2799999999999994</v>
      </c>
      <c r="G554" s="39">
        <f t="shared" si="163"/>
        <v>5.1764705882353095E-2</v>
      </c>
      <c r="H554" s="28">
        <v>8.5500000000000007</v>
      </c>
      <c r="I554" s="28">
        <v>8.5399999999999991</v>
      </c>
      <c r="J554" s="39">
        <f t="shared" si="164"/>
        <v>1.1702750146286207E-3</v>
      </c>
      <c r="K554" s="25">
        <v>5119403</v>
      </c>
      <c r="L554" s="40">
        <f t="shared" si="165"/>
        <v>561090000</v>
      </c>
      <c r="M554" s="41">
        <f t="shared" si="161"/>
        <v>43617313.559999995</v>
      </c>
      <c r="N554" s="24">
        <f t="shared" si="166"/>
        <v>561100000</v>
      </c>
      <c r="O554" s="41">
        <f t="shared" si="167"/>
        <v>9.1238691855284257E-3</v>
      </c>
      <c r="P554" s="36">
        <v>78848.009999999995</v>
      </c>
      <c r="Q554" s="9">
        <v>0.1741</v>
      </c>
      <c r="R554" s="26">
        <f t="shared" si="168"/>
        <v>15890000000</v>
      </c>
      <c r="S554" s="26">
        <f t="shared" si="169"/>
        <v>4002556000</v>
      </c>
      <c r="T554" s="26">
        <f t="shared" si="170"/>
        <v>-1634613000</v>
      </c>
      <c r="U554" s="26">
        <f t="shared" si="171"/>
        <v>499800000</v>
      </c>
      <c r="V554" s="26">
        <f t="shared" si="172"/>
        <v>2312000000</v>
      </c>
      <c r="W554">
        <f t="shared" si="173"/>
        <v>5.7937447449580097E-10</v>
      </c>
      <c r="X554">
        <f t="shared" si="174"/>
        <v>0.14550031466331026</v>
      </c>
      <c r="Y554" s="9"/>
    </row>
    <row r="555" spans="1:25">
      <c r="A555" s="21">
        <v>45538</v>
      </c>
      <c r="B555" s="28">
        <v>8.31</v>
      </c>
      <c r="C555" s="23">
        <f t="shared" si="160"/>
        <v>1.204819277108408E-3</v>
      </c>
      <c r="D555" s="24">
        <f t="shared" si="162"/>
        <v>3.4635319307587377E-2</v>
      </c>
      <c r="E555" s="28">
        <v>8.39</v>
      </c>
      <c r="F555" s="28">
        <v>8.25</v>
      </c>
      <c r="G555" s="39">
        <f t="shared" si="163"/>
        <v>1.6826923076923146E-2</v>
      </c>
      <c r="H555" s="28">
        <v>8.34</v>
      </c>
      <c r="I555" s="28">
        <v>8.33</v>
      </c>
      <c r="J555" s="39">
        <f t="shared" si="164"/>
        <v>1.1997600479903762E-3</v>
      </c>
      <c r="K555" s="25">
        <v>1154469</v>
      </c>
      <c r="L555" s="40">
        <f t="shared" si="165"/>
        <v>561090000</v>
      </c>
      <c r="M555" s="41">
        <f t="shared" si="161"/>
        <v>9593637.3900000006</v>
      </c>
      <c r="N555" s="24">
        <f t="shared" si="166"/>
        <v>561100000</v>
      </c>
      <c r="O555" s="41">
        <f t="shared" si="167"/>
        <v>2.0575102477276776E-3</v>
      </c>
      <c r="P555" s="36">
        <v>78356.320000000007</v>
      </c>
      <c r="Q555" s="9">
        <v>0.17469999999999999</v>
      </c>
      <c r="R555" s="26">
        <f t="shared" si="168"/>
        <v>15890000000</v>
      </c>
      <c r="S555" s="26">
        <f t="shared" si="169"/>
        <v>4002556000</v>
      </c>
      <c r="T555" s="26">
        <f t="shared" si="170"/>
        <v>-1634613000</v>
      </c>
      <c r="U555" s="26">
        <f t="shared" si="171"/>
        <v>499800000</v>
      </c>
      <c r="V555" s="26">
        <f t="shared" si="172"/>
        <v>2312000000</v>
      </c>
      <c r="W555">
        <f t="shared" si="173"/>
        <v>1.2558524239870274E-10</v>
      </c>
      <c r="X555">
        <f t="shared" si="174"/>
        <v>0.14550031466331026</v>
      </c>
      <c r="Y555" s="9"/>
    </row>
    <row r="556" spans="1:25">
      <c r="A556" s="21">
        <v>45537</v>
      </c>
      <c r="B556" s="28">
        <v>8.3000000000000007</v>
      </c>
      <c r="C556" s="23">
        <f t="shared" si="160"/>
        <v>-3.4883720930232433E-2</v>
      </c>
      <c r="D556" s="24">
        <f t="shared" si="162"/>
        <v>3.4635319307587377E-2</v>
      </c>
      <c r="E556" s="28">
        <v>8.6999999999999993</v>
      </c>
      <c r="F556" s="28">
        <v>8.24</v>
      </c>
      <c r="G556" s="39">
        <f t="shared" si="163"/>
        <v>5.4309327036599665E-2</v>
      </c>
      <c r="H556" s="28">
        <v>8.35</v>
      </c>
      <c r="I556" s="28">
        <v>8.3000000000000007</v>
      </c>
      <c r="J556" s="39">
        <f t="shared" si="164"/>
        <v>6.0060060060058785E-3</v>
      </c>
      <c r="K556" s="25">
        <v>4135913</v>
      </c>
      <c r="L556" s="40">
        <f t="shared" si="165"/>
        <v>561090000</v>
      </c>
      <c r="M556" s="41">
        <f t="shared" si="161"/>
        <v>34328077.900000006</v>
      </c>
      <c r="N556" s="24">
        <f t="shared" si="166"/>
        <v>561100000</v>
      </c>
      <c r="O556" s="41">
        <f t="shared" si="167"/>
        <v>7.3710800213865621E-3</v>
      </c>
      <c r="P556" s="36">
        <v>78283.3</v>
      </c>
      <c r="Q556" s="9">
        <v>0.17469999999999999</v>
      </c>
      <c r="R556" s="26">
        <f t="shared" si="168"/>
        <v>15890000000</v>
      </c>
      <c r="S556" s="26">
        <f t="shared" si="169"/>
        <v>4002556000</v>
      </c>
      <c r="T556" s="26">
        <f t="shared" si="170"/>
        <v>-1634613000</v>
      </c>
      <c r="U556" s="26">
        <f t="shared" si="171"/>
        <v>499800000</v>
      </c>
      <c r="V556" s="26">
        <f t="shared" si="172"/>
        <v>2312000000</v>
      </c>
      <c r="W556">
        <f t="shared" si="173"/>
        <v>1.0161862552238156E-9</v>
      </c>
      <c r="X556">
        <f t="shared" si="174"/>
        <v>0.14550031466331026</v>
      </c>
      <c r="Y556" s="9"/>
    </row>
    <row r="557" spans="1:25">
      <c r="A557" s="21">
        <v>45534</v>
      </c>
      <c r="B557" s="28">
        <v>8.6</v>
      </c>
      <c r="C557" s="23">
        <f t="shared" si="160"/>
        <v>2.2592152199762128E-2</v>
      </c>
      <c r="D557" s="24">
        <f t="shared" si="162"/>
        <v>3.4635319307587377E-2</v>
      </c>
      <c r="E557" s="28">
        <v>8.9499999999999993</v>
      </c>
      <c r="F557" s="28">
        <v>8.4499999999999993</v>
      </c>
      <c r="G557" s="39">
        <f t="shared" si="163"/>
        <v>5.7471264367816098E-2</v>
      </c>
      <c r="H557" s="28">
        <v>8.64</v>
      </c>
      <c r="I557" s="28">
        <v>8.6199999999999992</v>
      </c>
      <c r="J557" s="39">
        <f t="shared" si="164"/>
        <v>2.3174971031287776E-3</v>
      </c>
      <c r="K557" s="25">
        <v>9658398</v>
      </c>
      <c r="L557" s="40">
        <f t="shared" si="165"/>
        <v>561090000</v>
      </c>
      <c r="M557" s="41">
        <f t="shared" si="161"/>
        <v>83062222.799999997</v>
      </c>
      <c r="N557" s="24">
        <f t="shared" si="166"/>
        <v>561100000</v>
      </c>
      <c r="O557" s="41">
        <f t="shared" si="167"/>
        <v>1.7213327392621637E-2</v>
      </c>
      <c r="P557" s="36">
        <v>78488.22</v>
      </c>
      <c r="Q557" s="9">
        <v>0.17469999999999999</v>
      </c>
      <c r="R557" s="26">
        <f t="shared" si="168"/>
        <v>15890000000</v>
      </c>
      <c r="S557" s="26">
        <f t="shared" si="169"/>
        <v>4002556000</v>
      </c>
      <c r="T557" s="26">
        <f t="shared" si="170"/>
        <v>-1634613000</v>
      </c>
      <c r="U557" s="26">
        <f t="shared" si="171"/>
        <v>499800000</v>
      </c>
      <c r="V557" s="26">
        <f t="shared" si="172"/>
        <v>2312000000</v>
      </c>
      <c r="W557">
        <f t="shared" si="173"/>
        <v>2.7199070092501941E-10</v>
      </c>
      <c r="X557">
        <f t="shared" si="174"/>
        <v>0.14550031466331026</v>
      </c>
      <c r="Y557" s="9"/>
    </row>
    <row r="558" spans="1:25">
      <c r="A558" s="21">
        <v>45533</v>
      </c>
      <c r="B558" s="28">
        <v>8.41</v>
      </c>
      <c r="C558" s="23">
        <f t="shared" si="160"/>
        <v>3.8271604938271669E-2</v>
      </c>
      <c r="D558" s="24">
        <f t="shared" si="162"/>
        <v>3.4635319307587377E-2</v>
      </c>
      <c r="E558" s="28">
        <v>8.75</v>
      </c>
      <c r="F558" s="28">
        <v>8.0299999999999994</v>
      </c>
      <c r="G558" s="39">
        <f t="shared" si="163"/>
        <v>8.5816448152562647E-2</v>
      </c>
      <c r="H558" s="28">
        <v>8.4600000000000009</v>
      </c>
      <c r="I558" s="28">
        <v>8.4499999999999993</v>
      </c>
      <c r="J558" s="39">
        <f t="shared" si="164"/>
        <v>1.1827321111770033E-3</v>
      </c>
      <c r="K558" s="25">
        <v>7932911</v>
      </c>
      <c r="L558" s="40">
        <f t="shared" si="165"/>
        <v>561090000</v>
      </c>
      <c r="M558" s="41">
        <f t="shared" si="161"/>
        <v>66715781.509999998</v>
      </c>
      <c r="N558" s="24">
        <f t="shared" si="166"/>
        <v>561100000</v>
      </c>
      <c r="O558" s="41">
        <f t="shared" si="167"/>
        <v>1.4138141151309926E-2</v>
      </c>
      <c r="P558" s="36">
        <v>78349.66</v>
      </c>
      <c r="Q558" s="9">
        <v>0.17469999999999999</v>
      </c>
      <c r="R558" s="26">
        <f t="shared" si="168"/>
        <v>15890000000</v>
      </c>
      <c r="S558" s="26">
        <f t="shared" si="169"/>
        <v>4002556000</v>
      </c>
      <c r="T558" s="26">
        <f t="shared" si="170"/>
        <v>-1634613000</v>
      </c>
      <c r="U558" s="26">
        <f t="shared" si="171"/>
        <v>499800000</v>
      </c>
      <c r="V558" s="26">
        <f t="shared" si="172"/>
        <v>2312000000</v>
      </c>
      <c r="W558">
        <f t="shared" si="173"/>
        <v>5.7365145205613994E-10</v>
      </c>
      <c r="X558">
        <f t="shared" si="174"/>
        <v>0.14550031466331026</v>
      </c>
      <c r="Y558" s="9"/>
    </row>
    <row r="559" spans="1:25">
      <c r="A559" s="21">
        <v>45532</v>
      </c>
      <c r="B559" s="28">
        <v>8.1</v>
      </c>
      <c r="C559" s="23">
        <f t="shared" si="160"/>
        <v>-1.3398294762484921E-2</v>
      </c>
      <c r="D559" s="24">
        <f t="shared" si="162"/>
        <v>3.4635319307587377E-2</v>
      </c>
      <c r="E559" s="28">
        <v>8.33</v>
      </c>
      <c r="F559" s="28">
        <v>8.0399999999999991</v>
      </c>
      <c r="G559" s="39">
        <f t="shared" si="163"/>
        <v>3.5430665852168718E-2</v>
      </c>
      <c r="H559" s="28">
        <v>8.11</v>
      </c>
      <c r="I559" s="28">
        <v>8.1</v>
      </c>
      <c r="J559" s="39">
        <f t="shared" si="164"/>
        <v>1.2338062924120649E-3</v>
      </c>
      <c r="K559" s="25">
        <v>1183946</v>
      </c>
      <c r="L559" s="40">
        <f t="shared" si="165"/>
        <v>561090000</v>
      </c>
      <c r="M559" s="41">
        <f t="shared" si="161"/>
        <v>9589962.5999999996</v>
      </c>
      <c r="N559" s="24">
        <f t="shared" si="166"/>
        <v>561100000</v>
      </c>
      <c r="O559" s="41">
        <f t="shared" si="167"/>
        <v>2.1100445553377295E-3</v>
      </c>
      <c r="P559" s="36">
        <v>77992.789999999994</v>
      </c>
      <c r="Q559" s="9">
        <v>0.17469999999999999</v>
      </c>
      <c r="R559" s="26">
        <f t="shared" si="168"/>
        <v>15890000000</v>
      </c>
      <c r="S559" s="26">
        <f t="shared" si="169"/>
        <v>4002556000</v>
      </c>
      <c r="T559" s="26">
        <f t="shared" si="170"/>
        <v>-1634613000</v>
      </c>
      <c r="U559" s="26">
        <f t="shared" si="171"/>
        <v>499800000</v>
      </c>
      <c r="V559" s="26">
        <f t="shared" si="172"/>
        <v>2312000000</v>
      </c>
      <c r="W559">
        <f t="shared" si="173"/>
        <v>1.397116477022019E-9</v>
      </c>
      <c r="X559">
        <f t="shared" si="174"/>
        <v>0.14550031466331026</v>
      </c>
      <c r="Y559" s="9"/>
    </row>
    <row r="560" spans="1:25">
      <c r="A560" s="21">
        <v>45531</v>
      </c>
      <c r="B560" s="28">
        <v>8.2100000000000009</v>
      </c>
      <c r="C560" s="23">
        <f t="shared" si="160"/>
        <v>-1.4405762304921875E-2</v>
      </c>
      <c r="D560" s="24">
        <f t="shared" si="162"/>
        <v>3.4635319307587377E-2</v>
      </c>
      <c r="E560" s="28">
        <v>8.4</v>
      </c>
      <c r="F560" s="28">
        <v>8.17</v>
      </c>
      <c r="G560" s="39">
        <f t="shared" si="163"/>
        <v>2.7761013880506991E-2</v>
      </c>
      <c r="H560" s="28">
        <v>8.1999999999999993</v>
      </c>
      <c r="I560" s="28">
        <v>8.19</v>
      </c>
      <c r="J560" s="39">
        <f t="shared" si="164"/>
        <v>1.2202562538132747E-3</v>
      </c>
      <c r="K560" s="25">
        <v>1081338</v>
      </c>
      <c r="L560" s="40">
        <f t="shared" si="165"/>
        <v>561090000</v>
      </c>
      <c r="M560" s="41">
        <f t="shared" si="161"/>
        <v>8877784.9800000004</v>
      </c>
      <c r="N560" s="24">
        <f t="shared" si="166"/>
        <v>561100000</v>
      </c>
      <c r="O560" s="41">
        <f t="shared" si="167"/>
        <v>1.9271751915879523E-3</v>
      </c>
      <c r="P560" s="36">
        <v>78084.240000000005</v>
      </c>
      <c r="Q560" s="9">
        <v>0.17469999999999999</v>
      </c>
      <c r="R560" s="26">
        <f t="shared" si="168"/>
        <v>15890000000</v>
      </c>
      <c r="S560" s="26">
        <f t="shared" si="169"/>
        <v>4002556000</v>
      </c>
      <c r="T560" s="26">
        <f t="shared" si="170"/>
        <v>-1634613000</v>
      </c>
      <c r="U560" s="26">
        <f t="shared" si="171"/>
        <v>499800000</v>
      </c>
      <c r="V560" s="26">
        <f t="shared" si="172"/>
        <v>2312000000</v>
      </c>
      <c r="W560">
        <f t="shared" si="173"/>
        <v>1.6226752886418606E-9</v>
      </c>
      <c r="X560">
        <f t="shared" si="174"/>
        <v>0.14550031466331026</v>
      </c>
      <c r="Y560" s="9"/>
    </row>
    <row r="561" spans="1:25">
      <c r="A561" s="21">
        <v>45530</v>
      </c>
      <c r="B561" s="28">
        <v>8.33</v>
      </c>
      <c r="C561" s="23">
        <f t="shared" si="160"/>
        <v>-1.0688836104513048E-2</v>
      </c>
      <c r="D561" s="24">
        <f t="shared" si="162"/>
        <v>3.4635319307587377E-2</v>
      </c>
      <c r="E561" s="28">
        <v>8.6300000000000008</v>
      </c>
      <c r="F561" s="28">
        <v>8.3000000000000007</v>
      </c>
      <c r="G561" s="39">
        <f t="shared" si="163"/>
        <v>3.898405197873598E-2</v>
      </c>
      <c r="H561" s="28">
        <v>8.35</v>
      </c>
      <c r="I561" s="28">
        <v>8.32</v>
      </c>
      <c r="J561" s="39">
        <f t="shared" si="164"/>
        <v>3.5992801439711287E-3</v>
      </c>
      <c r="K561" s="25">
        <v>1861573</v>
      </c>
      <c r="L561" s="40">
        <f t="shared" si="165"/>
        <v>561090000</v>
      </c>
      <c r="M561" s="41">
        <f t="shared" si="161"/>
        <v>15506903.09</v>
      </c>
      <c r="N561" s="24">
        <f t="shared" si="166"/>
        <v>561100000</v>
      </c>
      <c r="O561" s="41">
        <f t="shared" si="167"/>
        <v>3.317720548921761E-3</v>
      </c>
      <c r="P561" s="36">
        <v>78571.06</v>
      </c>
      <c r="Q561" s="9">
        <v>0.17469999999999999</v>
      </c>
      <c r="R561" s="26">
        <f t="shared" si="168"/>
        <v>15890000000</v>
      </c>
      <c r="S561" s="26">
        <f t="shared" si="169"/>
        <v>4002556000</v>
      </c>
      <c r="T561" s="26">
        <f t="shared" si="170"/>
        <v>-1634613000</v>
      </c>
      <c r="U561" s="26">
        <f t="shared" si="171"/>
        <v>499800000</v>
      </c>
      <c r="V561" s="26">
        <f t="shared" si="172"/>
        <v>2312000000</v>
      </c>
      <c r="W561">
        <f t="shared" si="173"/>
        <v>6.8929534430417643E-10</v>
      </c>
      <c r="X561">
        <f t="shared" si="174"/>
        <v>0.14550031466331026</v>
      </c>
      <c r="Y561" s="9"/>
    </row>
    <row r="562" spans="1:25">
      <c r="A562" s="21">
        <v>45527</v>
      </c>
      <c r="B562" s="28">
        <v>8.42</v>
      </c>
      <c r="C562" s="23">
        <f t="shared" si="160"/>
        <v>0</v>
      </c>
      <c r="D562" s="24">
        <f t="shared" si="162"/>
        <v>3.4635319307587377E-2</v>
      </c>
      <c r="E562" s="28">
        <v>8.67</v>
      </c>
      <c r="F562" s="28">
        <v>8.39</v>
      </c>
      <c r="G562" s="39">
        <f t="shared" si="163"/>
        <v>3.2825322391559122E-2</v>
      </c>
      <c r="H562" s="28">
        <v>8.44</v>
      </c>
      <c r="I562" s="28">
        <v>8.42</v>
      </c>
      <c r="J562" s="39">
        <f t="shared" si="164"/>
        <v>2.3724792408065924E-3</v>
      </c>
      <c r="K562" s="25">
        <v>3198641</v>
      </c>
      <c r="L562" s="40">
        <f t="shared" si="165"/>
        <v>561090000</v>
      </c>
      <c r="M562" s="41">
        <f t="shared" si="161"/>
        <v>26932557.219999999</v>
      </c>
      <c r="N562" s="24">
        <f t="shared" si="166"/>
        <v>561100000</v>
      </c>
      <c r="O562" s="41">
        <f t="shared" si="167"/>
        <v>5.7006612012119049E-3</v>
      </c>
      <c r="P562" s="36">
        <v>78801.429999999993</v>
      </c>
      <c r="Q562" s="9">
        <v>0.17469999999999999</v>
      </c>
      <c r="R562" s="26">
        <f t="shared" si="168"/>
        <v>15890000000</v>
      </c>
      <c r="S562" s="26">
        <f t="shared" si="169"/>
        <v>4002556000</v>
      </c>
      <c r="T562" s="26">
        <f t="shared" si="170"/>
        <v>-1634613000</v>
      </c>
      <c r="U562" s="26">
        <f t="shared" si="171"/>
        <v>499800000</v>
      </c>
      <c r="V562" s="26">
        <f t="shared" si="172"/>
        <v>2312000000</v>
      </c>
      <c r="W562">
        <f t="shared" si="173"/>
        <v>0</v>
      </c>
      <c r="X562">
        <f t="shared" si="174"/>
        <v>0.14550031466331026</v>
      </c>
      <c r="Y562" s="9"/>
    </row>
    <row r="563" spans="1:25">
      <c r="A563" s="21">
        <v>45526</v>
      </c>
      <c r="B563" s="28">
        <v>8.42</v>
      </c>
      <c r="C563" s="23">
        <f t="shared" si="160"/>
        <v>1.445783132530111E-2</v>
      </c>
      <c r="D563" s="24">
        <f t="shared" si="162"/>
        <v>3.4635319307587377E-2</v>
      </c>
      <c r="E563" s="28">
        <v>8.74</v>
      </c>
      <c r="F563" s="28">
        <v>8.1999999999999993</v>
      </c>
      <c r="G563" s="39">
        <f t="shared" si="163"/>
        <v>6.3754427390791138E-2</v>
      </c>
      <c r="H563" s="28">
        <v>8.39</v>
      </c>
      <c r="I563" s="28">
        <v>8.3800000000000008</v>
      </c>
      <c r="J563" s="39">
        <f t="shared" si="164"/>
        <v>1.1926058437686088E-3</v>
      </c>
      <c r="K563" s="25">
        <v>9486143</v>
      </c>
      <c r="L563" s="40">
        <f t="shared" si="165"/>
        <v>561090000</v>
      </c>
      <c r="M563" s="41">
        <f t="shared" si="161"/>
        <v>79873324.060000002</v>
      </c>
      <c r="N563" s="24">
        <f t="shared" si="166"/>
        <v>561100000</v>
      </c>
      <c r="O563" s="41">
        <f t="shared" si="167"/>
        <v>1.6906332204598112E-2</v>
      </c>
      <c r="P563" s="36">
        <v>78793.41</v>
      </c>
      <c r="Q563" s="9">
        <v>0.17469999999999999</v>
      </c>
      <c r="R563" s="26">
        <f t="shared" si="168"/>
        <v>15890000000</v>
      </c>
      <c r="S563" s="26">
        <f t="shared" si="169"/>
        <v>4002556000</v>
      </c>
      <c r="T563" s="26">
        <f t="shared" si="170"/>
        <v>-1634613000</v>
      </c>
      <c r="U563" s="26">
        <f t="shared" si="171"/>
        <v>499800000</v>
      </c>
      <c r="V563" s="26">
        <f t="shared" si="172"/>
        <v>2312000000</v>
      </c>
      <c r="W563">
        <f t="shared" si="173"/>
        <v>1.8100951094060563E-10</v>
      </c>
      <c r="X563">
        <f t="shared" si="174"/>
        <v>0.14550031466331026</v>
      </c>
      <c r="Y563" s="9"/>
    </row>
    <row r="564" spans="1:25">
      <c r="A564" s="21">
        <v>45525</v>
      </c>
      <c r="B564" s="28">
        <v>8.3000000000000007</v>
      </c>
      <c r="C564" s="23">
        <f t="shared" si="160"/>
        <v>4.0100250626566449E-2</v>
      </c>
      <c r="D564" s="24">
        <f t="shared" si="162"/>
        <v>3.4635319307587377E-2</v>
      </c>
      <c r="E564" s="28">
        <v>8.4</v>
      </c>
      <c r="F564" s="28">
        <v>8.02</v>
      </c>
      <c r="G564" s="39">
        <f t="shared" si="163"/>
        <v>4.6285018270402038E-2</v>
      </c>
      <c r="H564" s="28">
        <v>8.1999999999999993</v>
      </c>
      <c r="I564" s="28">
        <v>8.18</v>
      </c>
      <c r="J564" s="39">
        <f t="shared" si="164"/>
        <v>2.44200244200239E-3</v>
      </c>
      <c r="K564" s="25">
        <v>2989618</v>
      </c>
      <c r="L564" s="40">
        <f t="shared" si="165"/>
        <v>561090000</v>
      </c>
      <c r="M564" s="41">
        <f t="shared" si="161"/>
        <v>24813829.400000002</v>
      </c>
      <c r="N564" s="24">
        <f t="shared" si="166"/>
        <v>561100000</v>
      </c>
      <c r="O564" s="41">
        <f t="shared" si="167"/>
        <v>5.3281375868829087E-3</v>
      </c>
      <c r="P564" s="36">
        <v>78260.86</v>
      </c>
      <c r="Q564" s="9">
        <v>0.17469999999999999</v>
      </c>
      <c r="R564" s="26">
        <f t="shared" si="168"/>
        <v>15890000000</v>
      </c>
      <c r="S564" s="26">
        <f t="shared" si="169"/>
        <v>4002556000</v>
      </c>
      <c r="T564" s="26">
        <f t="shared" si="170"/>
        <v>-1634613000</v>
      </c>
      <c r="U564" s="26">
        <f t="shared" si="171"/>
        <v>499800000</v>
      </c>
      <c r="V564" s="26">
        <f t="shared" si="172"/>
        <v>2312000000</v>
      </c>
      <c r="W564">
        <f t="shared" si="173"/>
        <v>1.6160444234603486E-9</v>
      </c>
      <c r="X564">
        <f t="shared" si="174"/>
        <v>0.14550031466331026</v>
      </c>
      <c r="Y564" s="9"/>
    </row>
    <row r="565" spans="1:25">
      <c r="A565" s="21">
        <v>45524</v>
      </c>
      <c r="B565" s="28">
        <v>7.98</v>
      </c>
      <c r="C565" s="23">
        <f t="shared" si="160"/>
        <v>-7.4626865671640211E-3</v>
      </c>
      <c r="D565" s="24">
        <f t="shared" si="162"/>
        <v>3.4635319307587377E-2</v>
      </c>
      <c r="E565" s="28">
        <v>8.18</v>
      </c>
      <c r="F565" s="28">
        <v>7.89</v>
      </c>
      <c r="G565" s="39">
        <f t="shared" si="163"/>
        <v>3.6092097075295586E-2</v>
      </c>
      <c r="H565" s="28">
        <v>8</v>
      </c>
      <c r="I565" s="28">
        <v>7.98</v>
      </c>
      <c r="J565" s="39">
        <f t="shared" si="164"/>
        <v>2.5031289111388704E-3</v>
      </c>
      <c r="K565" s="25">
        <v>2026568</v>
      </c>
      <c r="L565" s="40">
        <f t="shared" si="165"/>
        <v>561090000</v>
      </c>
      <c r="M565" s="41">
        <f t="shared" si="161"/>
        <v>16172012.640000001</v>
      </c>
      <c r="N565" s="24">
        <f t="shared" si="166"/>
        <v>561100000</v>
      </c>
      <c r="O565" s="41">
        <f t="shared" si="167"/>
        <v>3.6117768668686508E-3</v>
      </c>
      <c r="P565" s="36">
        <v>77745.52</v>
      </c>
      <c r="Q565" s="9">
        <v>0.189</v>
      </c>
      <c r="R565" s="26">
        <f t="shared" si="168"/>
        <v>15890000000</v>
      </c>
      <c r="S565" s="26">
        <f t="shared" si="169"/>
        <v>4002556000</v>
      </c>
      <c r="T565" s="26">
        <f t="shared" si="170"/>
        <v>-1634613000</v>
      </c>
      <c r="U565" s="26">
        <f t="shared" si="171"/>
        <v>499800000</v>
      </c>
      <c r="V565" s="26">
        <f t="shared" si="172"/>
        <v>2312000000</v>
      </c>
      <c r="W565">
        <f t="shared" si="173"/>
        <v>4.6145688438962416E-10</v>
      </c>
      <c r="X565">
        <f t="shared" si="174"/>
        <v>0.14550031466331026</v>
      </c>
      <c r="Y565" s="9"/>
    </row>
    <row r="566" spans="1:25">
      <c r="A566" s="21">
        <v>45523</v>
      </c>
      <c r="B566" s="28">
        <v>8.0399999999999991</v>
      </c>
      <c r="C566" s="23">
        <f t="shared" si="160"/>
        <v>-8.6313193588163119E-3</v>
      </c>
      <c r="D566" s="24">
        <f t="shared" si="162"/>
        <v>3.4635319307587377E-2</v>
      </c>
      <c r="E566" s="28">
        <v>8.23</v>
      </c>
      <c r="F566" s="28">
        <v>8.02</v>
      </c>
      <c r="G566" s="39">
        <f t="shared" si="163"/>
        <v>2.5846153846153953E-2</v>
      </c>
      <c r="H566" s="28">
        <v>8.09</v>
      </c>
      <c r="I566" s="28">
        <v>8.0500000000000007</v>
      </c>
      <c r="J566" s="39">
        <f t="shared" si="164"/>
        <v>4.9566294919453713E-3</v>
      </c>
      <c r="K566" s="25">
        <v>1065852</v>
      </c>
      <c r="L566" s="40">
        <f t="shared" si="165"/>
        <v>561090000</v>
      </c>
      <c r="M566" s="41">
        <f t="shared" si="161"/>
        <v>8569450.0799999982</v>
      </c>
      <c r="N566" s="24">
        <f t="shared" si="166"/>
        <v>561100000</v>
      </c>
      <c r="O566" s="41">
        <f t="shared" si="167"/>
        <v>1.8995758331848155E-3</v>
      </c>
      <c r="P566" s="36">
        <v>77830.34</v>
      </c>
      <c r="Q566" s="9">
        <v>0.189</v>
      </c>
      <c r="R566" s="26">
        <f t="shared" si="168"/>
        <v>15890000000</v>
      </c>
      <c r="S566" s="26">
        <f t="shared" si="169"/>
        <v>4002556000</v>
      </c>
      <c r="T566" s="26">
        <f t="shared" si="170"/>
        <v>-1634613000</v>
      </c>
      <c r="U566" s="26">
        <f t="shared" si="171"/>
        <v>499800000</v>
      </c>
      <c r="V566" s="26">
        <f t="shared" si="172"/>
        <v>2312000000</v>
      </c>
      <c r="W566">
        <f t="shared" si="173"/>
        <v>1.0072197490199176E-9</v>
      </c>
      <c r="X566">
        <f t="shared" si="174"/>
        <v>0.14550031466331026</v>
      </c>
      <c r="Y566" s="9"/>
    </row>
    <row r="567" spans="1:25">
      <c r="A567" s="21">
        <v>45520</v>
      </c>
      <c r="B567" s="28">
        <v>8.11</v>
      </c>
      <c r="C567" s="23">
        <f t="shared" si="160"/>
        <v>-2.4600246002461682E-3</v>
      </c>
      <c r="D567" s="24">
        <f t="shared" si="162"/>
        <v>3.4635319307587377E-2</v>
      </c>
      <c r="E567" s="28">
        <v>8.43</v>
      </c>
      <c r="F567" s="28">
        <v>8</v>
      </c>
      <c r="G567" s="39">
        <f t="shared" si="163"/>
        <v>5.234327449786972E-2</v>
      </c>
      <c r="H567" s="28">
        <v>8.14</v>
      </c>
      <c r="I567" s="28">
        <v>8.1</v>
      </c>
      <c r="J567" s="39">
        <f t="shared" si="164"/>
        <v>4.9261083743843493E-3</v>
      </c>
      <c r="K567" s="25">
        <v>1777489</v>
      </c>
      <c r="L567" s="40">
        <f t="shared" si="165"/>
        <v>561090000</v>
      </c>
      <c r="M567" s="41">
        <f t="shared" si="161"/>
        <v>14415435.789999999</v>
      </c>
      <c r="N567" s="24">
        <f t="shared" si="166"/>
        <v>561100000</v>
      </c>
      <c r="O567" s="41">
        <f t="shared" si="167"/>
        <v>3.1678649082160044E-3</v>
      </c>
      <c r="P567" s="36">
        <v>78045.31</v>
      </c>
      <c r="Q567" s="9">
        <v>0.189</v>
      </c>
      <c r="R567" s="26">
        <f t="shared" si="168"/>
        <v>15890000000</v>
      </c>
      <c r="S567" s="26">
        <f t="shared" si="169"/>
        <v>4002556000</v>
      </c>
      <c r="T567" s="26">
        <f t="shared" si="170"/>
        <v>-1634613000</v>
      </c>
      <c r="U567" s="26">
        <f t="shared" si="171"/>
        <v>499800000</v>
      </c>
      <c r="V567" s="26">
        <f t="shared" si="172"/>
        <v>2312000000</v>
      </c>
      <c r="W567">
        <f t="shared" si="173"/>
        <v>1.706521145862749E-10</v>
      </c>
      <c r="X567">
        <f t="shared" si="174"/>
        <v>0.14550031466331026</v>
      </c>
      <c r="Y567" s="9"/>
    </row>
    <row r="568" spans="1:25">
      <c r="A568" s="21">
        <v>45519</v>
      </c>
      <c r="B568" s="28">
        <v>8.1300000000000008</v>
      </c>
      <c r="C568" s="23">
        <f t="shared" si="160"/>
        <v>1.2453300124533179E-2</v>
      </c>
      <c r="D568" s="24">
        <f t="shared" si="162"/>
        <v>3.4635319307587377E-2</v>
      </c>
      <c r="E568" s="28">
        <v>8.27</v>
      </c>
      <c r="F568" s="28">
        <v>7.91</v>
      </c>
      <c r="G568" s="39">
        <f t="shared" si="163"/>
        <v>4.4499381953028362E-2</v>
      </c>
      <c r="H568" s="28">
        <v>8.14</v>
      </c>
      <c r="I568" s="28">
        <v>8.06</v>
      </c>
      <c r="J568" s="39">
        <f t="shared" si="164"/>
        <v>9.8765432098765499E-3</v>
      </c>
      <c r="K568" s="25">
        <v>2027234</v>
      </c>
      <c r="L568" s="40">
        <f t="shared" si="165"/>
        <v>561090000</v>
      </c>
      <c r="M568" s="41">
        <f t="shared" si="161"/>
        <v>16481412.420000002</v>
      </c>
      <c r="N568" s="24">
        <f t="shared" si="166"/>
        <v>561100000</v>
      </c>
      <c r="O568" s="41">
        <f t="shared" si="167"/>
        <v>3.6129638210657638E-3</v>
      </c>
      <c r="P568" s="36">
        <v>78105.98</v>
      </c>
      <c r="Q568" s="9">
        <v>0.189</v>
      </c>
      <c r="R568" s="26">
        <f t="shared" si="168"/>
        <v>15890000000</v>
      </c>
      <c r="S568" s="26">
        <f t="shared" si="169"/>
        <v>4002556000</v>
      </c>
      <c r="T568" s="26">
        <f t="shared" si="170"/>
        <v>-1634613000</v>
      </c>
      <c r="U568" s="26">
        <f t="shared" si="171"/>
        <v>499800000</v>
      </c>
      <c r="V568" s="26">
        <f t="shared" si="172"/>
        <v>2312000000</v>
      </c>
      <c r="W568">
        <f t="shared" si="173"/>
        <v>7.5559665683878191E-10</v>
      </c>
      <c r="X568">
        <f t="shared" si="174"/>
        <v>0.14550031466331026</v>
      </c>
      <c r="Y568" s="9"/>
    </row>
    <row r="569" spans="1:25">
      <c r="A569" s="21">
        <v>45517</v>
      </c>
      <c r="B569" s="28">
        <v>8.0299999999999994</v>
      </c>
      <c r="C569" s="23">
        <f t="shared" si="160"/>
        <v>-1.2437810945273367E-3</v>
      </c>
      <c r="D569" s="24">
        <f t="shared" si="162"/>
        <v>3.4635319307587377E-2</v>
      </c>
      <c r="E569" s="28">
        <v>8.1999999999999993</v>
      </c>
      <c r="F569" s="28">
        <v>7.96</v>
      </c>
      <c r="G569" s="39">
        <f t="shared" si="163"/>
        <v>2.9702970297029618E-2</v>
      </c>
      <c r="H569" s="28">
        <v>7.99</v>
      </c>
      <c r="I569" s="28">
        <v>7.97</v>
      </c>
      <c r="J569" s="39">
        <f t="shared" si="164"/>
        <v>2.5062656641604585E-3</v>
      </c>
      <c r="K569" s="25">
        <v>1824910</v>
      </c>
      <c r="L569" s="40">
        <f t="shared" si="165"/>
        <v>561090000</v>
      </c>
      <c r="M569" s="41">
        <f t="shared" si="161"/>
        <v>14654027.299999999</v>
      </c>
      <c r="N569" s="24">
        <f t="shared" si="166"/>
        <v>561100000</v>
      </c>
      <c r="O569" s="41">
        <f t="shared" si="167"/>
        <v>3.252379255034753E-3</v>
      </c>
      <c r="P569" s="36">
        <v>77877.42</v>
      </c>
      <c r="Q569" s="9">
        <v>0.189</v>
      </c>
      <c r="R569" s="26">
        <f t="shared" si="168"/>
        <v>15890000000</v>
      </c>
      <c r="S569" s="26">
        <f t="shared" si="169"/>
        <v>4002556000</v>
      </c>
      <c r="T569" s="26">
        <f t="shared" si="170"/>
        <v>-1634613000</v>
      </c>
      <c r="U569" s="26">
        <f t="shared" si="171"/>
        <v>499800000</v>
      </c>
      <c r="V569" s="26">
        <f t="shared" si="172"/>
        <v>2312000000</v>
      </c>
      <c r="W569">
        <f t="shared" si="173"/>
        <v>8.4876400805349725E-11</v>
      </c>
      <c r="X569">
        <f t="shared" si="174"/>
        <v>0.14550031466331026</v>
      </c>
      <c r="Y569" s="9"/>
    </row>
    <row r="570" spans="1:25">
      <c r="A570" s="21">
        <v>45516</v>
      </c>
      <c r="B570" s="28">
        <v>8.0399999999999991</v>
      </c>
      <c r="C570" s="23">
        <f t="shared" si="160"/>
        <v>-1.4705882352941298E-2</v>
      </c>
      <c r="D570" s="24">
        <f t="shared" si="162"/>
        <v>3.4635319307587377E-2</v>
      </c>
      <c r="E570" s="28">
        <v>8.42</v>
      </c>
      <c r="F570" s="28">
        <v>8</v>
      </c>
      <c r="G570" s="39">
        <f t="shared" si="163"/>
        <v>5.1157125456760037E-2</v>
      </c>
      <c r="H570" s="28">
        <v>8.08</v>
      </c>
      <c r="I570" s="28">
        <v>8.0399999999999991</v>
      </c>
      <c r="J570" s="39">
        <f t="shared" si="164"/>
        <v>4.9627791563276588E-3</v>
      </c>
      <c r="K570" s="25">
        <v>2933371</v>
      </c>
      <c r="L570" s="40">
        <f t="shared" si="165"/>
        <v>561090000</v>
      </c>
      <c r="M570" s="41">
        <f t="shared" si="161"/>
        <v>23584302.839999996</v>
      </c>
      <c r="N570" s="24">
        <f t="shared" si="166"/>
        <v>561100000</v>
      </c>
      <c r="O570" s="41">
        <f t="shared" si="167"/>
        <v>5.227893423632151E-3</v>
      </c>
      <c r="P570" s="36">
        <v>77980.289999999994</v>
      </c>
      <c r="Q570" s="9">
        <v>0.189</v>
      </c>
      <c r="R570" s="26">
        <f t="shared" si="168"/>
        <v>15890000000</v>
      </c>
      <c r="S570" s="26">
        <f t="shared" si="169"/>
        <v>4002556000</v>
      </c>
      <c r="T570" s="26">
        <f t="shared" si="170"/>
        <v>-1634613000</v>
      </c>
      <c r="U570" s="26">
        <f t="shared" si="171"/>
        <v>499800000</v>
      </c>
      <c r="V570" s="26">
        <f t="shared" si="172"/>
        <v>2312000000</v>
      </c>
      <c r="W570">
        <f t="shared" si="173"/>
        <v>6.2354534932444495E-10</v>
      </c>
      <c r="X570">
        <f t="shared" si="174"/>
        <v>0.14550031466331026</v>
      </c>
      <c r="Y570" s="9"/>
    </row>
    <row r="571" spans="1:25">
      <c r="A571" s="21">
        <v>45513</v>
      </c>
      <c r="B571" s="28">
        <v>8.16</v>
      </c>
      <c r="C571" s="23">
        <f t="shared" si="160"/>
        <v>-3.6630036630035849E-3</v>
      </c>
      <c r="D571" s="24">
        <f t="shared" si="162"/>
        <v>3.4635319307587377E-2</v>
      </c>
      <c r="E571" s="28">
        <v>8.3000000000000007</v>
      </c>
      <c r="F571" s="28">
        <v>8.11</v>
      </c>
      <c r="G571" s="39">
        <f t="shared" si="163"/>
        <v>2.3156611822059876E-2</v>
      </c>
      <c r="H571" s="28">
        <v>8.15</v>
      </c>
      <c r="I571" s="28">
        <v>8.14</v>
      </c>
      <c r="J571" s="39">
        <f t="shared" si="164"/>
        <v>1.2277470841006491E-3</v>
      </c>
      <c r="K571" s="25">
        <v>1625414</v>
      </c>
      <c r="L571" s="40">
        <f t="shared" si="165"/>
        <v>561090000</v>
      </c>
      <c r="M571" s="41">
        <f t="shared" si="161"/>
        <v>13263378.24</v>
      </c>
      <c r="N571" s="24">
        <f t="shared" si="166"/>
        <v>561100000</v>
      </c>
      <c r="O571" s="41">
        <f t="shared" si="167"/>
        <v>2.8968347888076993E-3</v>
      </c>
      <c r="P571" s="36">
        <v>78569.59</v>
      </c>
      <c r="Q571" s="9">
        <v>0.189</v>
      </c>
      <c r="R571" s="26">
        <f t="shared" si="168"/>
        <v>15890000000</v>
      </c>
      <c r="S571" s="26">
        <f t="shared" si="169"/>
        <v>4002556000</v>
      </c>
      <c r="T571" s="26">
        <f t="shared" si="170"/>
        <v>-1634613000</v>
      </c>
      <c r="U571" s="26">
        <f t="shared" si="171"/>
        <v>499800000</v>
      </c>
      <c r="V571" s="26">
        <f t="shared" si="172"/>
        <v>2312000000</v>
      </c>
      <c r="W571">
        <f t="shared" si="173"/>
        <v>2.7617425943238312E-10</v>
      </c>
      <c r="X571">
        <f t="shared" si="174"/>
        <v>0.14550031466331026</v>
      </c>
      <c r="Y571" s="9"/>
    </row>
    <row r="572" spans="1:25">
      <c r="A572" s="21">
        <v>45512</v>
      </c>
      <c r="B572" s="28">
        <v>8.19</v>
      </c>
      <c r="C572" s="23">
        <f t="shared" si="160"/>
        <v>-2.6159334126040504E-2</v>
      </c>
      <c r="D572" s="24">
        <f t="shared" si="162"/>
        <v>3.4635319307587377E-2</v>
      </c>
      <c r="E572" s="28">
        <v>8.49</v>
      </c>
      <c r="F572" s="28">
        <v>8.15</v>
      </c>
      <c r="G572" s="39">
        <f t="shared" si="163"/>
        <v>4.0865384615384595E-2</v>
      </c>
      <c r="H572" s="28">
        <v>8.19</v>
      </c>
      <c r="I572" s="28">
        <v>8.18</v>
      </c>
      <c r="J572" s="39">
        <f t="shared" si="164"/>
        <v>1.2217470983506157E-3</v>
      </c>
      <c r="K572" s="25">
        <v>1690873</v>
      </c>
      <c r="L572" s="40">
        <f t="shared" si="165"/>
        <v>561090000</v>
      </c>
      <c r="M572" s="41">
        <f t="shared" si="161"/>
        <v>13848249.869999999</v>
      </c>
      <c r="N572" s="24">
        <f t="shared" si="166"/>
        <v>561100000</v>
      </c>
      <c r="O572" s="41">
        <f t="shared" si="167"/>
        <v>3.0134967029050081E-3</v>
      </c>
      <c r="P572" s="36">
        <v>77874.22</v>
      </c>
      <c r="Q572" s="9">
        <v>0.189</v>
      </c>
      <c r="R572" s="26">
        <f t="shared" si="168"/>
        <v>15890000000</v>
      </c>
      <c r="S572" s="26">
        <f t="shared" si="169"/>
        <v>4002556000</v>
      </c>
      <c r="T572" s="26">
        <f t="shared" si="170"/>
        <v>-1634613000</v>
      </c>
      <c r="U572" s="26">
        <f t="shared" si="171"/>
        <v>499800000</v>
      </c>
      <c r="V572" s="26">
        <f t="shared" si="172"/>
        <v>2312000000</v>
      </c>
      <c r="W572">
        <f t="shared" si="173"/>
        <v>1.8889992866687426E-9</v>
      </c>
      <c r="X572">
        <f t="shared" si="174"/>
        <v>0.14550031466331026</v>
      </c>
      <c r="Y572" s="9"/>
    </row>
    <row r="573" spans="1:25">
      <c r="A573" s="21">
        <v>45511</v>
      </c>
      <c r="B573" s="28">
        <v>8.41</v>
      </c>
      <c r="C573" s="23">
        <f t="shared" si="160"/>
        <v>-7.0838252656435056E-3</v>
      </c>
      <c r="D573" s="24">
        <f t="shared" si="162"/>
        <v>3.4635319307587377E-2</v>
      </c>
      <c r="E573" s="28">
        <v>8.65</v>
      </c>
      <c r="F573" s="28">
        <v>8.32</v>
      </c>
      <c r="G573" s="39">
        <f t="shared" si="163"/>
        <v>3.8892162639952869E-2</v>
      </c>
      <c r="H573" s="28">
        <v>8.35</v>
      </c>
      <c r="I573" s="28">
        <v>8.32</v>
      </c>
      <c r="J573" s="39">
        <f t="shared" si="164"/>
        <v>3.5992801439711287E-3</v>
      </c>
      <c r="K573" s="25">
        <v>2571623</v>
      </c>
      <c r="L573" s="40">
        <f t="shared" si="165"/>
        <v>561090000</v>
      </c>
      <c r="M573" s="41">
        <f t="shared" si="161"/>
        <v>21627349.43</v>
      </c>
      <c r="N573" s="24">
        <f t="shared" si="166"/>
        <v>561100000</v>
      </c>
      <c r="O573" s="41">
        <f t="shared" si="167"/>
        <v>4.5831812511138836E-3</v>
      </c>
      <c r="P573" s="36">
        <v>77114.490000000005</v>
      </c>
      <c r="Q573" s="9">
        <v>0.189</v>
      </c>
      <c r="R573" s="26">
        <f t="shared" si="168"/>
        <v>15890000000</v>
      </c>
      <c r="S573" s="26">
        <f t="shared" si="169"/>
        <v>4002556000</v>
      </c>
      <c r="T573" s="26">
        <f t="shared" si="170"/>
        <v>-1634613000</v>
      </c>
      <c r="U573" s="26">
        <f t="shared" si="171"/>
        <v>499800000</v>
      </c>
      <c r="V573" s="26">
        <f t="shared" si="172"/>
        <v>2312000000</v>
      </c>
      <c r="W573">
        <f t="shared" si="173"/>
        <v>3.2754014950243053E-10</v>
      </c>
      <c r="X573">
        <f t="shared" si="174"/>
        <v>0.14550031466331026</v>
      </c>
      <c r="Y573" s="9"/>
    </row>
    <row r="574" spans="1:25">
      <c r="A574" s="21">
        <v>45510</v>
      </c>
      <c r="B574" s="28">
        <v>8.4700000000000006</v>
      </c>
      <c r="C574" s="23">
        <f t="shared" si="160"/>
        <v>-4.293785310734452E-2</v>
      </c>
      <c r="D574" s="24">
        <f t="shared" si="162"/>
        <v>3.4635319307587377E-2</v>
      </c>
      <c r="E574" s="28">
        <v>9.0399999999999991</v>
      </c>
      <c r="F574" s="28">
        <v>8.34</v>
      </c>
      <c r="G574" s="39">
        <f t="shared" si="163"/>
        <v>8.0552359033371615E-2</v>
      </c>
      <c r="H574" s="28">
        <v>8.5299999999999994</v>
      </c>
      <c r="I574" s="28">
        <v>8.52</v>
      </c>
      <c r="J574" s="39">
        <f t="shared" si="164"/>
        <v>1.1730205278592128E-3</v>
      </c>
      <c r="K574" s="25">
        <v>7910505</v>
      </c>
      <c r="L574" s="40">
        <f t="shared" si="165"/>
        <v>561090000</v>
      </c>
      <c r="M574" s="41">
        <f t="shared" si="161"/>
        <v>67001977.350000001</v>
      </c>
      <c r="N574" s="24">
        <f t="shared" si="166"/>
        <v>561100000</v>
      </c>
      <c r="O574" s="41">
        <f t="shared" si="167"/>
        <v>1.4098208875423276E-2</v>
      </c>
      <c r="P574" s="36">
        <v>77191.34</v>
      </c>
      <c r="Q574" s="9">
        <v>0.19489999999999999</v>
      </c>
      <c r="R574" s="26">
        <f t="shared" si="168"/>
        <v>15890000000</v>
      </c>
      <c r="S574" s="26">
        <f t="shared" si="169"/>
        <v>4002556000</v>
      </c>
      <c r="T574" s="26">
        <f t="shared" si="170"/>
        <v>-1634613000</v>
      </c>
      <c r="U574" s="26">
        <f t="shared" si="171"/>
        <v>499800000</v>
      </c>
      <c r="V574" s="26">
        <f t="shared" si="172"/>
        <v>2312000000</v>
      </c>
      <c r="W574">
        <f t="shared" si="173"/>
        <v>6.408445661692777E-10</v>
      </c>
      <c r="X574">
        <f t="shared" si="174"/>
        <v>0.14550031466331026</v>
      </c>
      <c r="Y574" s="9"/>
    </row>
    <row r="575" spans="1:25">
      <c r="A575" s="21">
        <v>45509</v>
      </c>
      <c r="B575" s="28">
        <v>8.85</v>
      </c>
      <c r="C575" s="23">
        <f t="shared" si="160"/>
        <v>4.9822064056939494E-2</v>
      </c>
      <c r="D575" s="24">
        <f t="shared" si="162"/>
        <v>3.4635319307587377E-2</v>
      </c>
      <c r="E575" s="28">
        <v>9.06</v>
      </c>
      <c r="F575" s="28">
        <v>8.25</v>
      </c>
      <c r="G575" s="39">
        <f t="shared" si="163"/>
        <v>9.3587521663778206E-2</v>
      </c>
      <c r="H575" s="28">
        <v>8.85</v>
      </c>
      <c r="I575" s="28">
        <v>8.84</v>
      </c>
      <c r="J575" s="39">
        <f t="shared" si="164"/>
        <v>1.1305822498586533E-3</v>
      </c>
      <c r="K575" s="25">
        <v>16769167</v>
      </c>
      <c r="L575" s="40">
        <f t="shared" si="165"/>
        <v>561090000</v>
      </c>
      <c r="M575" s="41">
        <f t="shared" si="161"/>
        <v>148407127.94999999</v>
      </c>
      <c r="N575" s="24">
        <f t="shared" si="166"/>
        <v>561100000</v>
      </c>
      <c r="O575" s="41">
        <f t="shared" si="167"/>
        <v>2.9886235965068616E-2</v>
      </c>
      <c r="P575" s="36">
        <v>77084.490000000005</v>
      </c>
      <c r="Q575" s="9">
        <v>0.19489999999999999</v>
      </c>
      <c r="R575" s="26">
        <f t="shared" si="168"/>
        <v>15890000000</v>
      </c>
      <c r="S575" s="26">
        <f t="shared" si="169"/>
        <v>4002556000</v>
      </c>
      <c r="T575" s="26">
        <f t="shared" si="170"/>
        <v>-1634613000</v>
      </c>
      <c r="U575" s="26">
        <f t="shared" si="171"/>
        <v>499800000</v>
      </c>
      <c r="V575" s="26">
        <f t="shared" si="172"/>
        <v>2312000000</v>
      </c>
      <c r="W575">
        <f t="shared" si="173"/>
        <v>3.3571206952893195E-10</v>
      </c>
      <c r="X575">
        <f t="shared" si="174"/>
        <v>0.14550031466331026</v>
      </c>
      <c r="Y575" s="9"/>
    </row>
    <row r="576" spans="1:25">
      <c r="A576" s="21">
        <v>45506</v>
      </c>
      <c r="B576" s="28">
        <v>8.43</v>
      </c>
      <c r="C576" s="23">
        <f t="shared" si="160"/>
        <v>8.9147286821705363E-2</v>
      </c>
      <c r="D576" s="24">
        <f t="shared" si="162"/>
        <v>3.4635319307587377E-2</v>
      </c>
      <c r="E576" s="28">
        <v>8.74</v>
      </c>
      <c r="F576" s="28">
        <v>7.71</v>
      </c>
      <c r="G576" s="39">
        <f t="shared" si="163"/>
        <v>0.1252279635258359</v>
      </c>
      <c r="H576" s="28">
        <v>8.5399999999999991</v>
      </c>
      <c r="I576" s="28">
        <v>8.5299999999999994</v>
      </c>
      <c r="J576" s="39">
        <f t="shared" si="164"/>
        <v>1.1716461628587917E-3</v>
      </c>
      <c r="K576" s="25">
        <v>16831144</v>
      </c>
      <c r="L576" s="40">
        <f t="shared" si="165"/>
        <v>561090000</v>
      </c>
      <c r="M576" s="41">
        <f t="shared" si="161"/>
        <v>141886543.91999999</v>
      </c>
      <c r="N576" s="24">
        <f t="shared" si="166"/>
        <v>561100000</v>
      </c>
      <c r="O576" s="41">
        <f t="shared" si="167"/>
        <v>2.9996692211726964E-2</v>
      </c>
      <c r="P576" s="36">
        <v>78225.98</v>
      </c>
      <c r="Q576" s="9">
        <v>0.19489999999999999</v>
      </c>
      <c r="R576" s="26">
        <f t="shared" si="168"/>
        <v>15890000000</v>
      </c>
      <c r="S576" s="26">
        <f t="shared" si="169"/>
        <v>4002556000</v>
      </c>
      <c r="T576" s="26">
        <f t="shared" si="170"/>
        <v>-1634613000</v>
      </c>
      <c r="U576" s="26">
        <f t="shared" si="171"/>
        <v>499800000</v>
      </c>
      <c r="V576" s="26">
        <f t="shared" si="172"/>
        <v>2312000000</v>
      </c>
      <c r="W576">
        <f t="shared" si="173"/>
        <v>6.2829979756198268E-10</v>
      </c>
      <c r="X576">
        <f t="shared" si="174"/>
        <v>0.14550031466331026</v>
      </c>
      <c r="Y576" s="9"/>
    </row>
    <row r="577" spans="1:25">
      <c r="A577" s="21">
        <v>45505</v>
      </c>
      <c r="B577" s="28">
        <v>7.74</v>
      </c>
      <c r="C577" s="23">
        <f t="shared" si="160"/>
        <v>-2.5188916876574329E-2</v>
      </c>
      <c r="D577" s="24">
        <f t="shared" si="162"/>
        <v>3.4635319307587377E-2</v>
      </c>
      <c r="E577" s="28">
        <v>8</v>
      </c>
      <c r="F577" s="28">
        <v>7.71</v>
      </c>
      <c r="G577" s="39">
        <f t="shared" si="163"/>
        <v>3.6919159770846595E-2</v>
      </c>
      <c r="H577" s="28">
        <v>7.75</v>
      </c>
      <c r="I577" s="28">
        <v>7.73</v>
      </c>
      <c r="J577" s="39">
        <f t="shared" si="164"/>
        <v>2.5839793281653197E-3</v>
      </c>
      <c r="K577" s="25">
        <v>2008334</v>
      </c>
      <c r="L577" s="40">
        <f t="shared" si="165"/>
        <v>561090000</v>
      </c>
      <c r="M577" s="41">
        <f t="shared" si="161"/>
        <v>15544505.16</v>
      </c>
      <c r="N577" s="24">
        <f t="shared" si="166"/>
        <v>561100000</v>
      </c>
      <c r="O577" s="41">
        <f t="shared" si="167"/>
        <v>3.5792799857422919E-3</v>
      </c>
      <c r="P577" s="36">
        <v>77740.31</v>
      </c>
      <c r="Q577" s="9">
        <v>0.19489999999999999</v>
      </c>
      <c r="R577" s="26">
        <f t="shared" si="168"/>
        <v>15890000000</v>
      </c>
      <c r="S577" s="26">
        <f t="shared" si="169"/>
        <v>4002556000</v>
      </c>
      <c r="T577" s="26">
        <f t="shared" si="170"/>
        <v>-1634613000</v>
      </c>
      <c r="U577" s="26">
        <f t="shared" si="171"/>
        <v>499800000</v>
      </c>
      <c r="V577" s="26">
        <f t="shared" si="172"/>
        <v>2312000000</v>
      </c>
      <c r="W577">
        <f t="shared" si="173"/>
        <v>1.6204386448654457E-9</v>
      </c>
      <c r="X577">
        <f t="shared" si="174"/>
        <v>0.14550031466331026</v>
      </c>
      <c r="Y577" s="9"/>
    </row>
    <row r="578" spans="1:25">
      <c r="A578" s="21">
        <v>45504</v>
      </c>
      <c r="B578" s="28">
        <v>7.94</v>
      </c>
      <c r="C578" s="23">
        <f t="shared" si="160"/>
        <v>6.1497326203208545E-2</v>
      </c>
      <c r="D578" s="24">
        <f t="shared" si="162"/>
        <v>3.4635319307587377E-2</v>
      </c>
      <c r="E578" s="28">
        <v>8.48</v>
      </c>
      <c r="F578" s="28">
        <v>7.35</v>
      </c>
      <c r="G578" s="39">
        <f t="shared" si="163"/>
        <v>0.14276689829437786</v>
      </c>
      <c r="H578" s="28">
        <v>7.96</v>
      </c>
      <c r="I578" s="28">
        <v>7.95</v>
      </c>
      <c r="J578" s="39">
        <f t="shared" si="164"/>
        <v>1.2570710245128581E-3</v>
      </c>
      <c r="K578" s="25">
        <v>19693668</v>
      </c>
      <c r="L578" s="40">
        <f t="shared" si="165"/>
        <v>561090000</v>
      </c>
      <c r="M578" s="41">
        <f t="shared" si="161"/>
        <v>156367723.92000002</v>
      </c>
      <c r="N578" s="24">
        <f t="shared" si="166"/>
        <v>561100000</v>
      </c>
      <c r="O578" s="41">
        <f t="shared" si="167"/>
        <v>3.5098321154874351E-2</v>
      </c>
      <c r="P578" s="36">
        <v>77886.990000000005</v>
      </c>
      <c r="Q578" s="9">
        <v>0.19489999999999999</v>
      </c>
      <c r="R578" s="26">
        <f t="shared" si="168"/>
        <v>15890000000</v>
      </c>
      <c r="S578" s="26">
        <f t="shared" si="169"/>
        <v>4002556000</v>
      </c>
      <c r="T578" s="26">
        <f t="shared" si="170"/>
        <v>-1634613000</v>
      </c>
      <c r="U578" s="26">
        <f t="shared" si="171"/>
        <v>499800000</v>
      </c>
      <c r="V578" s="26">
        <f t="shared" si="172"/>
        <v>2312000000</v>
      </c>
      <c r="W578">
        <f t="shared" si="173"/>
        <v>3.9328657258368398E-10</v>
      </c>
      <c r="X578">
        <f t="shared" si="174"/>
        <v>0.14550031466331026</v>
      </c>
      <c r="Y578" s="9"/>
    </row>
    <row r="579" spans="1:25">
      <c r="A579" s="21">
        <v>45503</v>
      </c>
      <c r="B579" s="28">
        <v>7.48</v>
      </c>
      <c r="C579" s="23">
        <f t="shared" si="160"/>
        <v>-2.4771838331160301E-2</v>
      </c>
      <c r="D579" s="24">
        <f t="shared" si="162"/>
        <v>3.4635319307587377E-2</v>
      </c>
      <c r="E579" s="28">
        <v>7.77</v>
      </c>
      <c r="F579" s="28">
        <v>7.41</v>
      </c>
      <c r="G579" s="39">
        <f t="shared" si="163"/>
        <v>4.7430830039525619E-2</v>
      </c>
      <c r="H579" s="28">
        <v>7.46</v>
      </c>
      <c r="I579" s="28">
        <v>7.45</v>
      </c>
      <c r="J579" s="39">
        <f t="shared" si="164"/>
        <v>1.3413816230717353E-3</v>
      </c>
      <c r="K579" s="25">
        <v>1429458</v>
      </c>
      <c r="L579" s="40">
        <f t="shared" si="165"/>
        <v>561090000</v>
      </c>
      <c r="M579" s="41">
        <f t="shared" si="161"/>
        <v>10692345.84</v>
      </c>
      <c r="N579" s="24">
        <f t="shared" si="166"/>
        <v>561100000</v>
      </c>
      <c r="O579" s="41">
        <f t="shared" si="167"/>
        <v>2.5475993584031368E-3</v>
      </c>
      <c r="P579" s="36">
        <v>78628.81</v>
      </c>
      <c r="Q579" s="9">
        <v>0.19489999999999999</v>
      </c>
      <c r="R579" s="26">
        <f t="shared" si="168"/>
        <v>15890000000</v>
      </c>
      <c r="S579" s="26">
        <f t="shared" si="169"/>
        <v>4002556000</v>
      </c>
      <c r="T579" s="26">
        <f t="shared" si="170"/>
        <v>-1634613000</v>
      </c>
      <c r="U579" s="26">
        <f t="shared" si="171"/>
        <v>499800000</v>
      </c>
      <c r="V579" s="26">
        <f t="shared" si="172"/>
        <v>2312000000</v>
      </c>
      <c r="W579">
        <f t="shared" si="173"/>
        <v>2.316782369542239E-9</v>
      </c>
      <c r="X579">
        <f t="shared" si="174"/>
        <v>0.14550031466331026</v>
      </c>
      <c r="Y579" s="9"/>
    </row>
    <row r="580" spans="1:25">
      <c r="A580" s="21">
        <v>45502</v>
      </c>
      <c r="B580" s="28">
        <v>7.67</v>
      </c>
      <c r="C580" s="23">
        <f t="shared" si="160"/>
        <v>-5.1880674448767884E-3</v>
      </c>
      <c r="D580" s="24">
        <f t="shared" si="162"/>
        <v>3.4635319307587377E-2</v>
      </c>
      <c r="E580" s="28">
        <v>7.94</v>
      </c>
      <c r="F580" s="28">
        <v>7.64</v>
      </c>
      <c r="G580" s="39">
        <f t="shared" si="163"/>
        <v>3.8510911424903815E-2</v>
      </c>
      <c r="H580" s="28">
        <v>7.65</v>
      </c>
      <c r="I580" s="28">
        <v>7.64</v>
      </c>
      <c r="J580" s="39">
        <f t="shared" si="164"/>
        <v>1.3080444735121878E-3</v>
      </c>
      <c r="K580" s="25">
        <v>1172942</v>
      </c>
      <c r="L580" s="40">
        <f t="shared" si="165"/>
        <v>561090000</v>
      </c>
      <c r="M580" s="41">
        <f t="shared" si="161"/>
        <v>8996465.1400000006</v>
      </c>
      <c r="N580" s="24">
        <f t="shared" si="166"/>
        <v>561100000</v>
      </c>
      <c r="O580" s="41">
        <f t="shared" si="167"/>
        <v>2.0904330778827303E-3</v>
      </c>
      <c r="P580" s="36">
        <v>78827.740000000005</v>
      </c>
      <c r="Q580" s="9">
        <v>0.19489999999999999</v>
      </c>
      <c r="R580" s="26">
        <f t="shared" si="168"/>
        <v>15890000000</v>
      </c>
      <c r="S580" s="26">
        <f t="shared" si="169"/>
        <v>4002556000</v>
      </c>
      <c r="T580" s="26">
        <f t="shared" si="170"/>
        <v>-1634613000</v>
      </c>
      <c r="U580" s="26">
        <f t="shared" si="171"/>
        <v>499800000</v>
      </c>
      <c r="V580" s="26">
        <f t="shared" si="172"/>
        <v>2312000000</v>
      </c>
      <c r="W580">
        <f t="shared" si="173"/>
        <v>5.7667843582360479E-10</v>
      </c>
      <c r="X580">
        <f t="shared" si="174"/>
        <v>0.14550031466331026</v>
      </c>
      <c r="Y580" s="9"/>
    </row>
    <row r="581" spans="1:25">
      <c r="A581" s="21">
        <v>45499</v>
      </c>
      <c r="B581" s="28">
        <v>7.71</v>
      </c>
      <c r="C581" s="23">
        <f t="shared" si="160"/>
        <v>-3.3834586466165467E-2</v>
      </c>
      <c r="D581" s="24">
        <f t="shared" si="162"/>
        <v>3.4635319307587377E-2</v>
      </c>
      <c r="E581" s="28">
        <v>8.06</v>
      </c>
      <c r="F581" s="28">
        <v>7.66</v>
      </c>
      <c r="G581" s="39">
        <f t="shared" si="163"/>
        <v>5.0890585241730325E-2</v>
      </c>
      <c r="H581" s="28">
        <v>7.77</v>
      </c>
      <c r="I581" s="28">
        <v>7.76</v>
      </c>
      <c r="J581" s="39">
        <f t="shared" si="164"/>
        <v>1.2878300064391227E-3</v>
      </c>
      <c r="K581" s="25">
        <v>4515701</v>
      </c>
      <c r="L581" s="40">
        <f t="shared" si="165"/>
        <v>561090000</v>
      </c>
      <c r="M581" s="41">
        <f t="shared" si="161"/>
        <v>34816054.710000001</v>
      </c>
      <c r="N581" s="24">
        <f t="shared" si="166"/>
        <v>561100000</v>
      </c>
      <c r="O581" s="41">
        <f t="shared" si="167"/>
        <v>8.0479433256104085E-3</v>
      </c>
      <c r="P581" s="36">
        <v>78029.509999999995</v>
      </c>
      <c r="Q581" s="9">
        <v>0.19489999999999999</v>
      </c>
      <c r="R581" s="26">
        <f t="shared" si="168"/>
        <v>15890000000</v>
      </c>
      <c r="S581" s="26">
        <f t="shared" si="169"/>
        <v>4002556000</v>
      </c>
      <c r="T581" s="26">
        <f t="shared" si="170"/>
        <v>-1634613000</v>
      </c>
      <c r="U581" s="26">
        <f t="shared" si="171"/>
        <v>499800000</v>
      </c>
      <c r="V581" s="26">
        <f t="shared" si="172"/>
        <v>2312000000</v>
      </c>
      <c r="W581">
        <f t="shared" si="173"/>
        <v>9.7180989483128785E-10</v>
      </c>
      <c r="X581">
        <f t="shared" si="174"/>
        <v>0.14550031466331026</v>
      </c>
      <c r="Y581" s="9"/>
    </row>
    <row r="582" spans="1:25">
      <c r="A582" s="21">
        <v>45498</v>
      </c>
      <c r="B582" s="28">
        <v>7.98</v>
      </c>
      <c r="C582" s="23">
        <f t="shared" si="160"/>
        <v>-4.6594982078852903E-2</v>
      </c>
      <c r="D582" s="24">
        <f t="shared" si="162"/>
        <v>3.4635319307587377E-2</v>
      </c>
      <c r="E582" s="28">
        <v>8.5399999999999991</v>
      </c>
      <c r="F582" s="28">
        <v>7.9</v>
      </c>
      <c r="G582" s="39">
        <f t="shared" si="163"/>
        <v>7.7858880778588671E-2</v>
      </c>
      <c r="H582" s="28">
        <v>7.95</v>
      </c>
      <c r="I582" s="28">
        <v>7.91</v>
      </c>
      <c r="J582" s="39">
        <f t="shared" si="164"/>
        <v>5.0441361916771796E-3</v>
      </c>
      <c r="K582" s="25">
        <v>5763774</v>
      </c>
      <c r="L582" s="40">
        <f t="shared" si="165"/>
        <v>561090000</v>
      </c>
      <c r="M582" s="41">
        <f t="shared" si="161"/>
        <v>45994916.520000003</v>
      </c>
      <c r="N582" s="24">
        <f t="shared" si="166"/>
        <v>561100000</v>
      </c>
      <c r="O582" s="41">
        <f t="shared" si="167"/>
        <v>1.027227588665122E-2</v>
      </c>
      <c r="P582" s="36">
        <v>78469.33</v>
      </c>
      <c r="Q582" s="9">
        <v>0.19489999999999999</v>
      </c>
      <c r="R582" s="26">
        <f t="shared" si="168"/>
        <v>15890000000</v>
      </c>
      <c r="S582" s="26">
        <f t="shared" si="169"/>
        <v>4002556000</v>
      </c>
      <c r="T582" s="26">
        <f t="shared" si="170"/>
        <v>-1634613000</v>
      </c>
      <c r="U582" s="26">
        <f t="shared" si="171"/>
        <v>499800000</v>
      </c>
      <c r="V582" s="26">
        <f t="shared" si="172"/>
        <v>2312000000</v>
      </c>
      <c r="W582">
        <f t="shared" si="173"/>
        <v>1.0130463452106054E-9</v>
      </c>
      <c r="X582">
        <f t="shared" si="174"/>
        <v>0.14550031466331026</v>
      </c>
      <c r="Y582" s="9"/>
    </row>
    <row r="583" spans="1:25">
      <c r="A583" s="21">
        <v>45497</v>
      </c>
      <c r="B583" s="28">
        <v>8.3699999999999992</v>
      </c>
      <c r="C583" s="23">
        <f t="shared" si="160"/>
        <v>4.3640897755610933E-2</v>
      </c>
      <c r="D583" s="24">
        <f t="shared" si="162"/>
        <v>3.4635319307587377E-2</v>
      </c>
      <c r="E583" s="28">
        <v>8.68</v>
      </c>
      <c r="F583" s="28">
        <v>7.65</v>
      </c>
      <c r="G583" s="39">
        <f t="shared" si="163"/>
        <v>0.12614819350887929</v>
      </c>
      <c r="H583" s="28">
        <v>8.35</v>
      </c>
      <c r="I583" s="28">
        <v>8.34</v>
      </c>
      <c r="J583" s="39">
        <f t="shared" si="164"/>
        <v>1.1983223487117781E-3</v>
      </c>
      <c r="K583" s="25">
        <v>10362350</v>
      </c>
      <c r="L583" s="40">
        <f t="shared" si="165"/>
        <v>561090000</v>
      </c>
      <c r="M583" s="41">
        <f t="shared" si="161"/>
        <v>86732869.499999985</v>
      </c>
      <c r="N583" s="24">
        <f t="shared" si="166"/>
        <v>561100000</v>
      </c>
      <c r="O583" s="41">
        <f t="shared" si="167"/>
        <v>1.846792015683479E-2</v>
      </c>
      <c r="P583" s="36">
        <v>79397.009999999995</v>
      </c>
      <c r="Q583" s="9">
        <v>0.19489999999999999</v>
      </c>
      <c r="R583" s="26">
        <f t="shared" si="168"/>
        <v>15890000000</v>
      </c>
      <c r="S583" s="26">
        <f t="shared" si="169"/>
        <v>4002556000</v>
      </c>
      <c r="T583" s="26">
        <f t="shared" si="170"/>
        <v>-1634613000</v>
      </c>
      <c r="U583" s="26">
        <f t="shared" si="171"/>
        <v>499800000</v>
      </c>
      <c r="V583" s="26">
        <f t="shared" si="172"/>
        <v>2312000000</v>
      </c>
      <c r="W583">
        <f t="shared" si="173"/>
        <v>5.0316446356719402E-10</v>
      </c>
      <c r="X583">
        <f t="shared" si="174"/>
        <v>0.14550031466331026</v>
      </c>
      <c r="Y583" s="9"/>
    </row>
    <row r="584" spans="1:25">
      <c r="A584" s="21">
        <v>45496</v>
      </c>
      <c r="B584" s="28">
        <v>8.02</v>
      </c>
      <c r="C584" s="23">
        <f t="shared" si="160"/>
        <v>-2.1951219512195089E-2</v>
      </c>
      <c r="D584" s="24">
        <f t="shared" si="162"/>
        <v>3.4635319307587377E-2</v>
      </c>
      <c r="E584" s="28">
        <v>8.34</v>
      </c>
      <c r="F584" s="28">
        <v>7.73</v>
      </c>
      <c r="G584" s="39">
        <f t="shared" si="163"/>
        <v>7.5917859365276841E-2</v>
      </c>
      <c r="H584" s="28">
        <v>8.35</v>
      </c>
      <c r="I584" s="28">
        <v>7.85</v>
      </c>
      <c r="J584" s="39">
        <f t="shared" si="164"/>
        <v>6.1728395061728399E-2</v>
      </c>
      <c r="K584" s="25">
        <v>3733888</v>
      </c>
      <c r="L584" s="40">
        <f t="shared" si="165"/>
        <v>561090000</v>
      </c>
      <c r="M584" s="41">
        <f t="shared" si="161"/>
        <v>29945781.759999998</v>
      </c>
      <c r="N584" s="24">
        <f t="shared" si="166"/>
        <v>561100000</v>
      </c>
      <c r="O584" s="41">
        <f t="shared" si="167"/>
        <v>6.6545856353591162E-3</v>
      </c>
      <c r="P584" s="36">
        <v>78987.09</v>
      </c>
      <c r="Q584" s="9">
        <v>0.19489999999999999</v>
      </c>
      <c r="R584" s="26">
        <f t="shared" si="168"/>
        <v>15890000000</v>
      </c>
      <c r="S584" s="26">
        <f t="shared" si="169"/>
        <v>4002556000</v>
      </c>
      <c r="T584" s="26">
        <f t="shared" si="170"/>
        <v>-1634613000</v>
      </c>
      <c r="U584" s="26">
        <f t="shared" si="171"/>
        <v>499800000</v>
      </c>
      <c r="V584" s="26">
        <f t="shared" si="172"/>
        <v>2312000000</v>
      </c>
      <c r="W584">
        <f t="shared" si="173"/>
        <v>7.3303210743078259E-10</v>
      </c>
      <c r="X584">
        <f t="shared" si="174"/>
        <v>0.14550031466331026</v>
      </c>
      <c r="Y584" s="9"/>
    </row>
    <row r="585" spans="1:25" ht="15" thickBot="1">
      <c r="A585" s="21">
        <v>45495</v>
      </c>
      <c r="B585" s="28">
        <v>8.1999999999999993</v>
      </c>
      <c r="C585" s="23">
        <f>IFERROR((B585-#REF!)/#REF!,0)</f>
        <v>0</v>
      </c>
      <c r="D585" s="24">
        <f t="shared" si="162"/>
        <v>3.4635319307587377E-2</v>
      </c>
      <c r="E585" s="28">
        <v>8.64</v>
      </c>
      <c r="F585" s="28">
        <v>8.1</v>
      </c>
      <c r="G585" s="39">
        <f>(E585-F585)/(AVERAGE(E585,F585))</f>
        <v>6.4516129032258174E-2</v>
      </c>
      <c r="H585" s="28">
        <v>8.15</v>
      </c>
      <c r="I585" s="28">
        <v>8.1</v>
      </c>
      <c r="J585" s="39">
        <f t="shared" si="164"/>
        <v>6.1538461538462414E-3</v>
      </c>
      <c r="K585" s="25">
        <v>1269154</v>
      </c>
      <c r="L585" s="40">
        <f t="shared" si="165"/>
        <v>561090000</v>
      </c>
      <c r="M585" s="41">
        <f t="shared" si="161"/>
        <v>10407062.799999999</v>
      </c>
      <c r="N585" s="24">
        <f t="shared" si="166"/>
        <v>561100000</v>
      </c>
      <c r="O585" s="41">
        <f t="shared" si="167"/>
        <v>2.2619034040278025E-3</v>
      </c>
      <c r="P585" s="36">
        <v>78539.19</v>
      </c>
      <c r="Q585" s="9">
        <v>0.19489999999999999</v>
      </c>
      <c r="R585" s="26">
        <f t="shared" si="168"/>
        <v>15890000000</v>
      </c>
      <c r="S585" s="26">
        <f t="shared" si="169"/>
        <v>4002556000</v>
      </c>
      <c r="T585" s="26">
        <f t="shared" si="170"/>
        <v>-1634613000</v>
      </c>
      <c r="U585" s="26">
        <f t="shared" si="171"/>
        <v>499800000</v>
      </c>
      <c r="V585" s="26">
        <f t="shared" si="172"/>
        <v>2312000000</v>
      </c>
      <c r="W585">
        <f t="shared" si="173"/>
        <v>0</v>
      </c>
      <c r="X585">
        <f t="shared" si="174"/>
        <v>0.14550031466331026</v>
      </c>
      <c r="Y585" s="9"/>
    </row>
    <row r="586" spans="1:25" ht="16" thickBot="1">
      <c r="A586" s="184" t="s">
        <v>55</v>
      </c>
      <c r="B586" s="185"/>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6"/>
      <c r="Y586" s="9"/>
    </row>
    <row r="587" spans="1:25" ht="43.5">
      <c r="A587" s="16" t="s">
        <v>14</v>
      </c>
      <c r="B587" s="16" t="s">
        <v>15</v>
      </c>
      <c r="C587" s="17" t="s">
        <v>16</v>
      </c>
      <c r="D587" s="17" t="s">
        <v>17</v>
      </c>
      <c r="E587" s="18" t="s">
        <v>0</v>
      </c>
      <c r="F587" s="18" t="s">
        <v>13</v>
      </c>
      <c r="G587" s="17" t="s">
        <v>18</v>
      </c>
      <c r="H587" s="16" t="s">
        <v>12</v>
      </c>
      <c r="I587" s="18" t="s">
        <v>1</v>
      </c>
      <c r="J587" s="19" t="s">
        <v>19</v>
      </c>
      <c r="K587" s="20" t="s">
        <v>2</v>
      </c>
      <c r="L587" s="20" t="s">
        <v>54</v>
      </c>
      <c r="M587" s="19" t="s">
        <v>20</v>
      </c>
      <c r="N587" s="2" t="s">
        <v>4</v>
      </c>
      <c r="O587" s="7" t="s">
        <v>21</v>
      </c>
      <c r="P587" s="20" t="s">
        <v>51</v>
      </c>
      <c r="Q587" s="20" t="s">
        <v>6</v>
      </c>
      <c r="R587" s="20" t="s">
        <v>7</v>
      </c>
      <c r="S587" s="20" t="s">
        <v>29</v>
      </c>
      <c r="T587" s="20" t="s">
        <v>50</v>
      </c>
      <c r="U587" s="20" t="s">
        <v>10</v>
      </c>
      <c r="V587" s="20" t="s">
        <v>32</v>
      </c>
      <c r="W587" s="7" t="s">
        <v>73</v>
      </c>
      <c r="X587" s="7" t="s">
        <v>72</v>
      </c>
      <c r="Y587" s="9"/>
    </row>
    <row r="588" spans="1:25">
      <c r="A588" s="21">
        <v>45555</v>
      </c>
      <c r="B588" s="28">
        <v>17.45</v>
      </c>
      <c r="C588" s="23">
        <f>IFERROR((B588-B589)/B589,0)</f>
        <v>5.1843317972350153E-3</v>
      </c>
      <c r="D588" s="24">
        <f>_xlfn.STDEV.S($C$588:$C$630)</f>
        <v>9.0273200856437561E-3</v>
      </c>
      <c r="E588" s="28">
        <v>17.5</v>
      </c>
      <c r="F588" s="28">
        <v>17.3</v>
      </c>
      <c r="G588" s="39">
        <f>(E588-F588)/(AVERAGE(E588,F588))</f>
        <v>1.1494252873563178E-2</v>
      </c>
      <c r="H588" s="28">
        <v>17.46</v>
      </c>
      <c r="I588" s="28">
        <v>17.45</v>
      </c>
      <c r="J588" s="39">
        <f>(H588-I588)/AVERAGE(H588,I588)</f>
        <v>5.7290174735041908E-4</v>
      </c>
      <c r="K588" s="25">
        <v>380284</v>
      </c>
      <c r="L588" s="41">
        <f>2223*1000000</f>
        <v>2223000000</v>
      </c>
      <c r="M588" s="39">
        <f>K588*B588</f>
        <v>6635955.7999999998</v>
      </c>
      <c r="N588" s="24">
        <f>2223*1000000</f>
        <v>2223000000</v>
      </c>
      <c r="O588" s="39">
        <f>K588/N588</f>
        <v>1.7106792622582096E-4</v>
      </c>
      <c r="P588" s="36">
        <v>82074.45</v>
      </c>
      <c r="Q588" s="9">
        <v>0.1741</v>
      </c>
      <c r="R588" s="26">
        <f>73305.59*1000000</f>
        <v>73305590000</v>
      </c>
      <c r="S588" s="26">
        <f>859.15*1000000</f>
        <v>859150000</v>
      </c>
      <c r="T588" s="26">
        <f>1024.32*1000000</f>
        <v>1024319999.9999999</v>
      </c>
      <c r="U588" s="26">
        <f>1041.26*1000000</f>
        <v>1041260000</v>
      </c>
      <c r="V588" s="41">
        <v>0</v>
      </c>
      <c r="W588">
        <f>IFERROR(ABS(C588)/M588,"0")</f>
        <v>7.812486932530526E-10</v>
      </c>
      <c r="X588">
        <f>V588/R588</f>
        <v>0</v>
      </c>
      <c r="Y588" s="9"/>
    </row>
    <row r="589" spans="1:25">
      <c r="A589" s="21">
        <v>45554</v>
      </c>
      <c r="B589" s="28">
        <v>17.36</v>
      </c>
      <c r="C589" s="23">
        <f t="shared" ref="C589:C629" si="175">IFERROR((B589-B590)/B590,0)</f>
        <v>2.3094688221708512E-3</v>
      </c>
      <c r="D589" s="24">
        <f t="shared" ref="D589:D630" si="176">_xlfn.STDEV.S($C$588:$C$630)</f>
        <v>9.0273200856437561E-3</v>
      </c>
      <c r="E589" s="28">
        <v>17.45</v>
      </c>
      <c r="F589" s="28">
        <v>17.260000000000002</v>
      </c>
      <c r="G589" s="39">
        <f t="shared" ref="G589:G630" si="177">(E589-F589)/(AVERAGE(E589,F589))</f>
        <v>1.0947853644482726E-2</v>
      </c>
      <c r="H589" s="28">
        <v>17.350000000000001</v>
      </c>
      <c r="I589" s="28">
        <v>17.34</v>
      </c>
      <c r="J589" s="39">
        <f t="shared" ref="J589:J630" si="178">(H589-I589)/AVERAGE(H589,I589)</f>
        <v>5.7653502450282868E-4</v>
      </c>
      <c r="K589" s="25">
        <v>354413</v>
      </c>
      <c r="L589" s="41">
        <f t="shared" ref="L589:L630" si="179">2223*1000000</f>
        <v>2223000000</v>
      </c>
      <c r="M589" s="39">
        <f t="shared" ref="M589:M630" si="180">K589*B589</f>
        <v>6152609.6799999997</v>
      </c>
      <c r="N589" s="24">
        <f t="shared" ref="N589:N630" si="181">2223*1000000</f>
        <v>2223000000</v>
      </c>
      <c r="O589" s="39">
        <f t="shared" ref="O589:O630" si="182">K589/N589</f>
        <v>1.5943004948268106E-4</v>
      </c>
      <c r="P589" s="36">
        <v>81459.289999999994</v>
      </c>
      <c r="Q589" s="9">
        <v>0.1741</v>
      </c>
      <c r="R589" s="26">
        <f t="shared" ref="R589:R630" si="183">73305.59*1000000</f>
        <v>73305590000</v>
      </c>
      <c r="S589" s="26">
        <f t="shared" ref="S589:S630" si="184">859.15*1000000</f>
        <v>859150000</v>
      </c>
      <c r="T589" s="26">
        <f t="shared" ref="T589:T630" si="185">1024.32*1000000</f>
        <v>1024319999.9999999</v>
      </c>
      <c r="U589" s="26">
        <f t="shared" ref="U589:U630" si="186">1041.26*1000000</f>
        <v>1041260000</v>
      </c>
      <c r="V589" s="41">
        <v>0</v>
      </c>
      <c r="W589">
        <f t="shared" ref="W589:W630" si="187">IFERROR(ABS(C589)/M589,"0")</f>
        <v>3.7536410438616531E-10</v>
      </c>
      <c r="X589">
        <f>V589/R589</f>
        <v>0</v>
      </c>
      <c r="Y589" s="9"/>
    </row>
    <row r="590" spans="1:25">
      <c r="A590" s="21">
        <v>45553</v>
      </c>
      <c r="B590" s="28">
        <v>17.32</v>
      </c>
      <c r="C590" s="23">
        <f t="shared" si="175"/>
        <v>-6.8807339449541852E-3</v>
      </c>
      <c r="D590" s="24">
        <f t="shared" si="176"/>
        <v>9.0273200856437561E-3</v>
      </c>
      <c r="E590" s="28">
        <v>17.5</v>
      </c>
      <c r="F590" s="28">
        <v>17.2</v>
      </c>
      <c r="G590" s="39">
        <f t="shared" si="177"/>
        <v>1.7291066282420789E-2</v>
      </c>
      <c r="H590" s="28">
        <v>17.34</v>
      </c>
      <c r="I590" s="28">
        <v>17.3</v>
      </c>
      <c r="J590" s="39">
        <f t="shared" si="178"/>
        <v>2.3094688221708512E-3</v>
      </c>
      <c r="K590" s="25">
        <v>810522</v>
      </c>
      <c r="L590" s="41">
        <f t="shared" si="179"/>
        <v>2223000000</v>
      </c>
      <c r="M590" s="39">
        <f t="shared" si="180"/>
        <v>14038241.040000001</v>
      </c>
      <c r="N590" s="24">
        <f t="shared" si="181"/>
        <v>2223000000</v>
      </c>
      <c r="O590" s="39">
        <f t="shared" si="182"/>
        <v>3.6460728744939271E-4</v>
      </c>
      <c r="P590" s="36">
        <v>80461.34</v>
      </c>
      <c r="Q590" s="9">
        <v>0.1741</v>
      </c>
      <c r="R590" s="26">
        <f t="shared" si="183"/>
        <v>73305590000</v>
      </c>
      <c r="S590" s="26">
        <f t="shared" si="184"/>
        <v>859150000</v>
      </c>
      <c r="T590" s="26">
        <f t="shared" si="185"/>
        <v>1024319999.9999999</v>
      </c>
      <c r="U590" s="26">
        <f t="shared" si="186"/>
        <v>1041260000</v>
      </c>
      <c r="V590" s="41">
        <v>0</v>
      </c>
      <c r="W590">
        <f t="shared" si="187"/>
        <v>4.9014217132677079E-10</v>
      </c>
      <c r="X590">
        <f t="shared" ref="X590:X630" si="188">V590/R590</f>
        <v>0</v>
      </c>
      <c r="Y590" s="9"/>
    </row>
    <row r="591" spans="1:25">
      <c r="A591" s="21">
        <v>45551</v>
      </c>
      <c r="B591" s="28">
        <v>17.440000000000001</v>
      </c>
      <c r="C591" s="23">
        <f t="shared" si="175"/>
        <v>5.187319884726216E-3</v>
      </c>
      <c r="D591" s="24">
        <f t="shared" si="176"/>
        <v>9.0273200856437561E-3</v>
      </c>
      <c r="E591" s="28">
        <v>17.5</v>
      </c>
      <c r="F591" s="28">
        <v>17.2</v>
      </c>
      <c r="G591" s="39">
        <f t="shared" si="177"/>
        <v>1.7291066282420789E-2</v>
      </c>
      <c r="H591" s="28">
        <v>17.46</v>
      </c>
      <c r="I591" s="28">
        <v>17.440000000000001</v>
      </c>
      <c r="J591" s="39">
        <f t="shared" si="178"/>
        <v>1.1461318051575685E-3</v>
      </c>
      <c r="K591" s="25">
        <v>350953</v>
      </c>
      <c r="L591" s="41">
        <f t="shared" si="179"/>
        <v>2223000000</v>
      </c>
      <c r="M591" s="39">
        <f t="shared" si="180"/>
        <v>6120620.3200000003</v>
      </c>
      <c r="N591" s="24">
        <f t="shared" si="181"/>
        <v>2223000000</v>
      </c>
      <c r="O591" s="39">
        <f t="shared" si="182"/>
        <v>1.5787359424201529E-4</v>
      </c>
      <c r="P591" s="36">
        <v>79491.14</v>
      </c>
      <c r="Q591" s="9">
        <v>0.1741</v>
      </c>
      <c r="R591" s="26">
        <f t="shared" si="183"/>
        <v>73305590000</v>
      </c>
      <c r="S591" s="26">
        <f t="shared" si="184"/>
        <v>859150000</v>
      </c>
      <c r="T591" s="26">
        <f t="shared" si="185"/>
        <v>1024319999.9999999</v>
      </c>
      <c r="U591" s="26">
        <f t="shared" si="186"/>
        <v>1041260000</v>
      </c>
      <c r="V591" s="41">
        <v>0</v>
      </c>
      <c r="W591">
        <f t="shared" si="187"/>
        <v>8.4751538463771526E-10</v>
      </c>
      <c r="X591">
        <f t="shared" si="188"/>
        <v>0</v>
      </c>
      <c r="Y591" s="9"/>
    </row>
    <row r="592" spans="1:25">
      <c r="A592" s="21">
        <v>45548</v>
      </c>
      <c r="B592" s="28">
        <v>17.350000000000001</v>
      </c>
      <c r="C592" s="23">
        <f t="shared" si="175"/>
        <v>1.6998827667057605E-2</v>
      </c>
      <c r="D592" s="24">
        <f t="shared" si="176"/>
        <v>9.0273200856437561E-3</v>
      </c>
      <c r="E592" s="28">
        <v>17.39</v>
      </c>
      <c r="F592" s="28">
        <v>17.059999999999999</v>
      </c>
      <c r="G592" s="39">
        <f t="shared" si="177"/>
        <v>1.9158200290275866E-2</v>
      </c>
      <c r="H592" s="28">
        <v>17.38</v>
      </c>
      <c r="I592" s="28">
        <v>17.350000000000001</v>
      </c>
      <c r="J592" s="39">
        <f t="shared" si="178"/>
        <v>1.7276130146845713E-3</v>
      </c>
      <c r="K592" s="25">
        <v>505492</v>
      </c>
      <c r="L592" s="41">
        <f t="shared" si="179"/>
        <v>2223000000</v>
      </c>
      <c r="M592" s="39">
        <f t="shared" si="180"/>
        <v>8770286.2000000011</v>
      </c>
      <c r="N592" s="24">
        <f t="shared" si="181"/>
        <v>2223000000</v>
      </c>
      <c r="O592" s="39">
        <f t="shared" si="182"/>
        <v>2.2739181286549707E-4</v>
      </c>
      <c r="P592" s="36">
        <v>79333.06</v>
      </c>
      <c r="Q592" s="9">
        <v>0.1741</v>
      </c>
      <c r="R592" s="26">
        <f t="shared" si="183"/>
        <v>73305590000</v>
      </c>
      <c r="S592" s="26">
        <f t="shared" si="184"/>
        <v>859150000</v>
      </c>
      <c r="T592" s="26">
        <f t="shared" si="185"/>
        <v>1024319999.9999999</v>
      </c>
      <c r="U592" s="26">
        <f t="shared" si="186"/>
        <v>1041260000</v>
      </c>
      <c r="V592" s="41">
        <v>0</v>
      </c>
      <c r="W592">
        <f t="shared" si="187"/>
        <v>1.9382295263132465E-9</v>
      </c>
      <c r="X592">
        <f t="shared" si="188"/>
        <v>0</v>
      </c>
      <c r="Y592" s="9"/>
    </row>
    <row r="593" spans="1:25">
      <c r="A593" s="21">
        <v>45547</v>
      </c>
      <c r="B593" s="28">
        <v>17.059999999999999</v>
      </c>
      <c r="C593" s="23">
        <f t="shared" si="175"/>
        <v>-2.9222676797195039E-3</v>
      </c>
      <c r="D593" s="24">
        <f t="shared" si="176"/>
        <v>9.0273200856437561E-3</v>
      </c>
      <c r="E593" s="28">
        <v>17.239999999999998</v>
      </c>
      <c r="F593" s="28">
        <v>17</v>
      </c>
      <c r="G593" s="39">
        <f t="shared" si="177"/>
        <v>1.4018691588784958E-2</v>
      </c>
      <c r="H593" s="28">
        <v>17.100000000000001</v>
      </c>
      <c r="I593" s="28">
        <v>17.07</v>
      </c>
      <c r="J593" s="39">
        <f t="shared" si="178"/>
        <v>1.7559262510975203E-3</v>
      </c>
      <c r="K593" s="25">
        <v>368739</v>
      </c>
      <c r="L593" s="41">
        <f t="shared" si="179"/>
        <v>2223000000</v>
      </c>
      <c r="M593" s="39">
        <f t="shared" si="180"/>
        <v>6290687.3399999999</v>
      </c>
      <c r="N593" s="24">
        <f t="shared" si="181"/>
        <v>2223000000</v>
      </c>
      <c r="O593" s="39">
        <f t="shared" si="182"/>
        <v>1.6587449392712551E-4</v>
      </c>
      <c r="P593" s="36">
        <v>79017.62</v>
      </c>
      <c r="Q593" s="9">
        <v>0.1741</v>
      </c>
      <c r="R593" s="26">
        <f t="shared" si="183"/>
        <v>73305590000</v>
      </c>
      <c r="S593" s="26">
        <f t="shared" si="184"/>
        <v>859150000</v>
      </c>
      <c r="T593" s="26">
        <f t="shared" si="185"/>
        <v>1024319999.9999999</v>
      </c>
      <c r="U593" s="26">
        <f t="shared" si="186"/>
        <v>1041260000</v>
      </c>
      <c r="V593" s="41">
        <v>0</v>
      </c>
      <c r="W593">
        <f t="shared" si="187"/>
        <v>4.6453869375099223E-10</v>
      </c>
      <c r="X593">
        <f t="shared" si="188"/>
        <v>0</v>
      </c>
      <c r="Y593" s="9"/>
    </row>
    <row r="594" spans="1:25">
      <c r="A594" s="21">
        <v>45546</v>
      </c>
      <c r="B594" s="28">
        <v>17.11</v>
      </c>
      <c r="C594" s="23">
        <f t="shared" si="175"/>
        <v>5.8479532163731047E-4</v>
      </c>
      <c r="D594" s="24">
        <f t="shared" si="176"/>
        <v>9.0273200856437561E-3</v>
      </c>
      <c r="E594" s="28">
        <v>17.18</v>
      </c>
      <c r="F594" s="28">
        <v>17.100000000000001</v>
      </c>
      <c r="G594" s="39">
        <f t="shared" si="177"/>
        <v>4.6674445740955833E-3</v>
      </c>
      <c r="H594" s="28">
        <v>17.12</v>
      </c>
      <c r="I594" s="28">
        <v>17.11</v>
      </c>
      <c r="J594" s="39">
        <f t="shared" si="178"/>
        <v>5.8428279287184119E-4</v>
      </c>
      <c r="K594" s="25">
        <v>237613</v>
      </c>
      <c r="L594" s="41">
        <f t="shared" si="179"/>
        <v>2223000000</v>
      </c>
      <c r="M594" s="39">
        <f t="shared" si="180"/>
        <v>4065558.4299999997</v>
      </c>
      <c r="N594" s="24">
        <f t="shared" si="181"/>
        <v>2223000000</v>
      </c>
      <c r="O594" s="39">
        <f t="shared" si="182"/>
        <v>1.0688843904633378E-4</v>
      </c>
      <c r="P594" s="36">
        <v>78651.8</v>
      </c>
      <c r="Q594" s="9">
        <v>0.1741</v>
      </c>
      <c r="R594" s="26">
        <f t="shared" si="183"/>
        <v>73305590000</v>
      </c>
      <c r="S594" s="26">
        <f t="shared" si="184"/>
        <v>859150000</v>
      </c>
      <c r="T594" s="26">
        <f t="shared" si="185"/>
        <v>1024319999.9999999</v>
      </c>
      <c r="U594" s="26">
        <f t="shared" si="186"/>
        <v>1041260000</v>
      </c>
      <c r="V594" s="41">
        <v>0</v>
      </c>
      <c r="W594">
        <f t="shared" si="187"/>
        <v>1.4384132750917331E-10</v>
      </c>
      <c r="X594">
        <f t="shared" si="188"/>
        <v>0</v>
      </c>
      <c r="Y594" s="9"/>
    </row>
    <row r="595" spans="1:25">
      <c r="A595" s="21">
        <v>45545</v>
      </c>
      <c r="B595" s="28">
        <v>17.100000000000001</v>
      </c>
      <c r="C595" s="23">
        <f t="shared" si="175"/>
        <v>2.3446658851115302E-3</v>
      </c>
      <c r="D595" s="24">
        <f t="shared" si="176"/>
        <v>9.0273200856437561E-3</v>
      </c>
      <c r="E595" s="28">
        <v>17.18</v>
      </c>
      <c r="F595" s="28">
        <v>17.05</v>
      </c>
      <c r="G595" s="39">
        <f t="shared" si="177"/>
        <v>7.5956763073326897E-3</v>
      </c>
      <c r="H595" s="28">
        <v>17.11</v>
      </c>
      <c r="I595" s="28">
        <v>17.100000000000001</v>
      </c>
      <c r="J595" s="39">
        <f t="shared" si="178"/>
        <v>5.8462437883648112E-4</v>
      </c>
      <c r="K595" s="25">
        <v>353320</v>
      </c>
      <c r="L595" s="41">
        <f t="shared" si="179"/>
        <v>2223000000</v>
      </c>
      <c r="M595" s="39">
        <f t="shared" si="180"/>
        <v>6041772.0000000009</v>
      </c>
      <c r="N595" s="24">
        <f t="shared" si="181"/>
        <v>2223000000</v>
      </c>
      <c r="O595" s="39">
        <f t="shared" si="182"/>
        <v>1.5893837156995052E-4</v>
      </c>
      <c r="P595" s="36">
        <v>79286.740000000005</v>
      </c>
      <c r="Q595" s="9">
        <v>0.1741</v>
      </c>
      <c r="R595" s="26">
        <f t="shared" si="183"/>
        <v>73305590000</v>
      </c>
      <c r="S595" s="26">
        <f t="shared" si="184"/>
        <v>859150000</v>
      </c>
      <c r="T595" s="26">
        <f t="shared" si="185"/>
        <v>1024319999.9999999</v>
      </c>
      <c r="U595" s="26">
        <f t="shared" si="186"/>
        <v>1041260000</v>
      </c>
      <c r="V595" s="41">
        <v>0</v>
      </c>
      <c r="W595">
        <f t="shared" si="187"/>
        <v>3.8807586335789067E-10</v>
      </c>
      <c r="X595">
        <f t="shared" si="188"/>
        <v>0</v>
      </c>
      <c r="Y595" s="9"/>
    </row>
    <row r="596" spans="1:25">
      <c r="A596" s="21">
        <v>45544</v>
      </c>
      <c r="B596" s="28">
        <v>17.059999999999999</v>
      </c>
      <c r="C596" s="23">
        <f t="shared" si="175"/>
        <v>-1.755412521942723E-3</v>
      </c>
      <c r="D596" s="24">
        <f t="shared" si="176"/>
        <v>9.0273200856437561E-3</v>
      </c>
      <c r="E596" s="28">
        <v>17.14</v>
      </c>
      <c r="F596" s="28">
        <v>16.95</v>
      </c>
      <c r="G596" s="39">
        <f t="shared" si="177"/>
        <v>1.1146963919037915E-2</v>
      </c>
      <c r="H596" s="28">
        <v>17.100000000000001</v>
      </c>
      <c r="I596" s="28">
        <v>17.010000000000002</v>
      </c>
      <c r="J596" s="39">
        <f t="shared" si="178"/>
        <v>5.2770448548812585E-3</v>
      </c>
      <c r="K596" s="25">
        <v>300936</v>
      </c>
      <c r="L596" s="41">
        <f t="shared" si="179"/>
        <v>2223000000</v>
      </c>
      <c r="M596" s="39">
        <f t="shared" si="180"/>
        <v>5133968.1599999992</v>
      </c>
      <c r="N596" s="24">
        <f t="shared" si="181"/>
        <v>2223000000</v>
      </c>
      <c r="O596" s="39">
        <f t="shared" si="182"/>
        <v>1.3537381916329285E-4</v>
      </c>
      <c r="P596" s="36">
        <v>78615</v>
      </c>
      <c r="Q596" s="9">
        <v>0.1741</v>
      </c>
      <c r="R596" s="26">
        <f t="shared" si="183"/>
        <v>73305590000</v>
      </c>
      <c r="S596" s="26">
        <f t="shared" si="184"/>
        <v>859150000</v>
      </c>
      <c r="T596" s="26">
        <f t="shared" si="185"/>
        <v>1024319999.9999999</v>
      </c>
      <c r="U596" s="26">
        <f t="shared" si="186"/>
        <v>1041260000</v>
      </c>
      <c r="V596" s="41">
        <v>0</v>
      </c>
      <c r="W596">
        <f t="shared" si="187"/>
        <v>3.4192119375020107E-10</v>
      </c>
      <c r="X596">
        <f t="shared" si="188"/>
        <v>0</v>
      </c>
      <c r="Y596" s="9"/>
    </row>
    <row r="597" spans="1:25">
      <c r="A597" s="21">
        <v>45541</v>
      </c>
      <c r="B597" s="28">
        <v>17.09</v>
      </c>
      <c r="C597" s="23">
        <f t="shared" si="175"/>
        <v>4.7031158142268248E-3</v>
      </c>
      <c r="D597" s="24">
        <f t="shared" si="176"/>
        <v>9.0273200856437561E-3</v>
      </c>
      <c r="E597" s="28">
        <v>17.25</v>
      </c>
      <c r="F597" s="28">
        <v>17.010000000000002</v>
      </c>
      <c r="G597" s="39">
        <f t="shared" si="177"/>
        <v>1.4010507880910589E-2</v>
      </c>
      <c r="H597" s="28">
        <v>17.09</v>
      </c>
      <c r="I597" s="28">
        <v>17.079999999999998</v>
      </c>
      <c r="J597" s="39">
        <f t="shared" si="178"/>
        <v>5.8530875036590948E-4</v>
      </c>
      <c r="K597" s="25">
        <v>259983</v>
      </c>
      <c r="L597" s="41">
        <f t="shared" si="179"/>
        <v>2223000000</v>
      </c>
      <c r="M597" s="39">
        <f t="shared" si="180"/>
        <v>4443109.47</v>
      </c>
      <c r="N597" s="24">
        <f t="shared" si="181"/>
        <v>2223000000</v>
      </c>
      <c r="O597" s="39">
        <f t="shared" si="182"/>
        <v>1.1695141700404859E-4</v>
      </c>
      <c r="P597" s="36">
        <v>78897.73</v>
      </c>
      <c r="Q597" s="9">
        <v>0.1741</v>
      </c>
      <c r="R597" s="26">
        <f t="shared" si="183"/>
        <v>73305590000</v>
      </c>
      <c r="S597" s="26">
        <f t="shared" si="184"/>
        <v>859150000</v>
      </c>
      <c r="T597" s="26">
        <f t="shared" si="185"/>
        <v>1024319999.9999999</v>
      </c>
      <c r="U597" s="26">
        <f t="shared" si="186"/>
        <v>1041260000</v>
      </c>
      <c r="V597" s="41">
        <v>0</v>
      </c>
      <c r="W597">
        <f t="shared" si="187"/>
        <v>1.0585190047606063E-9</v>
      </c>
      <c r="X597">
        <f t="shared" si="188"/>
        <v>0</v>
      </c>
      <c r="Y597" s="9"/>
    </row>
    <row r="598" spans="1:25">
      <c r="A598" s="21">
        <v>45540</v>
      </c>
      <c r="B598" s="28">
        <v>17.010000000000002</v>
      </c>
      <c r="C598" s="23">
        <f t="shared" si="175"/>
        <v>-5.8445353594388004E-3</v>
      </c>
      <c r="D598" s="24">
        <f t="shared" si="176"/>
        <v>9.0273200856437561E-3</v>
      </c>
      <c r="E598" s="28">
        <v>17.170000000000002</v>
      </c>
      <c r="F598" s="28">
        <v>16.95</v>
      </c>
      <c r="G598" s="39">
        <f t="shared" si="177"/>
        <v>1.2895662368112683E-2</v>
      </c>
      <c r="H598" s="28">
        <v>16.98</v>
      </c>
      <c r="I598" s="28">
        <v>16.97</v>
      </c>
      <c r="J598" s="39">
        <f t="shared" si="178"/>
        <v>5.891016200295471E-4</v>
      </c>
      <c r="K598" s="25">
        <v>438302</v>
      </c>
      <c r="L598" s="41">
        <f t="shared" si="179"/>
        <v>2223000000</v>
      </c>
      <c r="M598" s="39">
        <f t="shared" si="180"/>
        <v>7455517.0200000005</v>
      </c>
      <c r="N598" s="24">
        <f t="shared" si="181"/>
        <v>2223000000</v>
      </c>
      <c r="O598" s="39">
        <f t="shared" si="182"/>
        <v>1.9716689158794421E-4</v>
      </c>
      <c r="P598" s="36">
        <v>78863.34</v>
      </c>
      <c r="Q598" s="9">
        <v>0.1741</v>
      </c>
      <c r="R598" s="26">
        <f t="shared" si="183"/>
        <v>73305590000</v>
      </c>
      <c r="S598" s="26">
        <f t="shared" si="184"/>
        <v>859150000</v>
      </c>
      <c r="T598" s="26">
        <f t="shared" si="185"/>
        <v>1024319999.9999999</v>
      </c>
      <c r="U598" s="26">
        <f t="shared" si="186"/>
        <v>1041260000</v>
      </c>
      <c r="V598" s="41">
        <v>0</v>
      </c>
      <c r="W598">
        <f t="shared" si="187"/>
        <v>7.8392086608619934E-10</v>
      </c>
      <c r="X598">
        <f t="shared" si="188"/>
        <v>0</v>
      </c>
      <c r="Y598" s="9"/>
    </row>
    <row r="599" spans="1:25">
      <c r="A599" s="21">
        <v>45539</v>
      </c>
      <c r="B599" s="28">
        <v>17.11</v>
      </c>
      <c r="C599" s="23">
        <f t="shared" si="175"/>
        <v>1.7564402810305118E-3</v>
      </c>
      <c r="D599" s="24">
        <f t="shared" si="176"/>
        <v>9.0273200856437561E-3</v>
      </c>
      <c r="E599" s="28">
        <v>17.149999999999999</v>
      </c>
      <c r="F599" s="28">
        <v>17.010000000000002</v>
      </c>
      <c r="G599" s="39">
        <f t="shared" si="177"/>
        <v>8.1967213114752368E-3</v>
      </c>
      <c r="H599" s="28">
        <v>17.12</v>
      </c>
      <c r="I599" s="28">
        <v>17.100000000000001</v>
      </c>
      <c r="J599" s="39">
        <f t="shared" si="178"/>
        <v>1.1689070718877601E-3</v>
      </c>
      <c r="K599" s="25">
        <v>236265</v>
      </c>
      <c r="L599" s="41">
        <f t="shared" si="179"/>
        <v>2223000000</v>
      </c>
      <c r="M599" s="39">
        <f t="shared" si="180"/>
        <v>4042494.15</v>
      </c>
      <c r="N599" s="24">
        <f t="shared" si="181"/>
        <v>2223000000</v>
      </c>
      <c r="O599" s="39">
        <f t="shared" si="182"/>
        <v>1.0628205128205129E-4</v>
      </c>
      <c r="P599" s="36">
        <v>78848.009999999995</v>
      </c>
      <c r="Q599" s="9">
        <v>0.1741</v>
      </c>
      <c r="R599" s="26">
        <f t="shared" si="183"/>
        <v>73305590000</v>
      </c>
      <c r="S599" s="26">
        <f t="shared" si="184"/>
        <v>859150000</v>
      </c>
      <c r="T599" s="26">
        <f t="shared" si="185"/>
        <v>1024319999.9999999</v>
      </c>
      <c r="U599" s="26">
        <f t="shared" si="186"/>
        <v>1041260000</v>
      </c>
      <c r="V599" s="41">
        <v>0</v>
      </c>
      <c r="W599">
        <f t="shared" si="187"/>
        <v>4.3449420477961901E-10</v>
      </c>
      <c r="X599">
        <f t="shared" si="188"/>
        <v>0</v>
      </c>
      <c r="Y599" s="9"/>
    </row>
    <row r="600" spans="1:25">
      <c r="A600" s="21">
        <v>45538</v>
      </c>
      <c r="B600" s="28">
        <v>17.079999999999998</v>
      </c>
      <c r="C600" s="23">
        <f t="shared" si="175"/>
        <v>-1.753360607831744E-3</v>
      </c>
      <c r="D600" s="24">
        <f t="shared" si="176"/>
        <v>9.0273200856437561E-3</v>
      </c>
      <c r="E600" s="28">
        <v>17.190000000000001</v>
      </c>
      <c r="F600" s="28">
        <v>17</v>
      </c>
      <c r="G600" s="39">
        <f t="shared" si="177"/>
        <v>1.1114360924246931E-2</v>
      </c>
      <c r="H600" s="28">
        <v>17.079999999999998</v>
      </c>
      <c r="I600" s="28">
        <v>17</v>
      </c>
      <c r="J600" s="39">
        <f t="shared" si="178"/>
        <v>4.6948356807510741E-3</v>
      </c>
      <c r="K600" s="25">
        <v>431046</v>
      </c>
      <c r="L600" s="41">
        <f t="shared" si="179"/>
        <v>2223000000</v>
      </c>
      <c r="M600" s="39">
        <f t="shared" si="180"/>
        <v>7362265.6799999997</v>
      </c>
      <c r="N600" s="24">
        <f t="shared" si="181"/>
        <v>2223000000</v>
      </c>
      <c r="O600" s="39">
        <f t="shared" si="182"/>
        <v>1.9390283400809718E-4</v>
      </c>
      <c r="P600" s="36">
        <v>78356.320000000007</v>
      </c>
      <c r="Q600" s="9">
        <v>0.17469999999999999</v>
      </c>
      <c r="R600" s="26">
        <f t="shared" si="183"/>
        <v>73305590000</v>
      </c>
      <c r="S600" s="26">
        <f t="shared" si="184"/>
        <v>859150000</v>
      </c>
      <c r="T600" s="26">
        <f t="shared" si="185"/>
        <v>1024319999.9999999</v>
      </c>
      <c r="U600" s="26">
        <f t="shared" si="186"/>
        <v>1041260000</v>
      </c>
      <c r="V600" s="41">
        <v>0</v>
      </c>
      <c r="W600">
        <f t="shared" si="187"/>
        <v>2.3815503053561958E-10</v>
      </c>
      <c r="X600">
        <f t="shared" si="188"/>
        <v>0</v>
      </c>
      <c r="Y600" s="9"/>
    </row>
    <row r="601" spans="1:25">
      <c r="A601" s="21">
        <v>45537</v>
      </c>
      <c r="B601" s="28">
        <v>17.11</v>
      </c>
      <c r="C601" s="23">
        <f t="shared" si="175"/>
        <v>-4.6538685282141853E-3</v>
      </c>
      <c r="D601" s="24">
        <f t="shared" si="176"/>
        <v>9.0273200856437561E-3</v>
      </c>
      <c r="E601" s="28">
        <v>17.2</v>
      </c>
      <c r="F601" s="28">
        <v>17</v>
      </c>
      <c r="G601" s="39">
        <f t="shared" si="177"/>
        <v>1.1695906432748496E-2</v>
      </c>
      <c r="H601" s="28">
        <v>17.18</v>
      </c>
      <c r="I601" s="28">
        <v>17.149999999999999</v>
      </c>
      <c r="J601" s="39">
        <f t="shared" si="178"/>
        <v>1.7477424992718403E-3</v>
      </c>
      <c r="K601" s="25">
        <v>207115</v>
      </c>
      <c r="L601" s="41">
        <f t="shared" si="179"/>
        <v>2223000000</v>
      </c>
      <c r="M601" s="39">
        <f t="shared" si="180"/>
        <v>3543737.65</v>
      </c>
      <c r="N601" s="24">
        <f t="shared" si="181"/>
        <v>2223000000</v>
      </c>
      <c r="O601" s="39">
        <f t="shared" si="182"/>
        <v>9.3169140800719745E-5</v>
      </c>
      <c r="P601" s="36">
        <v>78283.3</v>
      </c>
      <c r="Q601" s="9">
        <v>0.17469999999999999</v>
      </c>
      <c r="R601" s="26">
        <f t="shared" si="183"/>
        <v>73305590000</v>
      </c>
      <c r="S601" s="26">
        <f t="shared" si="184"/>
        <v>859150000</v>
      </c>
      <c r="T601" s="26">
        <f t="shared" si="185"/>
        <v>1024319999.9999999</v>
      </c>
      <c r="U601" s="26">
        <f t="shared" si="186"/>
        <v>1041260000</v>
      </c>
      <c r="V601" s="41">
        <v>0</v>
      </c>
      <c r="W601">
        <f t="shared" si="187"/>
        <v>1.3132655370846048E-9</v>
      </c>
      <c r="X601">
        <f t="shared" si="188"/>
        <v>0</v>
      </c>
      <c r="Y601" s="9"/>
    </row>
    <row r="602" spans="1:25">
      <c r="A602" s="21">
        <v>45534</v>
      </c>
      <c r="B602" s="28">
        <v>17.190000000000001</v>
      </c>
      <c r="C602" s="23">
        <f t="shared" si="175"/>
        <v>2.5044722719141425E-2</v>
      </c>
      <c r="D602" s="24">
        <f t="shared" si="176"/>
        <v>9.0273200856437561E-3</v>
      </c>
      <c r="E602" s="28">
        <v>17.25</v>
      </c>
      <c r="F602" s="28">
        <v>16.72</v>
      </c>
      <c r="G602" s="39">
        <f t="shared" si="177"/>
        <v>3.1204003532528769E-2</v>
      </c>
      <c r="H602" s="28">
        <v>17.2</v>
      </c>
      <c r="I602" s="28">
        <v>17.14</v>
      </c>
      <c r="J602" s="39">
        <f t="shared" si="178"/>
        <v>3.4944670937681254E-3</v>
      </c>
      <c r="K602" s="25">
        <v>694975</v>
      </c>
      <c r="L602" s="41">
        <f t="shared" si="179"/>
        <v>2223000000</v>
      </c>
      <c r="M602" s="39">
        <f t="shared" si="180"/>
        <v>11946620.25</v>
      </c>
      <c r="N602" s="24">
        <f t="shared" si="181"/>
        <v>2223000000</v>
      </c>
      <c r="O602" s="39">
        <f t="shared" si="182"/>
        <v>3.1262932973459291E-4</v>
      </c>
      <c r="P602" s="36">
        <v>78488.22</v>
      </c>
      <c r="Q602" s="9">
        <v>0.17469999999999999</v>
      </c>
      <c r="R602" s="26">
        <f t="shared" si="183"/>
        <v>73305590000</v>
      </c>
      <c r="S602" s="26">
        <f t="shared" si="184"/>
        <v>859150000</v>
      </c>
      <c r="T602" s="26">
        <f t="shared" si="185"/>
        <v>1024319999.9999999</v>
      </c>
      <c r="U602" s="26">
        <f t="shared" si="186"/>
        <v>1041260000</v>
      </c>
      <c r="V602" s="41">
        <v>0</v>
      </c>
      <c r="W602">
        <f t="shared" si="187"/>
        <v>2.0963856048861541E-9</v>
      </c>
      <c r="X602">
        <f t="shared" si="188"/>
        <v>0</v>
      </c>
      <c r="Y602" s="9"/>
    </row>
    <row r="603" spans="1:25">
      <c r="A603" s="21">
        <v>45533</v>
      </c>
      <c r="B603" s="28">
        <v>16.77</v>
      </c>
      <c r="C603" s="23">
        <f t="shared" si="175"/>
        <v>7.8124999999999402E-3</v>
      </c>
      <c r="D603" s="24">
        <f t="shared" si="176"/>
        <v>9.0273200856437561E-3</v>
      </c>
      <c r="E603" s="28">
        <v>16.8</v>
      </c>
      <c r="F603" s="28">
        <v>16.579999999999998</v>
      </c>
      <c r="G603" s="39">
        <f t="shared" si="177"/>
        <v>1.3181545835829984E-2</v>
      </c>
      <c r="H603" s="28">
        <v>16.8</v>
      </c>
      <c r="I603" s="28">
        <v>16.71</v>
      </c>
      <c r="J603" s="39">
        <f t="shared" si="178"/>
        <v>5.3715308863025871E-3</v>
      </c>
      <c r="K603" s="25">
        <v>307350</v>
      </c>
      <c r="L603" s="41">
        <f t="shared" si="179"/>
        <v>2223000000</v>
      </c>
      <c r="M603" s="39">
        <f t="shared" si="180"/>
        <v>5154259.5</v>
      </c>
      <c r="N603" s="24">
        <f t="shared" si="181"/>
        <v>2223000000</v>
      </c>
      <c r="O603" s="39">
        <f t="shared" si="182"/>
        <v>1.382591093117409E-4</v>
      </c>
      <c r="P603" s="36">
        <v>78349.66</v>
      </c>
      <c r="Q603" s="9">
        <v>0.17469999999999999</v>
      </c>
      <c r="R603" s="26">
        <f t="shared" si="183"/>
        <v>73305590000</v>
      </c>
      <c r="S603" s="26">
        <f t="shared" si="184"/>
        <v>859150000</v>
      </c>
      <c r="T603" s="26">
        <f t="shared" si="185"/>
        <v>1024319999.9999999</v>
      </c>
      <c r="U603" s="26">
        <f t="shared" si="186"/>
        <v>1041260000</v>
      </c>
      <c r="V603" s="41">
        <v>0</v>
      </c>
      <c r="W603">
        <f t="shared" si="187"/>
        <v>1.5157366446140208E-9</v>
      </c>
      <c r="X603">
        <f t="shared" si="188"/>
        <v>0</v>
      </c>
      <c r="Y603" s="9"/>
    </row>
    <row r="604" spans="1:25">
      <c r="A604" s="21">
        <v>45532</v>
      </c>
      <c r="B604" s="28">
        <v>16.64</v>
      </c>
      <c r="C604" s="23">
        <f t="shared" si="175"/>
        <v>6.0132291040298038E-4</v>
      </c>
      <c r="D604" s="24">
        <f t="shared" si="176"/>
        <v>9.0273200856437561E-3</v>
      </c>
      <c r="E604" s="28">
        <v>16.7</v>
      </c>
      <c r="F604" s="28">
        <v>16.489999999999998</v>
      </c>
      <c r="G604" s="39">
        <f t="shared" si="177"/>
        <v>1.2654413980114545E-2</v>
      </c>
      <c r="H604" s="28">
        <v>16.649999999999999</v>
      </c>
      <c r="I604" s="28">
        <v>16.64</v>
      </c>
      <c r="J604" s="39">
        <f t="shared" si="178"/>
        <v>6.0078101531979642E-4</v>
      </c>
      <c r="K604" s="25">
        <v>192129</v>
      </c>
      <c r="L604" s="41">
        <f t="shared" si="179"/>
        <v>2223000000</v>
      </c>
      <c r="M604" s="39">
        <f t="shared" si="180"/>
        <v>3197026.56</v>
      </c>
      <c r="N604" s="24">
        <f t="shared" si="181"/>
        <v>2223000000</v>
      </c>
      <c r="O604" s="39">
        <f t="shared" si="182"/>
        <v>8.6427800269905537E-5</v>
      </c>
      <c r="P604" s="36">
        <v>77992.789999999994</v>
      </c>
      <c r="Q604" s="9">
        <v>0.17469999999999999</v>
      </c>
      <c r="R604" s="26">
        <f t="shared" si="183"/>
        <v>73305590000</v>
      </c>
      <c r="S604" s="26">
        <f t="shared" si="184"/>
        <v>859150000</v>
      </c>
      <c r="T604" s="26">
        <f t="shared" si="185"/>
        <v>1024319999.9999999</v>
      </c>
      <c r="U604" s="26">
        <f t="shared" si="186"/>
        <v>1041260000</v>
      </c>
      <c r="V604" s="41">
        <v>0</v>
      </c>
      <c r="W604">
        <f t="shared" si="187"/>
        <v>1.8808818103875258E-10</v>
      </c>
      <c r="X604">
        <f t="shared" si="188"/>
        <v>0</v>
      </c>
      <c r="Y604" s="9"/>
    </row>
    <row r="605" spans="1:25">
      <c r="A605" s="21">
        <v>45531</v>
      </c>
      <c r="B605" s="28">
        <v>16.63</v>
      </c>
      <c r="C605" s="23">
        <f t="shared" si="175"/>
        <v>4.8338368580059391E-3</v>
      </c>
      <c r="D605" s="24">
        <f t="shared" si="176"/>
        <v>9.0273200856437561E-3</v>
      </c>
      <c r="E605" s="28">
        <v>16.649999999999999</v>
      </c>
      <c r="F605" s="28">
        <v>16.5</v>
      </c>
      <c r="G605" s="39">
        <f t="shared" si="177"/>
        <v>9.0497737556560227E-3</v>
      </c>
      <c r="H605" s="28">
        <v>16.600000000000001</v>
      </c>
      <c r="I605" s="28">
        <v>16.55</v>
      </c>
      <c r="J605" s="39">
        <f t="shared" si="178"/>
        <v>3.0165912518854117E-3</v>
      </c>
      <c r="K605" s="25">
        <v>117767</v>
      </c>
      <c r="L605" s="41">
        <f t="shared" si="179"/>
        <v>2223000000</v>
      </c>
      <c r="M605" s="39">
        <f t="shared" si="180"/>
        <v>1958465.21</v>
      </c>
      <c r="N605" s="24">
        <f t="shared" si="181"/>
        <v>2223000000</v>
      </c>
      <c r="O605" s="39">
        <f t="shared" si="182"/>
        <v>5.29766081871345E-5</v>
      </c>
      <c r="P605" s="36">
        <v>78084.240000000005</v>
      </c>
      <c r="Q605" s="9">
        <v>0.17469999999999999</v>
      </c>
      <c r="R605" s="26">
        <f t="shared" si="183"/>
        <v>73305590000</v>
      </c>
      <c r="S605" s="26">
        <f t="shared" si="184"/>
        <v>859150000</v>
      </c>
      <c r="T605" s="26">
        <f t="shared" si="185"/>
        <v>1024319999.9999999</v>
      </c>
      <c r="U605" s="26">
        <f t="shared" si="186"/>
        <v>1041260000</v>
      </c>
      <c r="V605" s="41">
        <v>0</v>
      </c>
      <c r="W605">
        <f t="shared" si="187"/>
        <v>2.4681760152410055E-9</v>
      </c>
      <c r="X605">
        <f t="shared" si="188"/>
        <v>0</v>
      </c>
      <c r="Y605" s="9"/>
    </row>
    <row r="606" spans="1:25">
      <c r="A606" s="21">
        <v>45530</v>
      </c>
      <c r="B606" s="28">
        <v>16.55</v>
      </c>
      <c r="C606" s="23">
        <f t="shared" si="175"/>
        <v>-4.8105832832229887E-3</v>
      </c>
      <c r="D606" s="24">
        <f t="shared" si="176"/>
        <v>9.0273200856437561E-3</v>
      </c>
      <c r="E606" s="28">
        <v>16.72</v>
      </c>
      <c r="F606" s="28">
        <v>16.489999999999998</v>
      </c>
      <c r="G606" s="39">
        <f t="shared" si="177"/>
        <v>1.3851249623607375E-2</v>
      </c>
      <c r="H606" s="28">
        <v>16.63</v>
      </c>
      <c r="I606" s="28">
        <v>16.600000000000001</v>
      </c>
      <c r="J606" s="39">
        <f t="shared" si="178"/>
        <v>1.8055973517904051E-3</v>
      </c>
      <c r="K606" s="25">
        <v>236582</v>
      </c>
      <c r="L606" s="41">
        <f t="shared" si="179"/>
        <v>2223000000</v>
      </c>
      <c r="M606" s="39">
        <f t="shared" si="180"/>
        <v>3915432.1</v>
      </c>
      <c r="N606" s="24">
        <f t="shared" si="181"/>
        <v>2223000000</v>
      </c>
      <c r="O606" s="39">
        <f t="shared" si="182"/>
        <v>1.0642465137201979E-4</v>
      </c>
      <c r="P606" s="36">
        <v>78571.06</v>
      </c>
      <c r="Q606" s="9">
        <v>0.17469999999999999</v>
      </c>
      <c r="R606" s="26">
        <f t="shared" si="183"/>
        <v>73305590000</v>
      </c>
      <c r="S606" s="26">
        <f t="shared" si="184"/>
        <v>859150000</v>
      </c>
      <c r="T606" s="26">
        <f t="shared" si="185"/>
        <v>1024319999.9999999</v>
      </c>
      <c r="U606" s="26">
        <f t="shared" si="186"/>
        <v>1041260000</v>
      </c>
      <c r="V606" s="41">
        <v>0</v>
      </c>
      <c r="W606">
        <f t="shared" si="187"/>
        <v>1.2286213016496925E-9</v>
      </c>
      <c r="X606">
        <f t="shared" si="188"/>
        <v>0</v>
      </c>
      <c r="Y606" s="9"/>
    </row>
    <row r="607" spans="1:25">
      <c r="A607" s="21">
        <v>45527</v>
      </c>
      <c r="B607" s="28">
        <v>16.63</v>
      </c>
      <c r="C607" s="23">
        <f t="shared" si="175"/>
        <v>4.8338368580059391E-3</v>
      </c>
      <c r="D607" s="24">
        <f t="shared" si="176"/>
        <v>9.0273200856437561E-3</v>
      </c>
      <c r="E607" s="28">
        <v>16.64</v>
      </c>
      <c r="F607" s="28">
        <v>16.5</v>
      </c>
      <c r="G607" s="39">
        <f t="shared" si="177"/>
        <v>8.4490042245021456E-3</v>
      </c>
      <c r="H607" s="28">
        <v>16.63</v>
      </c>
      <c r="I607" s="28">
        <v>16.62</v>
      </c>
      <c r="J607" s="39">
        <f t="shared" si="178"/>
        <v>6.0150375939837662E-4</v>
      </c>
      <c r="K607" s="25">
        <v>118710</v>
      </c>
      <c r="L607" s="41">
        <f t="shared" si="179"/>
        <v>2223000000</v>
      </c>
      <c r="M607" s="39">
        <f t="shared" si="180"/>
        <v>1974147.2999999998</v>
      </c>
      <c r="N607" s="24">
        <f t="shared" si="181"/>
        <v>2223000000</v>
      </c>
      <c r="O607" s="39">
        <f t="shared" si="182"/>
        <v>5.3400809716599187E-5</v>
      </c>
      <c r="P607" s="36">
        <v>78801.429999999993</v>
      </c>
      <c r="Q607" s="9">
        <v>0.17469999999999999</v>
      </c>
      <c r="R607" s="26">
        <f t="shared" si="183"/>
        <v>73305590000</v>
      </c>
      <c r="S607" s="26">
        <f t="shared" si="184"/>
        <v>859150000</v>
      </c>
      <c r="T607" s="26">
        <f t="shared" si="185"/>
        <v>1024319999.9999999</v>
      </c>
      <c r="U607" s="26">
        <f t="shared" si="186"/>
        <v>1041260000</v>
      </c>
      <c r="V607" s="41">
        <v>0</v>
      </c>
      <c r="W607">
        <f t="shared" si="187"/>
        <v>2.4485694952985219E-9</v>
      </c>
      <c r="X607">
        <f t="shared" si="188"/>
        <v>0</v>
      </c>
      <c r="Y607" s="9"/>
    </row>
    <row r="608" spans="1:25">
      <c r="A608" s="21">
        <v>45526</v>
      </c>
      <c r="B608" s="28">
        <v>16.55</v>
      </c>
      <c r="C608" s="23">
        <f t="shared" si="175"/>
        <v>6.079027355623187E-3</v>
      </c>
      <c r="D608" s="24">
        <f t="shared" si="176"/>
        <v>9.0273200856437561E-3</v>
      </c>
      <c r="E608" s="28">
        <v>16.579999999999998</v>
      </c>
      <c r="F608" s="28">
        <v>16.45</v>
      </c>
      <c r="G608" s="39">
        <f t="shared" si="177"/>
        <v>7.8716318498334246E-3</v>
      </c>
      <c r="H608" s="28">
        <v>16.579999999999998</v>
      </c>
      <c r="I608" s="28">
        <v>16.55</v>
      </c>
      <c r="J608" s="39">
        <f t="shared" si="178"/>
        <v>1.8110473890732019E-3</v>
      </c>
      <c r="K608" s="25">
        <v>187201</v>
      </c>
      <c r="L608" s="41">
        <f t="shared" si="179"/>
        <v>2223000000</v>
      </c>
      <c r="M608" s="39">
        <f t="shared" si="180"/>
        <v>3098176.5500000003</v>
      </c>
      <c r="N608" s="24">
        <f t="shared" si="181"/>
        <v>2223000000</v>
      </c>
      <c r="O608" s="39">
        <f t="shared" si="182"/>
        <v>8.4210976158344581E-5</v>
      </c>
      <c r="P608" s="36">
        <v>78793.41</v>
      </c>
      <c r="Q608" s="9">
        <v>0.17469999999999999</v>
      </c>
      <c r="R608" s="26">
        <f t="shared" si="183"/>
        <v>73305590000</v>
      </c>
      <c r="S608" s="26">
        <f t="shared" si="184"/>
        <v>859150000</v>
      </c>
      <c r="T608" s="26">
        <f t="shared" si="185"/>
        <v>1024319999.9999999</v>
      </c>
      <c r="U608" s="26">
        <f t="shared" si="186"/>
        <v>1041260000</v>
      </c>
      <c r="V608" s="41">
        <v>0</v>
      </c>
      <c r="W608">
        <f t="shared" si="187"/>
        <v>1.9621307106023982E-9</v>
      </c>
      <c r="X608">
        <f t="shared" si="188"/>
        <v>0</v>
      </c>
      <c r="Y608" s="9"/>
    </row>
    <row r="609" spans="1:25">
      <c r="A609" s="21">
        <v>45525</v>
      </c>
      <c r="B609" s="28">
        <v>16.45</v>
      </c>
      <c r="C609" s="23">
        <f t="shared" si="175"/>
        <v>3.6607687614398244E-3</v>
      </c>
      <c r="D609" s="24">
        <f t="shared" si="176"/>
        <v>9.0273200856437561E-3</v>
      </c>
      <c r="E609" s="28">
        <v>16.54</v>
      </c>
      <c r="F609" s="28">
        <v>16.350000000000001</v>
      </c>
      <c r="G609" s="39">
        <f t="shared" si="177"/>
        <v>1.1553663727576633E-2</v>
      </c>
      <c r="H609" s="28">
        <v>16.48</v>
      </c>
      <c r="I609" s="28">
        <v>16.46</v>
      </c>
      <c r="J609" s="39">
        <f t="shared" si="178"/>
        <v>1.2143290831815165E-3</v>
      </c>
      <c r="K609" s="25">
        <v>122555</v>
      </c>
      <c r="L609" s="41">
        <f t="shared" si="179"/>
        <v>2223000000</v>
      </c>
      <c r="M609" s="39">
        <f t="shared" si="180"/>
        <v>2016029.75</v>
      </c>
      <c r="N609" s="24">
        <f t="shared" si="181"/>
        <v>2223000000</v>
      </c>
      <c r="O609" s="39">
        <f t="shared" si="182"/>
        <v>5.5130454340980659E-5</v>
      </c>
      <c r="P609" s="36">
        <v>78260.86</v>
      </c>
      <c r="Q609" s="9">
        <v>0.17469999999999999</v>
      </c>
      <c r="R609" s="26">
        <f t="shared" si="183"/>
        <v>73305590000</v>
      </c>
      <c r="S609" s="26">
        <f t="shared" si="184"/>
        <v>859150000</v>
      </c>
      <c r="T609" s="26">
        <f t="shared" si="185"/>
        <v>1024319999.9999999</v>
      </c>
      <c r="U609" s="26">
        <f t="shared" si="186"/>
        <v>1041260000</v>
      </c>
      <c r="V609" s="41">
        <v>0</v>
      </c>
      <c r="W609">
        <f t="shared" si="187"/>
        <v>1.8158307244423472E-9</v>
      </c>
      <c r="X609">
        <f t="shared" si="188"/>
        <v>0</v>
      </c>
      <c r="Y609" s="9"/>
    </row>
    <row r="610" spans="1:25">
      <c r="A610" s="21">
        <v>45524</v>
      </c>
      <c r="B610" s="28">
        <v>16.39</v>
      </c>
      <c r="C610" s="23">
        <f t="shared" si="175"/>
        <v>-7.8692493946730634E-3</v>
      </c>
      <c r="D610" s="24">
        <f t="shared" si="176"/>
        <v>9.0273200856437561E-3</v>
      </c>
      <c r="E610" s="28">
        <v>16.600000000000001</v>
      </c>
      <c r="F610" s="28">
        <v>16.350000000000001</v>
      </c>
      <c r="G610" s="39">
        <f t="shared" si="177"/>
        <v>1.5174506828528072E-2</v>
      </c>
      <c r="H610" s="28">
        <v>16.41</v>
      </c>
      <c r="I610" s="28">
        <v>16.36</v>
      </c>
      <c r="J610" s="39">
        <f t="shared" si="178"/>
        <v>3.0515715593531106E-3</v>
      </c>
      <c r="K610" s="25">
        <v>364290</v>
      </c>
      <c r="L610" s="41">
        <f t="shared" si="179"/>
        <v>2223000000</v>
      </c>
      <c r="M610" s="39">
        <f t="shared" si="180"/>
        <v>5970713.1000000006</v>
      </c>
      <c r="N610" s="24">
        <f t="shared" si="181"/>
        <v>2223000000</v>
      </c>
      <c r="O610" s="39">
        <f t="shared" si="182"/>
        <v>1.638731443994602E-4</v>
      </c>
      <c r="P610" s="36">
        <v>77745.52</v>
      </c>
      <c r="Q610" s="9">
        <v>0.189</v>
      </c>
      <c r="R610" s="26">
        <f t="shared" si="183"/>
        <v>73305590000</v>
      </c>
      <c r="S610" s="26">
        <f t="shared" si="184"/>
        <v>859150000</v>
      </c>
      <c r="T610" s="26">
        <f t="shared" si="185"/>
        <v>1024319999.9999999</v>
      </c>
      <c r="U610" s="26">
        <f t="shared" si="186"/>
        <v>1041260000</v>
      </c>
      <c r="V610" s="41">
        <v>0</v>
      </c>
      <c r="W610">
        <f t="shared" si="187"/>
        <v>1.317974798466378E-9</v>
      </c>
      <c r="X610">
        <f t="shared" si="188"/>
        <v>0</v>
      </c>
      <c r="Y610" s="9"/>
    </row>
    <row r="611" spans="1:25">
      <c r="A611" s="21">
        <v>45523</v>
      </c>
      <c r="B611" s="28">
        <v>16.52</v>
      </c>
      <c r="C611" s="23">
        <f t="shared" si="175"/>
        <v>1.8192844147969158E-3</v>
      </c>
      <c r="D611" s="24">
        <f t="shared" si="176"/>
        <v>9.0273200856437561E-3</v>
      </c>
      <c r="E611" s="28">
        <v>16.53</v>
      </c>
      <c r="F611" s="28">
        <v>16.39</v>
      </c>
      <c r="G611" s="39">
        <f t="shared" si="177"/>
        <v>8.5054678007290743E-3</v>
      </c>
      <c r="H611" s="28">
        <v>16.52</v>
      </c>
      <c r="I611" s="28">
        <v>16.5</v>
      </c>
      <c r="J611" s="39">
        <f t="shared" si="178"/>
        <v>1.2113870381586661E-3</v>
      </c>
      <c r="K611" s="25">
        <v>193908</v>
      </c>
      <c r="L611" s="41">
        <f t="shared" si="179"/>
        <v>2223000000</v>
      </c>
      <c r="M611" s="39">
        <f t="shared" si="180"/>
        <v>3203360.16</v>
      </c>
      <c r="N611" s="24">
        <f t="shared" si="181"/>
        <v>2223000000</v>
      </c>
      <c r="O611" s="39">
        <f t="shared" si="182"/>
        <v>8.7228070175438593E-5</v>
      </c>
      <c r="P611" s="36">
        <v>77830.34</v>
      </c>
      <c r="Q611" s="9">
        <v>0.189</v>
      </c>
      <c r="R611" s="26">
        <f t="shared" si="183"/>
        <v>73305590000</v>
      </c>
      <c r="S611" s="26">
        <f t="shared" si="184"/>
        <v>859150000</v>
      </c>
      <c r="T611" s="26">
        <f t="shared" si="185"/>
        <v>1024319999.9999999</v>
      </c>
      <c r="U611" s="26">
        <f t="shared" si="186"/>
        <v>1041260000</v>
      </c>
      <c r="V611" s="41">
        <v>0</v>
      </c>
      <c r="W611">
        <f t="shared" si="187"/>
        <v>5.6793002470159824E-10</v>
      </c>
      <c r="X611">
        <f t="shared" si="188"/>
        <v>0</v>
      </c>
      <c r="Y611" s="9"/>
    </row>
    <row r="612" spans="1:25">
      <c r="A612" s="21">
        <v>45520</v>
      </c>
      <c r="B612" s="28">
        <v>16.489999999999998</v>
      </c>
      <c r="C612" s="23">
        <f t="shared" si="175"/>
        <v>2.4316109422491882E-3</v>
      </c>
      <c r="D612" s="24">
        <f t="shared" si="176"/>
        <v>9.0273200856437561E-3</v>
      </c>
      <c r="E612" s="28">
        <v>16.55</v>
      </c>
      <c r="F612" s="28">
        <v>16.41</v>
      </c>
      <c r="G612" s="39">
        <f t="shared" si="177"/>
        <v>8.4951456310679956E-3</v>
      </c>
      <c r="H612" s="28">
        <v>16.5</v>
      </c>
      <c r="I612" s="28">
        <v>16.47</v>
      </c>
      <c r="J612" s="39">
        <f t="shared" si="178"/>
        <v>1.8198362147407424E-3</v>
      </c>
      <c r="K612" s="25">
        <v>102242</v>
      </c>
      <c r="L612" s="41">
        <f t="shared" si="179"/>
        <v>2223000000</v>
      </c>
      <c r="M612" s="39">
        <f t="shared" si="180"/>
        <v>1685970.5799999998</v>
      </c>
      <c r="N612" s="24">
        <f t="shared" si="181"/>
        <v>2223000000</v>
      </c>
      <c r="O612" s="39">
        <f t="shared" si="182"/>
        <v>4.5992802519118307E-5</v>
      </c>
      <c r="P612" s="36">
        <v>78045.31</v>
      </c>
      <c r="Q612" s="9">
        <v>0.189</v>
      </c>
      <c r="R612" s="26">
        <f t="shared" si="183"/>
        <v>73305590000</v>
      </c>
      <c r="S612" s="26">
        <f t="shared" si="184"/>
        <v>859150000</v>
      </c>
      <c r="T612" s="26">
        <f t="shared" si="185"/>
        <v>1024319999.9999999</v>
      </c>
      <c r="U612" s="26">
        <f t="shared" si="186"/>
        <v>1041260000</v>
      </c>
      <c r="V612" s="41">
        <v>0</v>
      </c>
      <c r="W612">
        <f t="shared" si="187"/>
        <v>1.4422617874205068E-9</v>
      </c>
      <c r="X612">
        <f t="shared" si="188"/>
        <v>0</v>
      </c>
      <c r="Y612" s="9"/>
    </row>
    <row r="613" spans="1:25">
      <c r="A613" s="21">
        <v>45519</v>
      </c>
      <c r="B613" s="28">
        <v>16.45</v>
      </c>
      <c r="C613" s="23">
        <f t="shared" si="175"/>
        <v>-1.8203883495146321E-3</v>
      </c>
      <c r="D613" s="24">
        <f t="shared" si="176"/>
        <v>9.0273200856437561E-3</v>
      </c>
      <c r="E613" s="28">
        <v>16.579999999999998</v>
      </c>
      <c r="F613" s="28">
        <v>16.350000000000001</v>
      </c>
      <c r="G613" s="39">
        <f t="shared" si="177"/>
        <v>1.3969025204980071E-2</v>
      </c>
      <c r="H613" s="28">
        <v>16.440000000000001</v>
      </c>
      <c r="I613" s="28">
        <v>16.38</v>
      </c>
      <c r="J613" s="39">
        <f t="shared" si="178"/>
        <v>3.6563071297990414E-3</v>
      </c>
      <c r="K613" s="25">
        <v>330078</v>
      </c>
      <c r="L613" s="41">
        <f t="shared" si="179"/>
        <v>2223000000</v>
      </c>
      <c r="M613" s="39">
        <f t="shared" si="180"/>
        <v>5429783.0999999996</v>
      </c>
      <c r="N613" s="24">
        <f t="shared" si="181"/>
        <v>2223000000</v>
      </c>
      <c r="O613" s="39">
        <f t="shared" si="182"/>
        <v>1.4848313090418352E-4</v>
      </c>
      <c r="P613" s="36">
        <v>78105.98</v>
      </c>
      <c r="Q613" s="9">
        <v>0.189</v>
      </c>
      <c r="R613" s="26">
        <f t="shared" si="183"/>
        <v>73305590000</v>
      </c>
      <c r="S613" s="26">
        <f t="shared" si="184"/>
        <v>859150000</v>
      </c>
      <c r="T613" s="26">
        <f t="shared" si="185"/>
        <v>1024319999.9999999</v>
      </c>
      <c r="U613" s="26">
        <f t="shared" si="186"/>
        <v>1041260000</v>
      </c>
      <c r="V613" s="41">
        <v>0</v>
      </c>
      <c r="W613">
        <f t="shared" si="187"/>
        <v>3.3525986507907325E-10</v>
      </c>
      <c r="X613">
        <f t="shared" si="188"/>
        <v>0</v>
      </c>
      <c r="Y613" s="9"/>
    </row>
    <row r="614" spans="1:25">
      <c r="A614" s="21">
        <v>45517</v>
      </c>
      <c r="B614" s="28">
        <v>16.48</v>
      </c>
      <c r="C614" s="23">
        <f t="shared" si="175"/>
        <v>-2.4213075060532173E-3</v>
      </c>
      <c r="D614" s="24">
        <f t="shared" si="176"/>
        <v>9.0273200856437561E-3</v>
      </c>
      <c r="E614" s="28">
        <v>16.64</v>
      </c>
      <c r="F614" s="28">
        <v>16.32</v>
      </c>
      <c r="G614" s="39">
        <f t="shared" si="177"/>
        <v>1.9417475728155355E-2</v>
      </c>
      <c r="H614" s="28">
        <v>16.48</v>
      </c>
      <c r="I614" s="28">
        <v>16.45</v>
      </c>
      <c r="J614" s="39">
        <f t="shared" si="178"/>
        <v>1.8220467658670596E-3</v>
      </c>
      <c r="K614" s="25">
        <v>482641</v>
      </c>
      <c r="L614" s="41">
        <f t="shared" si="179"/>
        <v>2223000000</v>
      </c>
      <c r="M614" s="39">
        <f t="shared" si="180"/>
        <v>7953923.6800000006</v>
      </c>
      <c r="N614" s="24">
        <f t="shared" si="181"/>
        <v>2223000000</v>
      </c>
      <c r="O614" s="39">
        <f t="shared" si="182"/>
        <v>2.1711246063877644E-4</v>
      </c>
      <c r="P614" s="36">
        <v>77877.42</v>
      </c>
      <c r="Q614" s="9">
        <v>0.189</v>
      </c>
      <c r="R614" s="26">
        <f t="shared" si="183"/>
        <v>73305590000</v>
      </c>
      <c r="S614" s="26">
        <f t="shared" si="184"/>
        <v>859150000</v>
      </c>
      <c r="T614" s="26">
        <f t="shared" si="185"/>
        <v>1024319999.9999999</v>
      </c>
      <c r="U614" s="26">
        <f t="shared" si="186"/>
        <v>1041260000</v>
      </c>
      <c r="V614" s="41">
        <v>0</v>
      </c>
      <c r="W614">
        <f t="shared" si="187"/>
        <v>3.0441673863951596E-10</v>
      </c>
      <c r="X614">
        <f t="shared" si="188"/>
        <v>0</v>
      </c>
      <c r="Y614" s="9"/>
    </row>
    <row r="615" spans="1:25">
      <c r="A615" s="21">
        <v>45516</v>
      </c>
      <c r="B615" s="28">
        <v>16.52</v>
      </c>
      <c r="C615" s="23">
        <f t="shared" si="175"/>
        <v>1.225490196078427E-2</v>
      </c>
      <c r="D615" s="24">
        <f t="shared" si="176"/>
        <v>9.0273200856437561E-3</v>
      </c>
      <c r="E615" s="28">
        <v>16.649999999999999</v>
      </c>
      <c r="F615" s="28">
        <v>16.3</v>
      </c>
      <c r="G615" s="39">
        <f t="shared" si="177"/>
        <v>2.1244309559939171E-2</v>
      </c>
      <c r="H615" s="28">
        <v>16.57</v>
      </c>
      <c r="I615" s="28">
        <v>16.43</v>
      </c>
      <c r="J615" s="39">
        <f t="shared" si="178"/>
        <v>8.4848484848485187E-3</v>
      </c>
      <c r="K615" s="25">
        <v>951131</v>
      </c>
      <c r="L615" s="41">
        <f t="shared" si="179"/>
        <v>2223000000</v>
      </c>
      <c r="M615" s="39">
        <f t="shared" si="180"/>
        <v>15712684.119999999</v>
      </c>
      <c r="N615" s="24">
        <f t="shared" si="181"/>
        <v>2223000000</v>
      </c>
      <c r="O615" s="39">
        <f t="shared" si="182"/>
        <v>4.2785919928025191E-4</v>
      </c>
      <c r="P615" s="36">
        <v>77980.289999999994</v>
      </c>
      <c r="Q615" s="9">
        <v>0.189</v>
      </c>
      <c r="R615" s="26">
        <f t="shared" si="183"/>
        <v>73305590000</v>
      </c>
      <c r="S615" s="26">
        <f t="shared" si="184"/>
        <v>859150000</v>
      </c>
      <c r="T615" s="26">
        <f t="shared" si="185"/>
        <v>1024319999.9999999</v>
      </c>
      <c r="U615" s="26">
        <f t="shared" si="186"/>
        <v>1041260000</v>
      </c>
      <c r="V615" s="41">
        <v>0</v>
      </c>
      <c r="W615">
        <f t="shared" si="187"/>
        <v>7.7993688838850472E-10</v>
      </c>
      <c r="X615">
        <f t="shared" si="188"/>
        <v>0</v>
      </c>
      <c r="Y615" s="9"/>
    </row>
    <row r="616" spans="1:25">
      <c r="A616" s="21">
        <v>45513</v>
      </c>
      <c r="B616" s="28">
        <v>16.32</v>
      </c>
      <c r="C616" s="23">
        <f t="shared" si="175"/>
        <v>0</v>
      </c>
      <c r="D616" s="24">
        <f t="shared" si="176"/>
        <v>9.0273200856437561E-3</v>
      </c>
      <c r="E616" s="28">
        <v>16.399999999999999</v>
      </c>
      <c r="F616" s="28">
        <v>16.100000000000001</v>
      </c>
      <c r="G616" s="39">
        <f t="shared" si="177"/>
        <v>1.8461538461538286E-2</v>
      </c>
      <c r="H616" s="28">
        <v>16.37</v>
      </c>
      <c r="I616" s="28">
        <v>16.3</v>
      </c>
      <c r="J616" s="39">
        <f t="shared" si="178"/>
        <v>4.2852770125497569E-3</v>
      </c>
      <c r="K616" s="25">
        <v>656780</v>
      </c>
      <c r="L616" s="41">
        <f t="shared" si="179"/>
        <v>2223000000</v>
      </c>
      <c r="M616" s="39">
        <f t="shared" si="180"/>
        <v>10718649.6</v>
      </c>
      <c r="N616" s="24">
        <f t="shared" si="181"/>
        <v>2223000000</v>
      </c>
      <c r="O616" s="39">
        <f t="shared" si="182"/>
        <v>2.9544759334233019E-4</v>
      </c>
      <c r="P616" s="36">
        <v>78569.59</v>
      </c>
      <c r="Q616" s="9">
        <v>0.189</v>
      </c>
      <c r="R616" s="26">
        <f t="shared" si="183"/>
        <v>73305590000</v>
      </c>
      <c r="S616" s="26">
        <f t="shared" si="184"/>
        <v>859150000</v>
      </c>
      <c r="T616" s="26">
        <f t="shared" si="185"/>
        <v>1024319999.9999999</v>
      </c>
      <c r="U616" s="26">
        <f t="shared" si="186"/>
        <v>1041260000</v>
      </c>
      <c r="V616" s="41">
        <v>0</v>
      </c>
      <c r="W616">
        <f t="shared" si="187"/>
        <v>0</v>
      </c>
      <c r="X616">
        <f t="shared" si="188"/>
        <v>0</v>
      </c>
      <c r="Y616" s="9"/>
    </row>
    <row r="617" spans="1:25">
      <c r="A617" s="21">
        <v>45512</v>
      </c>
      <c r="B617" s="28">
        <v>16.32</v>
      </c>
      <c r="C617" s="23">
        <f t="shared" si="175"/>
        <v>-9.7087378640776777E-3</v>
      </c>
      <c r="D617" s="24">
        <f t="shared" si="176"/>
        <v>9.0273200856437561E-3</v>
      </c>
      <c r="E617" s="28">
        <v>16.45</v>
      </c>
      <c r="F617" s="28">
        <v>16.28</v>
      </c>
      <c r="G617" s="39">
        <f t="shared" si="177"/>
        <v>1.0388023220287083E-2</v>
      </c>
      <c r="H617" s="28">
        <v>16.38</v>
      </c>
      <c r="I617" s="28">
        <v>16.34</v>
      </c>
      <c r="J617" s="39">
        <f t="shared" si="178"/>
        <v>2.4449877750610726E-3</v>
      </c>
      <c r="K617" s="25">
        <v>152392</v>
      </c>
      <c r="L617" s="41">
        <f t="shared" si="179"/>
        <v>2223000000</v>
      </c>
      <c r="M617" s="39">
        <f t="shared" si="180"/>
        <v>2487037.44</v>
      </c>
      <c r="N617" s="24">
        <f t="shared" si="181"/>
        <v>2223000000</v>
      </c>
      <c r="O617" s="39">
        <f t="shared" si="182"/>
        <v>6.8552406657669822E-5</v>
      </c>
      <c r="P617" s="36">
        <v>77874.22</v>
      </c>
      <c r="Q617" s="9">
        <v>0.189</v>
      </c>
      <c r="R617" s="26">
        <f t="shared" si="183"/>
        <v>73305590000</v>
      </c>
      <c r="S617" s="26">
        <f t="shared" si="184"/>
        <v>859150000</v>
      </c>
      <c r="T617" s="26">
        <f t="shared" si="185"/>
        <v>1024319999.9999999</v>
      </c>
      <c r="U617" s="26">
        <f t="shared" si="186"/>
        <v>1041260000</v>
      </c>
      <c r="V617" s="41">
        <v>0</v>
      </c>
      <c r="W617">
        <f t="shared" si="187"/>
        <v>3.9037361110565659E-9</v>
      </c>
      <c r="X617">
        <f t="shared" si="188"/>
        <v>0</v>
      </c>
      <c r="Y617" s="9"/>
    </row>
    <row r="618" spans="1:25">
      <c r="A618" s="21">
        <v>45511</v>
      </c>
      <c r="B618" s="28">
        <v>16.48</v>
      </c>
      <c r="C618" s="23">
        <f t="shared" si="175"/>
        <v>2.6151930261519411E-2</v>
      </c>
      <c r="D618" s="24">
        <f t="shared" si="176"/>
        <v>9.0273200856437561E-3</v>
      </c>
      <c r="E618" s="28">
        <v>16.510000000000002</v>
      </c>
      <c r="F618" s="28">
        <v>16.010000000000002</v>
      </c>
      <c r="G618" s="39">
        <f t="shared" si="177"/>
        <v>3.0750307503075027E-2</v>
      </c>
      <c r="H618" s="28">
        <v>16.45</v>
      </c>
      <c r="I618" s="28">
        <v>16.25</v>
      </c>
      <c r="J618" s="39">
        <f t="shared" si="178"/>
        <v>1.2232415902140628E-2</v>
      </c>
      <c r="K618" s="25">
        <v>724014</v>
      </c>
      <c r="L618" s="41">
        <f t="shared" si="179"/>
        <v>2223000000</v>
      </c>
      <c r="M618" s="39">
        <f t="shared" si="180"/>
        <v>11931750.720000001</v>
      </c>
      <c r="N618" s="24">
        <f t="shared" si="181"/>
        <v>2223000000</v>
      </c>
      <c r="O618" s="39">
        <f t="shared" si="182"/>
        <v>3.2569230769230771E-4</v>
      </c>
      <c r="P618" s="36">
        <v>77114.490000000005</v>
      </c>
      <c r="Q618" s="9">
        <v>0.189</v>
      </c>
      <c r="R618" s="26">
        <f t="shared" si="183"/>
        <v>73305590000</v>
      </c>
      <c r="S618" s="26">
        <f t="shared" si="184"/>
        <v>859150000</v>
      </c>
      <c r="T618" s="26">
        <f t="shared" si="185"/>
        <v>1024319999.9999999</v>
      </c>
      <c r="U618" s="26">
        <f t="shared" si="186"/>
        <v>1041260000</v>
      </c>
      <c r="V618" s="41">
        <v>0</v>
      </c>
      <c r="W618">
        <f t="shared" si="187"/>
        <v>2.1917932141914048E-9</v>
      </c>
      <c r="X618">
        <f t="shared" si="188"/>
        <v>0</v>
      </c>
      <c r="Y618" s="9"/>
    </row>
    <row r="619" spans="1:25">
      <c r="A619" s="21">
        <v>45510</v>
      </c>
      <c r="B619" s="28">
        <v>16.059999999999999</v>
      </c>
      <c r="C619" s="23">
        <f t="shared" si="175"/>
        <v>0</v>
      </c>
      <c r="D619" s="24">
        <f t="shared" si="176"/>
        <v>9.0273200856437561E-3</v>
      </c>
      <c r="E619" s="28">
        <v>16.2</v>
      </c>
      <c r="F619" s="28">
        <v>15.95</v>
      </c>
      <c r="G619" s="39">
        <f t="shared" si="177"/>
        <v>1.5552099533437015E-2</v>
      </c>
      <c r="H619" s="28">
        <v>16.14</v>
      </c>
      <c r="I619" s="28">
        <v>16.05</v>
      </c>
      <c r="J619" s="39">
        <f t="shared" si="178"/>
        <v>5.5917986952469627E-3</v>
      </c>
      <c r="K619" s="25">
        <v>118754</v>
      </c>
      <c r="L619" s="41">
        <f t="shared" si="179"/>
        <v>2223000000</v>
      </c>
      <c r="M619" s="39">
        <f t="shared" si="180"/>
        <v>1907189.2399999998</v>
      </c>
      <c r="N619" s="24">
        <f t="shared" si="181"/>
        <v>2223000000</v>
      </c>
      <c r="O619" s="39">
        <f t="shared" si="182"/>
        <v>5.3420602789023842E-5</v>
      </c>
      <c r="P619" s="36">
        <v>77191.34</v>
      </c>
      <c r="Q619" s="9">
        <v>0.19489999999999999</v>
      </c>
      <c r="R619" s="26">
        <f t="shared" si="183"/>
        <v>73305590000</v>
      </c>
      <c r="S619" s="26">
        <f t="shared" si="184"/>
        <v>859150000</v>
      </c>
      <c r="T619" s="26">
        <f t="shared" si="185"/>
        <v>1024319999.9999999</v>
      </c>
      <c r="U619" s="26">
        <f t="shared" si="186"/>
        <v>1041260000</v>
      </c>
      <c r="V619" s="41">
        <v>0</v>
      </c>
      <c r="W619">
        <f t="shared" si="187"/>
        <v>0</v>
      </c>
      <c r="X619">
        <f t="shared" si="188"/>
        <v>0</v>
      </c>
      <c r="Y619" s="9"/>
    </row>
    <row r="620" spans="1:25">
      <c r="A620" s="21">
        <v>45509</v>
      </c>
      <c r="B620" s="28">
        <v>16.059999999999999</v>
      </c>
      <c r="C620" s="23">
        <f t="shared" si="175"/>
        <v>-1.3513513513513662E-2</v>
      </c>
      <c r="D620" s="24">
        <f t="shared" si="176"/>
        <v>9.0273200856437561E-3</v>
      </c>
      <c r="E620" s="28">
        <v>16.25</v>
      </c>
      <c r="F620" s="28">
        <v>15.92</v>
      </c>
      <c r="G620" s="39">
        <f t="shared" si="177"/>
        <v>2.051600870376127E-2</v>
      </c>
      <c r="H620" s="28">
        <v>16.149999999999999</v>
      </c>
      <c r="I620" s="28">
        <v>16</v>
      </c>
      <c r="J620" s="39">
        <f t="shared" si="178"/>
        <v>9.3312597200621208E-3</v>
      </c>
      <c r="K620" s="25">
        <v>576245</v>
      </c>
      <c r="L620" s="41">
        <f t="shared" si="179"/>
        <v>2223000000</v>
      </c>
      <c r="M620" s="39">
        <f t="shared" si="180"/>
        <v>9254494.6999999993</v>
      </c>
      <c r="N620" s="24">
        <f t="shared" si="181"/>
        <v>2223000000</v>
      </c>
      <c r="O620" s="39">
        <f t="shared" si="182"/>
        <v>2.5921952316689158E-4</v>
      </c>
      <c r="P620" s="36">
        <v>77084.490000000005</v>
      </c>
      <c r="Q620" s="9">
        <v>0.19489999999999999</v>
      </c>
      <c r="R620" s="26">
        <f t="shared" si="183"/>
        <v>73305590000</v>
      </c>
      <c r="S620" s="26">
        <f t="shared" si="184"/>
        <v>859150000</v>
      </c>
      <c r="T620" s="26">
        <f t="shared" si="185"/>
        <v>1024319999.9999999</v>
      </c>
      <c r="U620" s="26">
        <f t="shared" si="186"/>
        <v>1041260000</v>
      </c>
      <c r="V620" s="41">
        <v>0</v>
      </c>
      <c r="W620">
        <f t="shared" si="187"/>
        <v>1.4602108436578027E-9</v>
      </c>
      <c r="X620">
        <f t="shared" si="188"/>
        <v>0</v>
      </c>
      <c r="Y620" s="9"/>
    </row>
    <row r="621" spans="1:25">
      <c r="A621" s="21">
        <v>45506</v>
      </c>
      <c r="B621" s="28">
        <v>16.28</v>
      </c>
      <c r="C621" s="23">
        <f t="shared" si="175"/>
        <v>7.425742574257487E-3</v>
      </c>
      <c r="D621" s="24">
        <f t="shared" si="176"/>
        <v>9.0273200856437561E-3</v>
      </c>
      <c r="E621" s="28">
        <v>16.489999999999998</v>
      </c>
      <c r="F621" s="28">
        <v>16.149999999999999</v>
      </c>
      <c r="G621" s="39">
        <f t="shared" si="177"/>
        <v>2.0833333333333325E-2</v>
      </c>
      <c r="H621" s="28">
        <v>16.489999999999998</v>
      </c>
      <c r="I621" s="28">
        <v>16.16</v>
      </c>
      <c r="J621" s="39">
        <f t="shared" si="178"/>
        <v>2.021439509954048E-2</v>
      </c>
      <c r="K621" s="25">
        <v>228225</v>
      </c>
      <c r="L621" s="41">
        <f t="shared" si="179"/>
        <v>2223000000</v>
      </c>
      <c r="M621" s="39">
        <f t="shared" si="180"/>
        <v>3715503.0000000005</v>
      </c>
      <c r="N621" s="24">
        <f t="shared" si="181"/>
        <v>2223000000</v>
      </c>
      <c r="O621" s="39">
        <f t="shared" si="182"/>
        <v>1.0266531713900135E-4</v>
      </c>
      <c r="P621" s="36">
        <v>78225.98</v>
      </c>
      <c r="Q621" s="9">
        <v>0.19489999999999999</v>
      </c>
      <c r="R621" s="26">
        <f t="shared" si="183"/>
        <v>73305590000</v>
      </c>
      <c r="S621" s="26">
        <f t="shared" si="184"/>
        <v>859150000</v>
      </c>
      <c r="T621" s="26">
        <f t="shared" si="185"/>
        <v>1024319999.9999999</v>
      </c>
      <c r="U621" s="26">
        <f t="shared" si="186"/>
        <v>1041260000</v>
      </c>
      <c r="V621" s="41">
        <v>0</v>
      </c>
      <c r="W621">
        <f t="shared" si="187"/>
        <v>1.9985833881058597E-9</v>
      </c>
      <c r="X621">
        <f t="shared" si="188"/>
        <v>0</v>
      </c>
      <c r="Y621" s="9"/>
    </row>
    <row r="622" spans="1:25">
      <c r="A622" s="21">
        <v>45505</v>
      </c>
      <c r="B622" s="28">
        <v>16.16</v>
      </c>
      <c r="C622" s="23">
        <f t="shared" si="175"/>
        <v>2.4813895781637188E-3</v>
      </c>
      <c r="D622" s="24">
        <f t="shared" si="176"/>
        <v>9.0273200856437561E-3</v>
      </c>
      <c r="E622" s="28">
        <v>16.29</v>
      </c>
      <c r="F622" s="28">
        <v>16.059999999999999</v>
      </c>
      <c r="G622" s="39">
        <f t="shared" si="177"/>
        <v>1.4219474497681637E-2</v>
      </c>
      <c r="H622" s="28">
        <v>16.190000000000001</v>
      </c>
      <c r="I622" s="28">
        <v>16.149999999999999</v>
      </c>
      <c r="J622" s="39">
        <f t="shared" si="178"/>
        <v>2.4737167594312119E-3</v>
      </c>
      <c r="K622" s="25">
        <v>217170</v>
      </c>
      <c r="L622" s="41">
        <f t="shared" si="179"/>
        <v>2223000000</v>
      </c>
      <c r="M622" s="39">
        <f t="shared" si="180"/>
        <v>3509467.2</v>
      </c>
      <c r="N622" s="24">
        <f t="shared" si="181"/>
        <v>2223000000</v>
      </c>
      <c r="O622" s="39">
        <f t="shared" si="182"/>
        <v>9.7692307692307694E-5</v>
      </c>
      <c r="P622" s="36">
        <v>77740.31</v>
      </c>
      <c r="Q622" s="9">
        <v>0.19489999999999999</v>
      </c>
      <c r="R622" s="26">
        <f t="shared" si="183"/>
        <v>73305590000</v>
      </c>
      <c r="S622" s="26">
        <f t="shared" si="184"/>
        <v>859150000</v>
      </c>
      <c r="T622" s="26">
        <f t="shared" si="185"/>
        <v>1024319999.9999999</v>
      </c>
      <c r="U622" s="26">
        <f t="shared" si="186"/>
        <v>1041260000</v>
      </c>
      <c r="V622" s="41">
        <v>0</v>
      </c>
      <c r="W622">
        <f t="shared" si="187"/>
        <v>7.0705592523096349E-10</v>
      </c>
      <c r="X622">
        <f t="shared" si="188"/>
        <v>0</v>
      </c>
      <c r="Y622" s="9"/>
    </row>
    <row r="623" spans="1:25">
      <c r="A623" s="21">
        <v>45504</v>
      </c>
      <c r="B623" s="28">
        <v>16.12</v>
      </c>
      <c r="C623" s="23">
        <f t="shared" si="175"/>
        <v>0</v>
      </c>
      <c r="D623" s="24">
        <f t="shared" si="176"/>
        <v>9.0273200856437561E-3</v>
      </c>
      <c r="E623" s="28">
        <v>16.25</v>
      </c>
      <c r="F623" s="28">
        <v>16.02</v>
      </c>
      <c r="G623" s="39">
        <f t="shared" si="177"/>
        <v>1.4254725751471983E-2</v>
      </c>
      <c r="H623" s="28">
        <v>16.2</v>
      </c>
      <c r="I623" s="28">
        <v>16.010000000000002</v>
      </c>
      <c r="J623" s="39">
        <f t="shared" si="178"/>
        <v>1.1797578391803646E-2</v>
      </c>
      <c r="K623" s="25">
        <v>364628</v>
      </c>
      <c r="L623" s="41">
        <f t="shared" si="179"/>
        <v>2223000000</v>
      </c>
      <c r="M623" s="39">
        <f t="shared" si="180"/>
        <v>5877803.3600000003</v>
      </c>
      <c r="N623" s="24">
        <f t="shared" si="181"/>
        <v>2223000000</v>
      </c>
      <c r="O623" s="39">
        <f t="shared" si="182"/>
        <v>1.6402519118308593E-4</v>
      </c>
      <c r="P623" s="36">
        <v>77886.990000000005</v>
      </c>
      <c r="Q623" s="9">
        <v>0.19489999999999999</v>
      </c>
      <c r="R623" s="26">
        <f t="shared" si="183"/>
        <v>73305590000</v>
      </c>
      <c r="S623" s="26">
        <f t="shared" si="184"/>
        <v>859150000</v>
      </c>
      <c r="T623" s="26">
        <f t="shared" si="185"/>
        <v>1024319999.9999999</v>
      </c>
      <c r="U623" s="26">
        <f t="shared" si="186"/>
        <v>1041260000</v>
      </c>
      <c r="V623" s="41">
        <v>0</v>
      </c>
      <c r="W623">
        <f t="shared" si="187"/>
        <v>0</v>
      </c>
      <c r="X623">
        <f t="shared" si="188"/>
        <v>0</v>
      </c>
      <c r="Y623" s="9"/>
    </row>
    <row r="624" spans="1:25">
      <c r="A624" s="21">
        <v>45503</v>
      </c>
      <c r="B624" s="28">
        <v>16.12</v>
      </c>
      <c r="C624" s="23">
        <f t="shared" si="175"/>
        <v>3.7359900373600424E-3</v>
      </c>
      <c r="D624" s="24">
        <f t="shared" si="176"/>
        <v>9.0273200856437561E-3</v>
      </c>
      <c r="E624" s="28">
        <v>16.3</v>
      </c>
      <c r="F624" s="28">
        <v>16</v>
      </c>
      <c r="G624" s="39">
        <f t="shared" si="177"/>
        <v>1.8575851393188899E-2</v>
      </c>
      <c r="H624" s="28">
        <v>16.079999999999998</v>
      </c>
      <c r="I624" s="28">
        <v>16.059999999999999</v>
      </c>
      <c r="J624" s="39">
        <f t="shared" si="178"/>
        <v>1.2445550715618901E-3</v>
      </c>
      <c r="K624" s="25">
        <v>350849</v>
      </c>
      <c r="L624" s="41">
        <f t="shared" si="179"/>
        <v>2223000000</v>
      </c>
      <c r="M624" s="39">
        <f t="shared" si="180"/>
        <v>5655685.8799999999</v>
      </c>
      <c r="N624" s="24">
        <f t="shared" si="181"/>
        <v>2223000000</v>
      </c>
      <c r="O624" s="39">
        <f t="shared" si="182"/>
        <v>1.5782681061628429E-4</v>
      </c>
      <c r="P624" s="36">
        <v>78628.81</v>
      </c>
      <c r="Q624" s="9">
        <v>0.19489999999999999</v>
      </c>
      <c r="R624" s="26">
        <f t="shared" si="183"/>
        <v>73305590000</v>
      </c>
      <c r="S624" s="26">
        <f t="shared" si="184"/>
        <v>859150000</v>
      </c>
      <c r="T624" s="26">
        <f t="shared" si="185"/>
        <v>1024319999.9999999</v>
      </c>
      <c r="U624" s="26">
        <f t="shared" si="186"/>
        <v>1041260000</v>
      </c>
      <c r="V624" s="41">
        <v>0</v>
      </c>
      <c r="W624">
        <f t="shared" si="187"/>
        <v>6.6057240741949449E-10</v>
      </c>
      <c r="X624">
        <f t="shared" si="188"/>
        <v>0</v>
      </c>
      <c r="Y624" s="9"/>
    </row>
    <row r="625" spans="1:25">
      <c r="A625" s="21">
        <v>45502</v>
      </c>
      <c r="B625" s="28">
        <v>16.059999999999999</v>
      </c>
      <c r="C625" s="23">
        <f t="shared" si="175"/>
        <v>8.160703075957251E-3</v>
      </c>
      <c r="D625" s="24">
        <f t="shared" si="176"/>
        <v>9.0273200856437561E-3</v>
      </c>
      <c r="E625" s="28">
        <v>16.09</v>
      </c>
      <c r="F625" s="28">
        <v>15.91</v>
      </c>
      <c r="G625" s="39">
        <f t="shared" si="177"/>
        <v>1.1249999999999982E-2</v>
      </c>
      <c r="H625" s="28">
        <v>16.07</v>
      </c>
      <c r="I625" s="28">
        <v>16.059999999999999</v>
      </c>
      <c r="J625" s="39">
        <f t="shared" si="178"/>
        <v>6.2247121070660221E-4</v>
      </c>
      <c r="K625" s="25">
        <v>443972</v>
      </c>
      <c r="L625" s="41">
        <f t="shared" si="179"/>
        <v>2223000000</v>
      </c>
      <c r="M625" s="39">
        <f t="shared" si="180"/>
        <v>7130190.3199999994</v>
      </c>
      <c r="N625" s="24">
        <f t="shared" si="181"/>
        <v>2223000000</v>
      </c>
      <c r="O625" s="39">
        <f t="shared" si="182"/>
        <v>1.997174988753936E-4</v>
      </c>
      <c r="P625" s="36">
        <v>78827.740000000005</v>
      </c>
      <c r="Q625" s="9">
        <v>0.19489999999999999</v>
      </c>
      <c r="R625" s="26">
        <f t="shared" si="183"/>
        <v>73305590000</v>
      </c>
      <c r="S625" s="26">
        <f t="shared" si="184"/>
        <v>859150000</v>
      </c>
      <c r="T625" s="26">
        <f t="shared" si="185"/>
        <v>1024319999.9999999</v>
      </c>
      <c r="U625" s="26">
        <f t="shared" si="186"/>
        <v>1041260000</v>
      </c>
      <c r="V625" s="41">
        <v>0</v>
      </c>
      <c r="W625">
        <f t="shared" si="187"/>
        <v>1.1445280854659223E-9</v>
      </c>
      <c r="X625">
        <f t="shared" si="188"/>
        <v>0</v>
      </c>
      <c r="Y625" s="9"/>
    </row>
    <row r="626" spans="1:25">
      <c r="A626" s="21">
        <v>45499</v>
      </c>
      <c r="B626" s="28">
        <v>15.93</v>
      </c>
      <c r="C626" s="23">
        <f t="shared" si="175"/>
        <v>-1.969230769230771E-2</v>
      </c>
      <c r="D626" s="24">
        <f t="shared" si="176"/>
        <v>9.0273200856437561E-3</v>
      </c>
      <c r="E626" s="28">
        <v>16.34</v>
      </c>
      <c r="F626" s="28">
        <v>15.65</v>
      </c>
      <c r="G626" s="39">
        <f t="shared" si="177"/>
        <v>4.3138480775242231E-2</v>
      </c>
      <c r="H626" s="28">
        <v>15.95</v>
      </c>
      <c r="I626" s="28">
        <v>15.76</v>
      </c>
      <c r="J626" s="39">
        <f t="shared" si="178"/>
        <v>1.1983601387574866E-2</v>
      </c>
      <c r="K626" s="25">
        <v>605100</v>
      </c>
      <c r="L626" s="41">
        <f t="shared" si="179"/>
        <v>2223000000</v>
      </c>
      <c r="M626" s="39">
        <f t="shared" si="180"/>
        <v>9639243</v>
      </c>
      <c r="N626" s="24">
        <f t="shared" si="181"/>
        <v>2223000000</v>
      </c>
      <c r="O626" s="39">
        <f t="shared" si="182"/>
        <v>2.7219973009446691E-4</v>
      </c>
      <c r="P626" s="36">
        <v>78029.509999999995</v>
      </c>
      <c r="Q626" s="9">
        <v>0.19489999999999999</v>
      </c>
      <c r="R626" s="26">
        <f t="shared" si="183"/>
        <v>73305590000</v>
      </c>
      <c r="S626" s="26">
        <f t="shared" si="184"/>
        <v>859150000</v>
      </c>
      <c r="T626" s="26">
        <f t="shared" si="185"/>
        <v>1024319999.9999999</v>
      </c>
      <c r="U626" s="26">
        <f t="shared" si="186"/>
        <v>1041260000</v>
      </c>
      <c r="V626" s="41">
        <v>0</v>
      </c>
      <c r="W626">
        <f t="shared" si="187"/>
        <v>2.0429309326788119E-9</v>
      </c>
      <c r="X626">
        <f t="shared" si="188"/>
        <v>0</v>
      </c>
      <c r="Y626" s="9"/>
    </row>
    <row r="627" spans="1:25">
      <c r="A627" s="21">
        <v>45498</v>
      </c>
      <c r="B627" s="28">
        <v>16.25</v>
      </c>
      <c r="C627" s="23">
        <f t="shared" si="175"/>
        <v>-1.8719806763284948E-2</v>
      </c>
      <c r="D627" s="24">
        <f t="shared" si="176"/>
        <v>9.0273200856437561E-3</v>
      </c>
      <c r="E627" s="28">
        <v>16.45</v>
      </c>
      <c r="F627" s="28">
        <v>16.100000000000001</v>
      </c>
      <c r="G627" s="39">
        <f t="shared" si="177"/>
        <v>2.1505376344085891E-2</v>
      </c>
      <c r="H627" s="28">
        <v>16.28</v>
      </c>
      <c r="I627" s="28">
        <v>16.23</v>
      </c>
      <c r="J627" s="39">
        <f t="shared" si="178"/>
        <v>3.0759766225777118E-3</v>
      </c>
      <c r="K627" s="25">
        <v>256450</v>
      </c>
      <c r="L627" s="41">
        <f t="shared" si="179"/>
        <v>2223000000</v>
      </c>
      <c r="M627" s="39">
        <f t="shared" si="180"/>
        <v>4167312.5</v>
      </c>
      <c r="N627" s="24">
        <f t="shared" si="181"/>
        <v>2223000000</v>
      </c>
      <c r="O627" s="39">
        <f t="shared" si="182"/>
        <v>1.1536212325686009E-4</v>
      </c>
      <c r="P627" s="36">
        <v>78469.33</v>
      </c>
      <c r="Q627" s="9">
        <v>0.19489999999999999</v>
      </c>
      <c r="R627" s="26">
        <f t="shared" si="183"/>
        <v>73305590000</v>
      </c>
      <c r="S627" s="26">
        <f t="shared" si="184"/>
        <v>859150000</v>
      </c>
      <c r="T627" s="26">
        <f t="shared" si="185"/>
        <v>1024319999.9999999</v>
      </c>
      <c r="U627" s="26">
        <f t="shared" si="186"/>
        <v>1041260000</v>
      </c>
      <c r="V627" s="41">
        <v>0</v>
      </c>
      <c r="W627">
        <f t="shared" si="187"/>
        <v>4.4920573542984712E-9</v>
      </c>
      <c r="X627">
        <f t="shared" si="188"/>
        <v>0</v>
      </c>
      <c r="Y627" s="9"/>
    </row>
    <row r="628" spans="1:25">
      <c r="A628" s="21">
        <v>45497</v>
      </c>
      <c r="B628" s="28">
        <v>16.559999999999999</v>
      </c>
      <c r="C628" s="23">
        <f t="shared" si="175"/>
        <v>1.8148820326677304E-3</v>
      </c>
      <c r="D628" s="24">
        <f t="shared" si="176"/>
        <v>9.0273200856437561E-3</v>
      </c>
      <c r="E628" s="28">
        <v>16.66</v>
      </c>
      <c r="F628" s="28">
        <v>16.350000000000001</v>
      </c>
      <c r="G628" s="39">
        <f t="shared" si="177"/>
        <v>1.8782187215995071E-2</v>
      </c>
      <c r="H628" s="28">
        <v>16.63</v>
      </c>
      <c r="I628" s="28">
        <v>16.57</v>
      </c>
      <c r="J628" s="39">
        <f t="shared" si="178"/>
        <v>3.6144578313252237E-3</v>
      </c>
      <c r="K628" s="25">
        <v>269266</v>
      </c>
      <c r="L628" s="41">
        <f t="shared" si="179"/>
        <v>2223000000</v>
      </c>
      <c r="M628" s="39">
        <f t="shared" si="180"/>
        <v>4459044.96</v>
      </c>
      <c r="N628" s="24">
        <f t="shared" si="181"/>
        <v>2223000000</v>
      </c>
      <c r="O628" s="39">
        <f t="shared" si="182"/>
        <v>1.2112730544309491E-4</v>
      </c>
      <c r="P628" s="36">
        <v>79397.009999999995</v>
      </c>
      <c r="Q628" s="9">
        <v>0.19489999999999999</v>
      </c>
      <c r="R628" s="26">
        <f t="shared" si="183"/>
        <v>73305590000</v>
      </c>
      <c r="S628" s="26">
        <f t="shared" si="184"/>
        <v>859150000</v>
      </c>
      <c r="T628" s="26">
        <f t="shared" si="185"/>
        <v>1024319999.9999999</v>
      </c>
      <c r="U628" s="26">
        <f t="shared" si="186"/>
        <v>1041260000</v>
      </c>
      <c r="V628" s="41">
        <v>0</v>
      </c>
      <c r="W628">
        <f t="shared" si="187"/>
        <v>4.0701137776097472E-10</v>
      </c>
      <c r="X628">
        <f t="shared" si="188"/>
        <v>0</v>
      </c>
      <c r="Y628" s="9"/>
    </row>
    <row r="629" spans="1:25">
      <c r="A629" s="21">
        <v>45496</v>
      </c>
      <c r="B629" s="28">
        <v>16.53</v>
      </c>
      <c r="C629" s="23">
        <f t="shared" si="175"/>
        <v>1.2247397428046716E-2</v>
      </c>
      <c r="D629" s="24">
        <f t="shared" si="176"/>
        <v>9.0273200856437561E-3</v>
      </c>
      <c r="E629" s="28">
        <v>16.55</v>
      </c>
      <c r="F629" s="28">
        <v>16.329999999999998</v>
      </c>
      <c r="G629" s="39">
        <f t="shared" si="177"/>
        <v>1.33819951338201E-2</v>
      </c>
      <c r="H629" s="28">
        <v>16.54</v>
      </c>
      <c r="I629" s="28">
        <v>16.53</v>
      </c>
      <c r="J629" s="39">
        <f t="shared" si="178"/>
        <v>6.0477774417889388E-4</v>
      </c>
      <c r="K629" s="25">
        <v>225169</v>
      </c>
      <c r="L629" s="41">
        <f t="shared" si="179"/>
        <v>2223000000</v>
      </c>
      <c r="M629" s="39">
        <f t="shared" si="180"/>
        <v>3722043.5700000003</v>
      </c>
      <c r="N629" s="24">
        <f t="shared" si="181"/>
        <v>2223000000</v>
      </c>
      <c r="O629" s="39">
        <f t="shared" si="182"/>
        <v>1.0129059829059828E-4</v>
      </c>
      <c r="P629" s="36">
        <v>78987.09</v>
      </c>
      <c r="Q629" s="9">
        <v>0.19489999999999999</v>
      </c>
      <c r="R629" s="26">
        <f t="shared" si="183"/>
        <v>73305590000</v>
      </c>
      <c r="S629" s="26">
        <f t="shared" si="184"/>
        <v>859150000</v>
      </c>
      <c r="T629" s="26">
        <f t="shared" si="185"/>
        <v>1024319999.9999999</v>
      </c>
      <c r="U629" s="26">
        <f t="shared" si="186"/>
        <v>1041260000</v>
      </c>
      <c r="V629" s="41">
        <v>0</v>
      </c>
      <c r="W629">
        <f t="shared" si="187"/>
        <v>3.2905035090835102E-9</v>
      </c>
      <c r="X629">
        <f t="shared" si="188"/>
        <v>0</v>
      </c>
      <c r="Y629" s="9"/>
    </row>
    <row r="630" spans="1:25" ht="15" thickBot="1">
      <c r="A630" s="21">
        <v>45495</v>
      </c>
      <c r="B630" s="28">
        <v>16.329999999999998</v>
      </c>
      <c r="C630" s="23">
        <f>IFERROR((B630-#REF!)/#REF!,0)</f>
        <v>0</v>
      </c>
      <c r="D630" s="24">
        <f t="shared" si="176"/>
        <v>9.0273200856437561E-3</v>
      </c>
      <c r="E630" s="28">
        <v>16.45</v>
      </c>
      <c r="F630" s="28">
        <v>16.25</v>
      </c>
      <c r="G630" s="39">
        <f t="shared" si="177"/>
        <v>1.2232415902140628E-2</v>
      </c>
      <c r="H630" s="28">
        <v>16.350000000000001</v>
      </c>
      <c r="I630" s="28">
        <v>16.329999999999998</v>
      </c>
      <c r="J630" s="39">
        <f t="shared" si="178"/>
        <v>1.2239902080785267E-3</v>
      </c>
      <c r="K630" s="25">
        <v>262747</v>
      </c>
      <c r="L630" s="41">
        <f t="shared" si="179"/>
        <v>2223000000</v>
      </c>
      <c r="M630" s="39">
        <f t="shared" si="180"/>
        <v>4290658.51</v>
      </c>
      <c r="N630" s="24">
        <f t="shared" si="181"/>
        <v>2223000000</v>
      </c>
      <c r="O630" s="39">
        <f t="shared" si="182"/>
        <v>1.1819478182636077E-4</v>
      </c>
      <c r="P630" s="36">
        <v>78539.19</v>
      </c>
      <c r="Q630" s="9">
        <v>0.19489999999999999</v>
      </c>
      <c r="R630" s="26">
        <f t="shared" si="183"/>
        <v>73305590000</v>
      </c>
      <c r="S630" s="26">
        <f t="shared" si="184"/>
        <v>859150000</v>
      </c>
      <c r="T630" s="26">
        <f t="shared" si="185"/>
        <v>1024319999.9999999</v>
      </c>
      <c r="U630" s="26">
        <f t="shared" si="186"/>
        <v>1041260000</v>
      </c>
      <c r="V630" s="41">
        <v>0</v>
      </c>
      <c r="W630">
        <f t="shared" si="187"/>
        <v>0</v>
      </c>
      <c r="X630">
        <f t="shared" si="188"/>
        <v>0</v>
      </c>
      <c r="Y630" s="9"/>
    </row>
    <row r="631" spans="1:25" ht="16" thickBot="1">
      <c r="A631" s="184" t="s">
        <v>57</v>
      </c>
      <c r="B631" s="185"/>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6"/>
      <c r="Y631" s="9"/>
    </row>
    <row r="632" spans="1:25" ht="43.5">
      <c r="A632" s="16" t="s">
        <v>14</v>
      </c>
      <c r="B632" s="16" t="s">
        <v>15</v>
      </c>
      <c r="C632" s="17" t="s">
        <v>16</v>
      </c>
      <c r="D632" s="17" t="s">
        <v>17</v>
      </c>
      <c r="E632" s="18" t="s">
        <v>0</v>
      </c>
      <c r="F632" s="18" t="s">
        <v>13</v>
      </c>
      <c r="G632" s="17" t="s">
        <v>18</v>
      </c>
      <c r="H632" s="16" t="s">
        <v>12</v>
      </c>
      <c r="I632" s="18" t="s">
        <v>1</v>
      </c>
      <c r="J632" s="19" t="s">
        <v>19</v>
      </c>
      <c r="K632" s="20" t="s">
        <v>2</v>
      </c>
      <c r="L632" s="2" t="s">
        <v>3</v>
      </c>
      <c r="M632" s="7" t="s">
        <v>20</v>
      </c>
      <c r="N632" s="2" t="s">
        <v>4</v>
      </c>
      <c r="O632" s="7" t="s">
        <v>21</v>
      </c>
      <c r="P632" s="2" t="s">
        <v>5</v>
      </c>
      <c r="Q632" s="20" t="s">
        <v>6</v>
      </c>
      <c r="R632" s="20" t="s">
        <v>7</v>
      </c>
      <c r="S632" s="20" t="s">
        <v>29</v>
      </c>
      <c r="T632" s="20" t="s">
        <v>50</v>
      </c>
      <c r="U632" s="20" t="s">
        <v>10</v>
      </c>
      <c r="V632" s="20" t="s">
        <v>32</v>
      </c>
      <c r="W632" s="7" t="s">
        <v>73</v>
      </c>
      <c r="X632" s="7" t="s">
        <v>72</v>
      </c>
      <c r="Y632" s="9"/>
    </row>
    <row r="633" spans="1:25">
      <c r="A633" s="21">
        <v>45555</v>
      </c>
      <c r="B633" s="28">
        <v>13.5</v>
      </c>
      <c r="C633" s="23">
        <f>IFERROR((B633-B634)/B634,0)</f>
        <v>-8.8105726872246132E-3</v>
      </c>
      <c r="D633" s="24">
        <f>_xlfn.STDEV.S($C$633:$C$675)</f>
        <v>2.3465198927453142E-2</v>
      </c>
      <c r="E633" s="28">
        <v>13.73</v>
      </c>
      <c r="F633" s="28">
        <v>12.26</v>
      </c>
      <c r="G633" s="39">
        <f>(E633-F633)/(AVERAGE(E633,F633))</f>
        <v>0.11312043093497504</v>
      </c>
      <c r="H633" s="28">
        <v>139.80000000000001</v>
      </c>
      <c r="I633" s="28">
        <v>13.49</v>
      </c>
      <c r="J633" s="39">
        <f>(H633-I633)/AVERAGE(H633,I633)</f>
        <v>1.6479874747211167</v>
      </c>
      <c r="K633" s="25">
        <v>58178</v>
      </c>
      <c r="L633" s="24">
        <f>140*1000000</f>
        <v>140000000</v>
      </c>
      <c r="M633" s="39">
        <f t="shared" ref="M633:M675" si="189">K633*B633</f>
        <v>785403</v>
      </c>
      <c r="N633" s="24">
        <f>140*1000000</f>
        <v>140000000</v>
      </c>
      <c r="O633" s="41">
        <f t="shared" ref="O633:O675" si="190">K633/N633</f>
        <v>4.1555714285714288E-4</v>
      </c>
      <c r="P633" s="36">
        <v>82074.45</v>
      </c>
      <c r="Q633" s="9">
        <v>0.1741</v>
      </c>
      <c r="R633" s="26">
        <f>4370.86*1000000</f>
        <v>4370860000</v>
      </c>
      <c r="S633" s="26">
        <f>2698.27*1000000</f>
        <v>2698270000</v>
      </c>
      <c r="T633" s="26">
        <f>89*1000000</f>
        <v>89000000</v>
      </c>
      <c r="U633" s="26">
        <f>14.22*1000000</f>
        <v>14220000</v>
      </c>
      <c r="V633" s="26">
        <f>1150*1000000</f>
        <v>1150000000</v>
      </c>
      <c r="W633">
        <f>IFERROR(ABS(C633)/M633,"0")</f>
        <v>1.121790047558338E-8</v>
      </c>
      <c r="X633">
        <f>V633/R633</f>
        <v>0.26310611641644893</v>
      </c>
      <c r="Y633" s="9"/>
    </row>
    <row r="634" spans="1:25">
      <c r="A634" s="21">
        <v>45554</v>
      </c>
      <c r="B634" s="28">
        <v>13.62</v>
      </c>
      <c r="C634" s="23">
        <f t="shared" ref="C634:C675" si="191">IFERROR((B634-B635)/B635,0)</f>
        <v>-8.9572192513369092E-2</v>
      </c>
      <c r="D634" s="24">
        <f t="shared" ref="D634:D675" si="192">_xlfn.STDEV.S($C$633:$C$675)</f>
        <v>2.3465198927453142E-2</v>
      </c>
      <c r="E634" s="28">
        <v>14.5</v>
      </c>
      <c r="F634" s="28">
        <v>12.12</v>
      </c>
      <c r="G634" s="39">
        <f t="shared" ref="G634:G675" si="193">(E634-F634)/(AVERAGE(E634,F634))</f>
        <v>0.17881292261457557</v>
      </c>
      <c r="H634" s="28">
        <v>139.80000000000001</v>
      </c>
      <c r="I634" s="28">
        <v>13.88</v>
      </c>
      <c r="J634" s="39">
        <f t="shared" ref="J634:J675" si="194">(H634-I634)/AVERAGE(H634,I634)</f>
        <v>1.6387298282144718</v>
      </c>
      <c r="K634" s="25">
        <v>66122</v>
      </c>
      <c r="L634" s="24">
        <f t="shared" ref="L634:L675" si="195">140*1000000</f>
        <v>140000000</v>
      </c>
      <c r="M634" s="39">
        <f t="shared" si="189"/>
        <v>900581.6399999999</v>
      </c>
      <c r="N634" s="24">
        <f t="shared" ref="N634:N675" si="196">140*1000000</f>
        <v>140000000</v>
      </c>
      <c r="O634" s="41">
        <f t="shared" si="190"/>
        <v>4.7229999999999999E-4</v>
      </c>
      <c r="P634" s="36">
        <v>81459.289999999994</v>
      </c>
      <c r="Q634" s="9">
        <v>0.1741</v>
      </c>
      <c r="R634" s="26">
        <f t="shared" ref="R634:R675" si="197">4370.86*1000000</f>
        <v>4370860000</v>
      </c>
      <c r="S634" s="26">
        <f t="shared" ref="S634:S675" si="198">2698.27*1000000</f>
        <v>2698270000</v>
      </c>
      <c r="T634" s="26">
        <f t="shared" ref="T634:T675" si="199">89*1000000</f>
        <v>89000000</v>
      </c>
      <c r="U634" s="26">
        <f t="shared" ref="U634:U675" si="200">14.22*1000000</f>
        <v>14220000</v>
      </c>
      <c r="V634" s="26">
        <f t="shared" ref="V634:V675" si="201">1150*1000000</f>
        <v>1150000000</v>
      </c>
      <c r="W634">
        <f t="shared" ref="W634:W675" si="202">IFERROR(ABS(C634)/M634,"0")</f>
        <v>9.9460380419668675E-8</v>
      </c>
      <c r="X634">
        <f t="shared" ref="X634:X675" si="203">V634/R634</f>
        <v>0.26310611641644893</v>
      </c>
      <c r="Y634" s="9"/>
    </row>
    <row r="635" spans="1:25">
      <c r="A635" s="21">
        <v>45553</v>
      </c>
      <c r="B635" s="28">
        <v>14.96</v>
      </c>
      <c r="C635" s="23">
        <f t="shared" si="191"/>
        <v>0</v>
      </c>
      <c r="D635" s="24">
        <f t="shared" si="192"/>
        <v>2.3465198927453142E-2</v>
      </c>
      <c r="E635" s="28">
        <v>15.1</v>
      </c>
      <c r="F635" s="28">
        <v>14.65</v>
      </c>
      <c r="G635" s="39">
        <f t="shared" si="193"/>
        <v>3.0252100840336086E-2</v>
      </c>
      <c r="H635" s="28">
        <v>139.80000000000001</v>
      </c>
      <c r="I635" s="28">
        <v>15.04</v>
      </c>
      <c r="J635" s="39">
        <f t="shared" si="194"/>
        <v>1.6114699044174634</v>
      </c>
      <c r="K635" s="25">
        <v>59429</v>
      </c>
      <c r="L635" s="24">
        <f t="shared" si="195"/>
        <v>140000000</v>
      </c>
      <c r="M635" s="39">
        <f t="shared" si="189"/>
        <v>889057.84000000008</v>
      </c>
      <c r="N635" s="24">
        <f t="shared" si="196"/>
        <v>140000000</v>
      </c>
      <c r="O635" s="41">
        <f t="shared" si="190"/>
        <v>4.2449285714285713E-4</v>
      </c>
      <c r="P635" s="36">
        <v>80461.34</v>
      </c>
      <c r="Q635" s="9">
        <v>0.1741</v>
      </c>
      <c r="R635" s="26">
        <f t="shared" si="197"/>
        <v>4370860000</v>
      </c>
      <c r="S635" s="26">
        <f t="shared" si="198"/>
        <v>2698270000</v>
      </c>
      <c r="T635" s="26">
        <f t="shared" si="199"/>
        <v>89000000</v>
      </c>
      <c r="U635" s="26">
        <f t="shared" si="200"/>
        <v>14220000</v>
      </c>
      <c r="V635" s="26">
        <f t="shared" si="201"/>
        <v>1150000000</v>
      </c>
      <c r="W635">
        <f t="shared" si="202"/>
        <v>0</v>
      </c>
      <c r="X635">
        <f t="shared" si="203"/>
        <v>0.26310611641644893</v>
      </c>
      <c r="Y635" s="9"/>
    </row>
    <row r="636" spans="1:25">
      <c r="A636" s="21">
        <v>45551</v>
      </c>
      <c r="B636" s="28">
        <v>14.96</v>
      </c>
      <c r="C636" s="23">
        <f t="shared" si="191"/>
        <v>1.1494252873563334E-2</v>
      </c>
      <c r="D636" s="24">
        <f t="shared" si="192"/>
        <v>2.3465198927453142E-2</v>
      </c>
      <c r="E636" s="28">
        <v>15.05</v>
      </c>
      <c r="F636" s="28">
        <v>14.61</v>
      </c>
      <c r="G636" s="39">
        <f t="shared" si="193"/>
        <v>2.9669588671611683E-2</v>
      </c>
      <c r="H636" s="28">
        <v>139.80000000000001</v>
      </c>
      <c r="I636" s="28">
        <v>15.19</v>
      </c>
      <c r="J636" s="39">
        <f t="shared" si="194"/>
        <v>1.6079747080456805</v>
      </c>
      <c r="K636" s="25">
        <v>65295</v>
      </c>
      <c r="L636" s="24">
        <f t="shared" si="195"/>
        <v>140000000</v>
      </c>
      <c r="M636" s="39">
        <f t="shared" si="189"/>
        <v>976813.20000000007</v>
      </c>
      <c r="N636" s="24">
        <f t="shared" si="196"/>
        <v>140000000</v>
      </c>
      <c r="O636" s="41">
        <f t="shared" si="190"/>
        <v>4.6639285714285717E-4</v>
      </c>
      <c r="P636" s="36">
        <v>79491.14</v>
      </c>
      <c r="Q636" s="9">
        <v>0.1741</v>
      </c>
      <c r="R636" s="26">
        <f t="shared" si="197"/>
        <v>4370860000</v>
      </c>
      <c r="S636" s="26">
        <f t="shared" si="198"/>
        <v>2698270000</v>
      </c>
      <c r="T636" s="26">
        <f t="shared" si="199"/>
        <v>89000000</v>
      </c>
      <c r="U636" s="26">
        <f t="shared" si="200"/>
        <v>14220000</v>
      </c>
      <c r="V636" s="26">
        <f t="shared" si="201"/>
        <v>1150000000</v>
      </c>
      <c r="W636">
        <f t="shared" si="202"/>
        <v>1.1767094131778045E-8</v>
      </c>
      <c r="X636">
        <f t="shared" si="203"/>
        <v>0.26310611641644893</v>
      </c>
      <c r="Y636" s="9"/>
    </row>
    <row r="637" spans="1:25">
      <c r="A637" s="21">
        <v>45548</v>
      </c>
      <c r="B637" s="28">
        <v>14.79</v>
      </c>
      <c r="C637" s="23">
        <f t="shared" si="191"/>
        <v>1.3708019191226819E-2</v>
      </c>
      <c r="D637" s="24">
        <f t="shared" si="192"/>
        <v>2.3465198927453142E-2</v>
      </c>
      <c r="E637" s="28">
        <v>15</v>
      </c>
      <c r="F637" s="28">
        <v>14.5</v>
      </c>
      <c r="G637" s="39">
        <f t="shared" si="193"/>
        <v>3.3898305084745763E-2</v>
      </c>
      <c r="H637" s="28">
        <v>139.80000000000001</v>
      </c>
      <c r="I637" s="28">
        <v>14.79</v>
      </c>
      <c r="J637" s="39">
        <f t="shared" si="194"/>
        <v>1.6173103046768875</v>
      </c>
      <c r="K637" s="25">
        <v>14368</v>
      </c>
      <c r="L637" s="24">
        <f t="shared" si="195"/>
        <v>140000000</v>
      </c>
      <c r="M637" s="39">
        <f t="shared" si="189"/>
        <v>212502.72</v>
      </c>
      <c r="N637" s="24">
        <f t="shared" si="196"/>
        <v>140000000</v>
      </c>
      <c r="O637" s="41">
        <f t="shared" si="190"/>
        <v>1.0262857142857143E-4</v>
      </c>
      <c r="P637" s="36">
        <v>79333.06</v>
      </c>
      <c r="Q637" s="9">
        <v>0.1741</v>
      </c>
      <c r="R637" s="26">
        <f t="shared" si="197"/>
        <v>4370860000</v>
      </c>
      <c r="S637" s="26">
        <f t="shared" si="198"/>
        <v>2698270000</v>
      </c>
      <c r="T637" s="26">
        <f t="shared" si="199"/>
        <v>89000000</v>
      </c>
      <c r="U637" s="26">
        <f t="shared" si="200"/>
        <v>14220000</v>
      </c>
      <c r="V637" s="26">
        <f t="shared" si="201"/>
        <v>1150000000</v>
      </c>
      <c r="W637">
        <f t="shared" si="202"/>
        <v>6.4507499909774418E-8</v>
      </c>
      <c r="X637">
        <f t="shared" si="203"/>
        <v>0.26310611641644893</v>
      </c>
      <c r="Y637" s="9"/>
    </row>
    <row r="638" spans="1:25">
      <c r="A638" s="21">
        <v>45547</v>
      </c>
      <c r="B638" s="28">
        <v>14.59</v>
      </c>
      <c r="C638" s="23">
        <f t="shared" si="191"/>
        <v>-1.4189189189189245E-2</v>
      </c>
      <c r="D638" s="24">
        <f t="shared" si="192"/>
        <v>2.3465198927453142E-2</v>
      </c>
      <c r="E638" s="28">
        <v>14.85</v>
      </c>
      <c r="F638" s="28">
        <v>14.56</v>
      </c>
      <c r="G638" s="39">
        <f t="shared" si="193"/>
        <v>1.9721183270996201E-2</v>
      </c>
      <c r="H638" s="28">
        <v>139.80000000000001</v>
      </c>
      <c r="I638" s="28">
        <v>14.69</v>
      </c>
      <c r="J638" s="39">
        <f t="shared" si="194"/>
        <v>1.6196517573953007</v>
      </c>
      <c r="K638" s="25">
        <v>42745</v>
      </c>
      <c r="L638" s="24">
        <f t="shared" si="195"/>
        <v>140000000</v>
      </c>
      <c r="M638" s="39">
        <f t="shared" si="189"/>
        <v>623649.55000000005</v>
      </c>
      <c r="N638" s="24">
        <f t="shared" si="196"/>
        <v>140000000</v>
      </c>
      <c r="O638" s="41">
        <f t="shared" si="190"/>
        <v>3.0532142857142856E-4</v>
      </c>
      <c r="P638" s="36">
        <v>79017.62</v>
      </c>
      <c r="Q638" s="9">
        <v>0.1741</v>
      </c>
      <c r="R638" s="26">
        <f t="shared" si="197"/>
        <v>4370860000</v>
      </c>
      <c r="S638" s="26">
        <f t="shared" si="198"/>
        <v>2698270000</v>
      </c>
      <c r="T638" s="26">
        <f t="shared" si="199"/>
        <v>89000000</v>
      </c>
      <c r="U638" s="26">
        <f t="shared" si="200"/>
        <v>14220000</v>
      </c>
      <c r="V638" s="26">
        <f t="shared" si="201"/>
        <v>1150000000</v>
      </c>
      <c r="W638">
        <f t="shared" si="202"/>
        <v>2.2751863108358281E-8</v>
      </c>
      <c r="X638">
        <f t="shared" si="203"/>
        <v>0.26310611641644893</v>
      </c>
      <c r="Y638" s="9"/>
    </row>
    <row r="639" spans="1:25">
      <c r="A639" s="21">
        <v>45546</v>
      </c>
      <c r="B639" s="28">
        <v>14.8</v>
      </c>
      <c r="C639" s="23">
        <f t="shared" si="191"/>
        <v>8.1743869209809951E-3</v>
      </c>
      <c r="D639" s="24">
        <f t="shared" si="192"/>
        <v>2.3465198927453142E-2</v>
      </c>
      <c r="E639" s="28">
        <v>14.8</v>
      </c>
      <c r="F639" s="28">
        <v>14.49</v>
      </c>
      <c r="G639" s="39">
        <f t="shared" si="193"/>
        <v>2.1167634004779824E-2</v>
      </c>
      <c r="H639" s="28">
        <v>139.80000000000001</v>
      </c>
      <c r="I639" s="28">
        <v>14.8</v>
      </c>
      <c r="J639" s="39">
        <f t="shared" si="194"/>
        <v>1.6170763260025873</v>
      </c>
      <c r="K639" s="25">
        <v>8075</v>
      </c>
      <c r="L639" s="24">
        <f t="shared" si="195"/>
        <v>140000000</v>
      </c>
      <c r="M639" s="39">
        <f t="shared" si="189"/>
        <v>119510</v>
      </c>
      <c r="N639" s="24">
        <f t="shared" si="196"/>
        <v>140000000</v>
      </c>
      <c r="O639" s="41">
        <f t="shared" si="190"/>
        <v>5.7678571428571432E-5</v>
      </c>
      <c r="P639" s="36">
        <v>78651.8</v>
      </c>
      <c r="Q639" s="9">
        <v>0.1741</v>
      </c>
      <c r="R639" s="26">
        <f t="shared" si="197"/>
        <v>4370860000</v>
      </c>
      <c r="S639" s="26">
        <f t="shared" si="198"/>
        <v>2698270000</v>
      </c>
      <c r="T639" s="26">
        <f t="shared" si="199"/>
        <v>89000000</v>
      </c>
      <c r="U639" s="26">
        <f t="shared" si="200"/>
        <v>14220000</v>
      </c>
      <c r="V639" s="26">
        <f t="shared" si="201"/>
        <v>1150000000</v>
      </c>
      <c r="W639">
        <f t="shared" si="202"/>
        <v>6.8399187691247553E-8</v>
      </c>
      <c r="X639">
        <f t="shared" si="203"/>
        <v>0.26310611641644893</v>
      </c>
      <c r="Y639" s="9"/>
    </row>
    <row r="640" spans="1:25">
      <c r="A640" s="21">
        <v>45545</v>
      </c>
      <c r="B640" s="28">
        <v>14.68</v>
      </c>
      <c r="C640" s="23">
        <f t="shared" si="191"/>
        <v>-2.6525198938992064E-2</v>
      </c>
      <c r="D640" s="24">
        <f t="shared" si="192"/>
        <v>2.3465198927453142E-2</v>
      </c>
      <c r="E640" s="28">
        <v>15</v>
      </c>
      <c r="F640" s="28">
        <v>14.55</v>
      </c>
      <c r="G640" s="39">
        <f t="shared" si="193"/>
        <v>3.0456852791878125E-2</v>
      </c>
      <c r="H640" s="28">
        <v>139.80000000000001</v>
      </c>
      <c r="I640" s="28">
        <v>14.85</v>
      </c>
      <c r="J640" s="39">
        <f t="shared" si="194"/>
        <v>1.615906886517944</v>
      </c>
      <c r="K640" s="25">
        <v>18353</v>
      </c>
      <c r="L640" s="24">
        <f t="shared" si="195"/>
        <v>140000000</v>
      </c>
      <c r="M640" s="39">
        <f t="shared" si="189"/>
        <v>269422.03999999998</v>
      </c>
      <c r="N640" s="24">
        <f t="shared" si="196"/>
        <v>140000000</v>
      </c>
      <c r="O640" s="41">
        <f t="shared" si="190"/>
        <v>1.3109285714285715E-4</v>
      </c>
      <c r="P640" s="36">
        <v>79286.740000000005</v>
      </c>
      <c r="Q640" s="9">
        <v>0.1741</v>
      </c>
      <c r="R640" s="26">
        <f t="shared" si="197"/>
        <v>4370860000</v>
      </c>
      <c r="S640" s="26">
        <f t="shared" si="198"/>
        <v>2698270000</v>
      </c>
      <c r="T640" s="26">
        <f t="shared" si="199"/>
        <v>89000000</v>
      </c>
      <c r="U640" s="26">
        <f t="shared" si="200"/>
        <v>14220000</v>
      </c>
      <c r="V640" s="26">
        <f t="shared" si="201"/>
        <v>1150000000</v>
      </c>
      <c r="W640">
        <f t="shared" si="202"/>
        <v>9.8452223652497275E-8</v>
      </c>
      <c r="X640">
        <f t="shared" si="203"/>
        <v>0.26310611641644893</v>
      </c>
      <c r="Y640" s="9"/>
    </row>
    <row r="641" spans="1:25">
      <c r="A641" s="21">
        <v>45544</v>
      </c>
      <c r="B641" s="28">
        <v>15.08</v>
      </c>
      <c r="C641" s="23">
        <f t="shared" si="191"/>
        <v>5.7503506311360468E-2</v>
      </c>
      <c r="D641" s="24">
        <f t="shared" si="192"/>
        <v>2.3465198927453142E-2</v>
      </c>
      <c r="E641" s="28">
        <v>15.1</v>
      </c>
      <c r="F641" s="28">
        <v>14.02</v>
      </c>
      <c r="G641" s="39">
        <f t="shared" si="193"/>
        <v>7.417582417582419E-2</v>
      </c>
      <c r="H641" s="28">
        <v>139.80000000000001</v>
      </c>
      <c r="I641" s="28">
        <v>14.98</v>
      </c>
      <c r="J641" s="39">
        <f t="shared" si="194"/>
        <v>1.6128698798294354</v>
      </c>
      <c r="K641" s="25">
        <v>34578</v>
      </c>
      <c r="L641" s="24">
        <f t="shared" si="195"/>
        <v>140000000</v>
      </c>
      <c r="M641" s="39">
        <f t="shared" si="189"/>
        <v>521436.24</v>
      </c>
      <c r="N641" s="24">
        <f t="shared" si="196"/>
        <v>140000000</v>
      </c>
      <c r="O641" s="41">
        <f t="shared" si="190"/>
        <v>2.4698571428571431E-4</v>
      </c>
      <c r="P641" s="36">
        <v>78615</v>
      </c>
      <c r="Q641" s="9">
        <v>0.1741</v>
      </c>
      <c r="R641" s="26">
        <f t="shared" si="197"/>
        <v>4370860000</v>
      </c>
      <c r="S641" s="26">
        <f t="shared" si="198"/>
        <v>2698270000</v>
      </c>
      <c r="T641" s="26">
        <f t="shared" si="199"/>
        <v>89000000</v>
      </c>
      <c r="U641" s="26">
        <f t="shared" si="200"/>
        <v>14220000</v>
      </c>
      <c r="V641" s="26">
        <f t="shared" si="201"/>
        <v>1150000000</v>
      </c>
      <c r="W641">
        <f t="shared" si="202"/>
        <v>1.1027907517774458E-7</v>
      </c>
      <c r="X641">
        <f t="shared" si="203"/>
        <v>0.26310611641644893</v>
      </c>
      <c r="Y641" s="9"/>
    </row>
    <row r="642" spans="1:25">
      <c r="A642" s="21">
        <v>45541</v>
      </c>
      <c r="B642" s="28">
        <v>14.26</v>
      </c>
      <c r="C642" s="23">
        <f t="shared" si="191"/>
        <v>7.0175438596489738E-4</v>
      </c>
      <c r="D642" s="24">
        <f t="shared" si="192"/>
        <v>2.3465198927453142E-2</v>
      </c>
      <c r="E642" s="28">
        <v>15</v>
      </c>
      <c r="F642" s="28">
        <v>14</v>
      </c>
      <c r="G642" s="39">
        <f t="shared" si="193"/>
        <v>6.8965517241379309E-2</v>
      </c>
      <c r="H642" s="28">
        <v>139.80000000000001</v>
      </c>
      <c r="I642" s="28">
        <v>14.26</v>
      </c>
      <c r="J642" s="39">
        <f t="shared" si="194"/>
        <v>1.6297546410489421</v>
      </c>
      <c r="K642" s="25">
        <v>24565</v>
      </c>
      <c r="L642" s="24">
        <f t="shared" si="195"/>
        <v>140000000</v>
      </c>
      <c r="M642" s="39">
        <f t="shared" si="189"/>
        <v>350296.9</v>
      </c>
      <c r="N642" s="24">
        <f t="shared" si="196"/>
        <v>140000000</v>
      </c>
      <c r="O642" s="41">
        <f t="shared" si="190"/>
        <v>1.7546428571428571E-4</v>
      </c>
      <c r="P642" s="36">
        <v>78897.73</v>
      </c>
      <c r="Q642" s="9">
        <v>0.1741</v>
      </c>
      <c r="R642" s="26">
        <f t="shared" si="197"/>
        <v>4370860000</v>
      </c>
      <c r="S642" s="26">
        <f t="shared" si="198"/>
        <v>2698270000</v>
      </c>
      <c r="T642" s="26">
        <f t="shared" si="199"/>
        <v>89000000</v>
      </c>
      <c r="U642" s="26">
        <f t="shared" si="200"/>
        <v>14220000</v>
      </c>
      <c r="V642" s="26">
        <f t="shared" si="201"/>
        <v>1150000000</v>
      </c>
      <c r="W642">
        <f t="shared" si="202"/>
        <v>2.0033131494023992E-9</v>
      </c>
      <c r="X642">
        <f t="shared" si="203"/>
        <v>0.26310611641644893</v>
      </c>
      <c r="Y642" s="9"/>
    </row>
    <row r="643" spans="1:25">
      <c r="A643" s="21">
        <v>45540</v>
      </c>
      <c r="B643" s="28">
        <v>14.25</v>
      </c>
      <c r="C643" s="23">
        <f t="shared" si="191"/>
        <v>7.7793493635077392E-3</v>
      </c>
      <c r="D643" s="24">
        <f t="shared" si="192"/>
        <v>2.3465198927453142E-2</v>
      </c>
      <c r="E643" s="28">
        <v>15</v>
      </c>
      <c r="F643" s="28">
        <v>14.02</v>
      </c>
      <c r="G643" s="39">
        <f t="shared" si="193"/>
        <v>6.7539627842867017E-2</v>
      </c>
      <c r="H643" s="28">
        <v>139.80000000000001</v>
      </c>
      <c r="I643" s="28">
        <v>14.25</v>
      </c>
      <c r="J643" s="39">
        <f t="shared" si="194"/>
        <v>1.6299902629016554</v>
      </c>
      <c r="K643" s="25">
        <v>3512</v>
      </c>
      <c r="L643" s="24">
        <f t="shared" si="195"/>
        <v>140000000</v>
      </c>
      <c r="M643" s="39">
        <f t="shared" si="189"/>
        <v>50046</v>
      </c>
      <c r="N643" s="24">
        <f t="shared" si="196"/>
        <v>140000000</v>
      </c>
      <c r="O643" s="41">
        <f t="shared" si="190"/>
        <v>2.5085714285714287E-5</v>
      </c>
      <c r="P643" s="36">
        <v>78863.34</v>
      </c>
      <c r="Q643" s="9">
        <v>0.1741</v>
      </c>
      <c r="R643" s="26">
        <f t="shared" si="197"/>
        <v>4370860000</v>
      </c>
      <c r="S643" s="26">
        <f t="shared" si="198"/>
        <v>2698270000</v>
      </c>
      <c r="T643" s="26">
        <f t="shared" si="199"/>
        <v>89000000</v>
      </c>
      <c r="U643" s="26">
        <f t="shared" si="200"/>
        <v>14220000</v>
      </c>
      <c r="V643" s="26">
        <f t="shared" si="201"/>
        <v>1150000000</v>
      </c>
      <c r="W643">
        <f t="shared" si="202"/>
        <v>1.5544397880964991E-7</v>
      </c>
      <c r="X643">
        <f t="shared" si="203"/>
        <v>0.26310611641644893</v>
      </c>
      <c r="Y643" s="9"/>
    </row>
    <row r="644" spans="1:25">
      <c r="A644" s="21">
        <v>45539</v>
      </c>
      <c r="B644" s="28">
        <v>14.14</v>
      </c>
      <c r="C644" s="23">
        <f t="shared" si="191"/>
        <v>-2.0097020097020038E-2</v>
      </c>
      <c r="D644" s="24">
        <f t="shared" si="192"/>
        <v>2.3465198927453142E-2</v>
      </c>
      <c r="E644" s="28">
        <v>15</v>
      </c>
      <c r="F644" s="28">
        <v>13.9</v>
      </c>
      <c r="G644" s="39">
        <f t="shared" si="193"/>
        <v>7.6124567474048416E-2</v>
      </c>
      <c r="H644" s="28">
        <v>139.80000000000001</v>
      </c>
      <c r="I644" s="28">
        <v>14.49</v>
      </c>
      <c r="J644" s="39">
        <f t="shared" si="194"/>
        <v>1.6243437682286603</v>
      </c>
      <c r="K644" s="25">
        <v>7996</v>
      </c>
      <c r="L644" s="24">
        <f t="shared" si="195"/>
        <v>140000000</v>
      </c>
      <c r="M644" s="39">
        <f t="shared" si="189"/>
        <v>113063.44</v>
      </c>
      <c r="N644" s="24">
        <f t="shared" si="196"/>
        <v>140000000</v>
      </c>
      <c r="O644" s="41">
        <f t="shared" si="190"/>
        <v>5.7114285714285715E-5</v>
      </c>
      <c r="P644" s="36">
        <v>78848.009999999995</v>
      </c>
      <c r="Q644" s="9">
        <v>0.1741</v>
      </c>
      <c r="R644" s="26">
        <f t="shared" si="197"/>
        <v>4370860000</v>
      </c>
      <c r="S644" s="26">
        <f t="shared" si="198"/>
        <v>2698270000</v>
      </c>
      <c r="T644" s="26">
        <f t="shared" si="199"/>
        <v>89000000</v>
      </c>
      <c r="U644" s="26">
        <f t="shared" si="200"/>
        <v>14220000</v>
      </c>
      <c r="V644" s="26">
        <f t="shared" si="201"/>
        <v>1150000000</v>
      </c>
      <c r="W644">
        <f t="shared" si="202"/>
        <v>1.7774994372203817E-7</v>
      </c>
      <c r="X644">
        <f t="shared" si="203"/>
        <v>0.26310611641644893</v>
      </c>
      <c r="Y644" s="9"/>
    </row>
    <row r="645" spans="1:25">
      <c r="A645" s="21">
        <v>45538</v>
      </c>
      <c r="B645" s="28">
        <v>14.43</v>
      </c>
      <c r="C645" s="23">
        <f t="shared" si="191"/>
        <v>2.2678951098511715E-2</v>
      </c>
      <c r="D645" s="24">
        <f t="shared" si="192"/>
        <v>2.3465198927453142E-2</v>
      </c>
      <c r="E645" s="28">
        <v>14.5</v>
      </c>
      <c r="F645" s="28">
        <v>14.15</v>
      </c>
      <c r="G645" s="39">
        <f t="shared" si="193"/>
        <v>2.4432809773123884E-2</v>
      </c>
      <c r="H645" s="28">
        <v>139.80000000000001</v>
      </c>
      <c r="I645" s="28">
        <v>14.5</v>
      </c>
      <c r="J645" s="39">
        <f t="shared" si="194"/>
        <v>1.6241088788075178</v>
      </c>
      <c r="K645" s="25">
        <v>17725</v>
      </c>
      <c r="L645" s="24">
        <f t="shared" si="195"/>
        <v>140000000</v>
      </c>
      <c r="M645" s="39">
        <f t="shared" si="189"/>
        <v>255771.75</v>
      </c>
      <c r="N645" s="24">
        <f t="shared" si="196"/>
        <v>140000000</v>
      </c>
      <c r="O645" s="41">
        <f t="shared" si="190"/>
        <v>1.2660714285714285E-4</v>
      </c>
      <c r="P645" s="36">
        <v>78356.320000000007</v>
      </c>
      <c r="Q645" s="9">
        <v>0.17469999999999999</v>
      </c>
      <c r="R645" s="26">
        <f t="shared" si="197"/>
        <v>4370860000</v>
      </c>
      <c r="S645" s="26">
        <f t="shared" si="198"/>
        <v>2698270000</v>
      </c>
      <c r="T645" s="26">
        <f t="shared" si="199"/>
        <v>89000000</v>
      </c>
      <c r="U645" s="26">
        <f t="shared" si="200"/>
        <v>14220000</v>
      </c>
      <c r="V645" s="26">
        <f t="shared" si="201"/>
        <v>1150000000</v>
      </c>
      <c r="W645">
        <f t="shared" si="202"/>
        <v>8.8668709888843143E-8</v>
      </c>
      <c r="X645">
        <f t="shared" si="203"/>
        <v>0.26310611641644893</v>
      </c>
      <c r="Y645" s="9"/>
    </row>
    <row r="646" spans="1:25">
      <c r="A646" s="21">
        <v>45537</v>
      </c>
      <c r="B646" s="28">
        <v>14.11</v>
      </c>
      <c r="C646" s="23">
        <f t="shared" si="191"/>
        <v>1.8772563176895293E-2</v>
      </c>
      <c r="D646" s="24">
        <f t="shared" si="192"/>
        <v>2.3465198927453142E-2</v>
      </c>
      <c r="E646" s="28">
        <v>14.69</v>
      </c>
      <c r="F646" s="28">
        <v>14.11</v>
      </c>
      <c r="G646" s="39">
        <f t="shared" si="193"/>
        <v>4.0277777777777787E-2</v>
      </c>
      <c r="H646" s="28">
        <v>139.80000000000001</v>
      </c>
      <c r="I646" s="28">
        <v>14.4</v>
      </c>
      <c r="J646" s="39">
        <f t="shared" si="194"/>
        <v>1.6264591439688716</v>
      </c>
      <c r="K646" s="25">
        <v>2605</v>
      </c>
      <c r="L646" s="24">
        <f t="shared" si="195"/>
        <v>140000000</v>
      </c>
      <c r="M646" s="39">
        <f t="shared" si="189"/>
        <v>36756.549999999996</v>
      </c>
      <c r="N646" s="24">
        <f t="shared" si="196"/>
        <v>140000000</v>
      </c>
      <c r="O646" s="41">
        <f t="shared" si="190"/>
        <v>1.8607142857142856E-5</v>
      </c>
      <c r="P646" s="36">
        <v>78283.3</v>
      </c>
      <c r="Q646" s="9">
        <v>0.17469999999999999</v>
      </c>
      <c r="R646" s="26">
        <f t="shared" si="197"/>
        <v>4370860000</v>
      </c>
      <c r="S646" s="26">
        <f t="shared" si="198"/>
        <v>2698270000</v>
      </c>
      <c r="T646" s="26">
        <f t="shared" si="199"/>
        <v>89000000</v>
      </c>
      <c r="U646" s="26">
        <f t="shared" si="200"/>
        <v>14220000</v>
      </c>
      <c r="V646" s="26">
        <f t="shared" si="201"/>
        <v>1150000000</v>
      </c>
      <c r="W646">
        <f t="shared" si="202"/>
        <v>5.1072701809324584E-7</v>
      </c>
      <c r="X646">
        <f t="shared" si="203"/>
        <v>0.26310611641644893</v>
      </c>
      <c r="Y646" s="9"/>
    </row>
    <row r="647" spans="1:25">
      <c r="A647" s="21">
        <v>45534</v>
      </c>
      <c r="B647" s="28">
        <v>13.85</v>
      </c>
      <c r="C647" s="23">
        <f t="shared" si="191"/>
        <v>-1.2829650748396274E-2</v>
      </c>
      <c r="D647" s="24">
        <f t="shared" si="192"/>
        <v>2.3465198927453142E-2</v>
      </c>
      <c r="E647" s="28">
        <v>14.49</v>
      </c>
      <c r="F647" s="28">
        <v>13.68</v>
      </c>
      <c r="G647" s="39">
        <f t="shared" si="193"/>
        <v>5.7507987220447317E-2</v>
      </c>
      <c r="H647" s="28">
        <v>139.80000000000001</v>
      </c>
      <c r="I647" s="28">
        <v>14.34</v>
      </c>
      <c r="J647" s="39">
        <f t="shared" si="194"/>
        <v>1.6278707668353445</v>
      </c>
      <c r="K647" s="25">
        <v>897</v>
      </c>
      <c r="L647" s="24">
        <f t="shared" si="195"/>
        <v>140000000</v>
      </c>
      <c r="M647" s="39">
        <f t="shared" si="189"/>
        <v>12423.449999999999</v>
      </c>
      <c r="N647" s="24">
        <f t="shared" si="196"/>
        <v>140000000</v>
      </c>
      <c r="O647" s="41">
        <f t="shared" si="190"/>
        <v>6.4071428571428571E-6</v>
      </c>
      <c r="P647" s="36">
        <v>78488.22</v>
      </c>
      <c r="Q647" s="9">
        <v>0.17469999999999999</v>
      </c>
      <c r="R647" s="26">
        <f t="shared" si="197"/>
        <v>4370860000</v>
      </c>
      <c r="S647" s="26">
        <f t="shared" si="198"/>
        <v>2698270000</v>
      </c>
      <c r="T647" s="26">
        <f t="shared" si="199"/>
        <v>89000000</v>
      </c>
      <c r="U647" s="26">
        <f t="shared" si="200"/>
        <v>14220000</v>
      </c>
      <c r="V647" s="26">
        <f t="shared" si="201"/>
        <v>1150000000</v>
      </c>
      <c r="W647">
        <f t="shared" si="202"/>
        <v>1.0326962919636877E-6</v>
      </c>
      <c r="X647">
        <f t="shared" si="203"/>
        <v>0.26310611641644893</v>
      </c>
      <c r="Y647" s="9"/>
    </row>
    <row r="648" spans="1:25">
      <c r="A648" s="21">
        <v>45533</v>
      </c>
      <c r="B648" s="28">
        <v>14.03</v>
      </c>
      <c r="C648" s="23">
        <f t="shared" si="191"/>
        <v>1.5195369030390671E-2</v>
      </c>
      <c r="D648" s="24">
        <f t="shared" si="192"/>
        <v>2.3465198927453142E-2</v>
      </c>
      <c r="E648" s="28">
        <v>14.15</v>
      </c>
      <c r="F648" s="28">
        <v>13.65</v>
      </c>
      <c r="G648" s="39">
        <f t="shared" si="193"/>
        <v>3.5971223021582732E-2</v>
      </c>
      <c r="H648" s="28">
        <v>139.80000000000001</v>
      </c>
      <c r="I648" s="28">
        <v>14.15</v>
      </c>
      <c r="J648" s="39">
        <f t="shared" si="194"/>
        <v>1.6323481649886327</v>
      </c>
      <c r="K648" s="25">
        <v>3515</v>
      </c>
      <c r="L648" s="24">
        <f t="shared" si="195"/>
        <v>140000000</v>
      </c>
      <c r="M648" s="39">
        <f t="shared" si="189"/>
        <v>49315.45</v>
      </c>
      <c r="N648" s="24">
        <f t="shared" si="196"/>
        <v>140000000</v>
      </c>
      <c r="O648" s="41">
        <f t="shared" si="190"/>
        <v>2.5107142857142859E-5</v>
      </c>
      <c r="P648" s="36">
        <v>78349.66</v>
      </c>
      <c r="Q648" s="9">
        <v>0.17469999999999999</v>
      </c>
      <c r="R648" s="26">
        <f t="shared" si="197"/>
        <v>4370860000</v>
      </c>
      <c r="S648" s="26">
        <f t="shared" si="198"/>
        <v>2698270000</v>
      </c>
      <c r="T648" s="26">
        <f t="shared" si="199"/>
        <v>89000000</v>
      </c>
      <c r="U648" s="26">
        <f t="shared" si="200"/>
        <v>14220000</v>
      </c>
      <c r="V648" s="26">
        <f t="shared" si="201"/>
        <v>1150000000</v>
      </c>
      <c r="W648">
        <f t="shared" si="202"/>
        <v>3.0812593275313665E-7</v>
      </c>
      <c r="X648">
        <f t="shared" si="203"/>
        <v>0.26310611641644893</v>
      </c>
      <c r="Y648" s="9"/>
    </row>
    <row r="649" spans="1:25">
      <c r="A649" s="21">
        <v>45532</v>
      </c>
      <c r="B649" s="28">
        <v>13.82</v>
      </c>
      <c r="C649" s="23">
        <f t="shared" si="191"/>
        <v>1.6176470588235341E-2</v>
      </c>
      <c r="D649" s="24">
        <f t="shared" si="192"/>
        <v>2.3465198927453142E-2</v>
      </c>
      <c r="E649" s="28">
        <v>14.22</v>
      </c>
      <c r="F649" s="28">
        <v>13.82</v>
      </c>
      <c r="G649" s="39">
        <f t="shared" si="193"/>
        <v>2.8530670470756088E-2</v>
      </c>
      <c r="H649" s="28">
        <v>139.80000000000001</v>
      </c>
      <c r="I649" s="28">
        <v>14</v>
      </c>
      <c r="J649" s="39">
        <f t="shared" si="194"/>
        <v>1.635890767230169</v>
      </c>
      <c r="K649" s="25">
        <v>6920</v>
      </c>
      <c r="L649" s="24">
        <f t="shared" si="195"/>
        <v>140000000</v>
      </c>
      <c r="M649" s="39">
        <f t="shared" si="189"/>
        <v>95634.400000000009</v>
      </c>
      <c r="N649" s="24">
        <f t="shared" si="196"/>
        <v>140000000</v>
      </c>
      <c r="O649" s="41">
        <f t="shared" si="190"/>
        <v>4.9428571428571428E-5</v>
      </c>
      <c r="P649" s="36">
        <v>77992.789999999994</v>
      </c>
      <c r="Q649" s="9">
        <v>0.17469999999999999</v>
      </c>
      <c r="R649" s="26">
        <f t="shared" si="197"/>
        <v>4370860000</v>
      </c>
      <c r="S649" s="26">
        <f t="shared" si="198"/>
        <v>2698270000</v>
      </c>
      <c r="T649" s="26">
        <f t="shared" si="199"/>
        <v>89000000</v>
      </c>
      <c r="U649" s="26">
        <f t="shared" si="200"/>
        <v>14220000</v>
      </c>
      <c r="V649" s="26">
        <f t="shared" si="201"/>
        <v>1150000000</v>
      </c>
      <c r="W649">
        <f t="shared" si="202"/>
        <v>1.691490780329603E-7</v>
      </c>
      <c r="X649">
        <f t="shared" si="203"/>
        <v>0.26310611641644893</v>
      </c>
      <c r="Y649" s="9"/>
    </row>
    <row r="650" spans="1:25">
      <c r="A650" s="21">
        <v>45531</v>
      </c>
      <c r="B650" s="28">
        <v>13.6</v>
      </c>
      <c r="C650" s="23">
        <f t="shared" si="191"/>
        <v>-2.8571428571428598E-2</v>
      </c>
      <c r="D650" s="24">
        <f t="shared" si="192"/>
        <v>2.3465198927453142E-2</v>
      </c>
      <c r="E650" s="28">
        <v>13.98</v>
      </c>
      <c r="F650" s="28">
        <v>13.4</v>
      </c>
      <c r="G650" s="39">
        <f t="shared" si="193"/>
        <v>4.2366691015339665E-2</v>
      </c>
      <c r="H650" s="28">
        <v>139.80000000000001</v>
      </c>
      <c r="I650" s="28">
        <v>13.9</v>
      </c>
      <c r="J650" s="39">
        <f t="shared" si="194"/>
        <v>1.63825634352635</v>
      </c>
      <c r="K650" s="25">
        <v>6862</v>
      </c>
      <c r="L650" s="24">
        <f t="shared" si="195"/>
        <v>140000000</v>
      </c>
      <c r="M650" s="39">
        <f t="shared" si="189"/>
        <v>93323.199999999997</v>
      </c>
      <c r="N650" s="24">
        <f t="shared" si="196"/>
        <v>140000000</v>
      </c>
      <c r="O650" s="41">
        <f t="shared" si="190"/>
        <v>4.9014285714285715E-5</v>
      </c>
      <c r="P650" s="36">
        <v>78084.240000000005</v>
      </c>
      <c r="Q650" s="9">
        <v>0.17469999999999999</v>
      </c>
      <c r="R650" s="26">
        <f t="shared" si="197"/>
        <v>4370860000</v>
      </c>
      <c r="S650" s="26">
        <f t="shared" si="198"/>
        <v>2698270000</v>
      </c>
      <c r="T650" s="26">
        <f t="shared" si="199"/>
        <v>89000000</v>
      </c>
      <c r="U650" s="26">
        <f t="shared" si="200"/>
        <v>14220000</v>
      </c>
      <c r="V650" s="26">
        <f t="shared" si="201"/>
        <v>1150000000</v>
      </c>
      <c r="W650">
        <f t="shared" si="202"/>
        <v>3.0615568874008393E-7</v>
      </c>
      <c r="X650">
        <f t="shared" si="203"/>
        <v>0.26310611641644893</v>
      </c>
      <c r="Y650" s="9"/>
    </row>
    <row r="651" spans="1:25">
      <c r="A651" s="21">
        <v>45530</v>
      </c>
      <c r="B651" s="28">
        <v>14</v>
      </c>
      <c r="C651" s="23">
        <f t="shared" si="191"/>
        <v>0</v>
      </c>
      <c r="D651" s="24">
        <f t="shared" si="192"/>
        <v>2.3465198927453142E-2</v>
      </c>
      <c r="E651" s="28">
        <v>14.2</v>
      </c>
      <c r="F651" s="28">
        <v>14.2</v>
      </c>
      <c r="G651" s="39">
        <f t="shared" si="193"/>
        <v>0</v>
      </c>
      <c r="H651" s="28">
        <v>139.80000000000001</v>
      </c>
      <c r="I651" s="28">
        <v>13.99</v>
      </c>
      <c r="J651" s="39">
        <f t="shared" si="194"/>
        <v>1.6361271864230444</v>
      </c>
      <c r="K651" s="25">
        <v>215</v>
      </c>
      <c r="L651" s="24">
        <f t="shared" si="195"/>
        <v>140000000</v>
      </c>
      <c r="M651" s="39">
        <f t="shared" si="189"/>
        <v>3010</v>
      </c>
      <c r="N651" s="24">
        <f t="shared" si="196"/>
        <v>140000000</v>
      </c>
      <c r="O651" s="41">
        <f t="shared" si="190"/>
        <v>1.5357142857142857E-6</v>
      </c>
      <c r="P651" s="36">
        <v>78571.06</v>
      </c>
      <c r="Q651" s="9">
        <v>0.17469999999999999</v>
      </c>
      <c r="R651" s="26">
        <f t="shared" si="197"/>
        <v>4370860000</v>
      </c>
      <c r="S651" s="26">
        <f t="shared" si="198"/>
        <v>2698270000</v>
      </c>
      <c r="T651" s="26">
        <f t="shared" si="199"/>
        <v>89000000</v>
      </c>
      <c r="U651" s="26">
        <f t="shared" si="200"/>
        <v>14220000</v>
      </c>
      <c r="V651" s="26">
        <f t="shared" si="201"/>
        <v>1150000000</v>
      </c>
      <c r="W651">
        <f t="shared" si="202"/>
        <v>0</v>
      </c>
      <c r="X651">
        <f t="shared" si="203"/>
        <v>0.26310611641644893</v>
      </c>
      <c r="Y651" s="9"/>
    </row>
    <row r="652" spans="1:25">
      <c r="A652" s="21">
        <v>45527</v>
      </c>
      <c r="B652" s="28">
        <v>14</v>
      </c>
      <c r="C652" s="23">
        <f t="shared" si="191"/>
        <v>3.5842293906810548E-3</v>
      </c>
      <c r="D652" s="24">
        <f t="shared" si="192"/>
        <v>2.3465198927453142E-2</v>
      </c>
      <c r="E652" s="28">
        <v>14.5</v>
      </c>
      <c r="F652" s="28">
        <v>13.99</v>
      </c>
      <c r="G652" s="39">
        <f t="shared" si="193"/>
        <v>3.5802035802035788E-2</v>
      </c>
      <c r="H652" s="28">
        <v>139.80000000000001</v>
      </c>
      <c r="I652" s="28">
        <v>14.25</v>
      </c>
      <c r="J652" s="39">
        <f t="shared" si="194"/>
        <v>1.6299902629016554</v>
      </c>
      <c r="K652" s="25">
        <v>11971</v>
      </c>
      <c r="L652" s="24">
        <f t="shared" si="195"/>
        <v>140000000</v>
      </c>
      <c r="M652" s="39">
        <f t="shared" si="189"/>
        <v>167594</v>
      </c>
      <c r="N652" s="24">
        <f t="shared" si="196"/>
        <v>140000000</v>
      </c>
      <c r="O652" s="41">
        <f t="shared" si="190"/>
        <v>8.5507142857142856E-5</v>
      </c>
      <c r="P652" s="36">
        <v>78801.429999999993</v>
      </c>
      <c r="Q652" s="9">
        <v>0.17469999999999999</v>
      </c>
      <c r="R652" s="26">
        <f t="shared" si="197"/>
        <v>4370860000</v>
      </c>
      <c r="S652" s="26">
        <f t="shared" si="198"/>
        <v>2698270000</v>
      </c>
      <c r="T652" s="26">
        <f t="shared" si="199"/>
        <v>89000000</v>
      </c>
      <c r="U652" s="26">
        <f t="shared" si="200"/>
        <v>14220000</v>
      </c>
      <c r="V652" s="26">
        <f t="shared" si="201"/>
        <v>1150000000</v>
      </c>
      <c r="W652">
        <f t="shared" si="202"/>
        <v>2.1386382511790723E-8</v>
      </c>
      <c r="X652">
        <f t="shared" si="203"/>
        <v>0.26310611641644893</v>
      </c>
      <c r="Y652" s="9"/>
    </row>
    <row r="653" spans="1:25">
      <c r="A653" s="21">
        <v>45526</v>
      </c>
      <c r="B653" s="28">
        <v>13.95</v>
      </c>
      <c r="C653" s="23">
        <f t="shared" si="191"/>
        <v>1.8248175182481754E-2</v>
      </c>
      <c r="D653" s="24">
        <f t="shared" si="192"/>
        <v>2.3465198927453142E-2</v>
      </c>
      <c r="E653" s="28">
        <v>13.95</v>
      </c>
      <c r="F653" s="28">
        <v>13.95</v>
      </c>
      <c r="G653" s="39">
        <f t="shared" si="193"/>
        <v>0</v>
      </c>
      <c r="H653" s="28">
        <v>139.80000000000001</v>
      </c>
      <c r="I653" s="28">
        <v>13.99</v>
      </c>
      <c r="J653" s="39">
        <f t="shared" si="194"/>
        <v>1.6361271864230444</v>
      </c>
      <c r="K653" s="25">
        <v>5635</v>
      </c>
      <c r="L653" s="24">
        <f t="shared" si="195"/>
        <v>140000000</v>
      </c>
      <c r="M653" s="39">
        <f t="shared" si="189"/>
        <v>78608.25</v>
      </c>
      <c r="N653" s="24">
        <f t="shared" si="196"/>
        <v>140000000</v>
      </c>
      <c r="O653" s="41">
        <f t="shared" si="190"/>
        <v>4.0250000000000003E-5</v>
      </c>
      <c r="P653" s="36">
        <v>78793.41</v>
      </c>
      <c r="Q653" s="9">
        <v>0.17469999999999999</v>
      </c>
      <c r="R653" s="26">
        <f t="shared" si="197"/>
        <v>4370860000</v>
      </c>
      <c r="S653" s="26">
        <f t="shared" si="198"/>
        <v>2698270000</v>
      </c>
      <c r="T653" s="26">
        <f t="shared" si="199"/>
        <v>89000000</v>
      </c>
      <c r="U653" s="26">
        <f t="shared" si="200"/>
        <v>14220000</v>
      </c>
      <c r="V653" s="26">
        <f t="shared" si="201"/>
        <v>1150000000</v>
      </c>
      <c r="W653">
        <f t="shared" si="202"/>
        <v>2.3214071274302321E-7</v>
      </c>
      <c r="X653">
        <f t="shared" si="203"/>
        <v>0.26310611641644893</v>
      </c>
      <c r="Y653" s="9"/>
    </row>
    <row r="654" spans="1:25">
      <c r="A654" s="21">
        <v>45525</v>
      </c>
      <c r="B654" s="28">
        <v>13.7</v>
      </c>
      <c r="C654" s="23">
        <f t="shared" si="191"/>
        <v>1.4814814814814762E-2</v>
      </c>
      <c r="D654" s="24">
        <f t="shared" si="192"/>
        <v>2.3465198927453142E-2</v>
      </c>
      <c r="E654" s="28">
        <v>13.78</v>
      </c>
      <c r="F654" s="28">
        <v>13.65</v>
      </c>
      <c r="G654" s="39">
        <f t="shared" si="193"/>
        <v>9.4786729857819184E-3</v>
      </c>
      <c r="H654" s="28">
        <v>139.80000000000001</v>
      </c>
      <c r="I654" s="28">
        <v>13.73</v>
      </c>
      <c r="J654" s="39">
        <f t="shared" si="194"/>
        <v>1.6422848954601708</v>
      </c>
      <c r="K654" s="25">
        <v>8203</v>
      </c>
      <c r="L654" s="24">
        <f t="shared" si="195"/>
        <v>140000000</v>
      </c>
      <c r="M654" s="39">
        <f t="shared" si="189"/>
        <v>112381.09999999999</v>
      </c>
      <c r="N654" s="24">
        <f t="shared" si="196"/>
        <v>140000000</v>
      </c>
      <c r="O654" s="41">
        <f t="shared" si="190"/>
        <v>5.8592857142857143E-5</v>
      </c>
      <c r="P654" s="36">
        <v>78260.86</v>
      </c>
      <c r="Q654" s="9">
        <v>0.17469999999999999</v>
      </c>
      <c r="R654" s="26">
        <f t="shared" si="197"/>
        <v>4370860000</v>
      </c>
      <c r="S654" s="26">
        <f t="shared" si="198"/>
        <v>2698270000</v>
      </c>
      <c r="T654" s="26">
        <f t="shared" si="199"/>
        <v>89000000</v>
      </c>
      <c r="U654" s="26">
        <f t="shared" si="200"/>
        <v>14220000</v>
      </c>
      <c r="V654" s="26">
        <f t="shared" si="201"/>
        <v>1150000000</v>
      </c>
      <c r="W654">
        <f t="shared" si="202"/>
        <v>1.3182656883421467E-7</v>
      </c>
      <c r="X654">
        <f t="shared" si="203"/>
        <v>0.26310611641644893</v>
      </c>
      <c r="Y654" s="9"/>
    </row>
    <row r="655" spans="1:25">
      <c r="A655" s="21">
        <v>45524</v>
      </c>
      <c r="B655" s="28">
        <v>13.5</v>
      </c>
      <c r="C655" s="23">
        <f t="shared" si="191"/>
        <v>-5.1584377302874192E-3</v>
      </c>
      <c r="D655" s="24">
        <f t="shared" si="192"/>
        <v>2.3465198927453142E-2</v>
      </c>
      <c r="E655" s="28">
        <v>13.8</v>
      </c>
      <c r="F655" s="28">
        <v>13.31</v>
      </c>
      <c r="G655" s="39">
        <f t="shared" si="193"/>
        <v>3.6149022500922189E-2</v>
      </c>
      <c r="H655" s="28">
        <v>139.80000000000001</v>
      </c>
      <c r="I655" s="28">
        <v>13.8</v>
      </c>
      <c r="J655" s="39">
        <f t="shared" si="194"/>
        <v>1.640625</v>
      </c>
      <c r="K655" s="25">
        <v>3771</v>
      </c>
      <c r="L655" s="24">
        <f t="shared" si="195"/>
        <v>140000000</v>
      </c>
      <c r="M655" s="39">
        <f t="shared" si="189"/>
        <v>50908.5</v>
      </c>
      <c r="N655" s="24">
        <f t="shared" si="196"/>
        <v>140000000</v>
      </c>
      <c r="O655" s="41">
        <f t="shared" si="190"/>
        <v>2.6935714285714285E-5</v>
      </c>
      <c r="P655" s="36">
        <v>77745.52</v>
      </c>
      <c r="Q655" s="9">
        <v>0.189</v>
      </c>
      <c r="R655" s="26">
        <f t="shared" si="197"/>
        <v>4370860000</v>
      </c>
      <c r="S655" s="26">
        <f t="shared" si="198"/>
        <v>2698270000</v>
      </c>
      <c r="T655" s="26">
        <f t="shared" si="199"/>
        <v>89000000</v>
      </c>
      <c r="U655" s="26">
        <f t="shared" si="200"/>
        <v>14220000</v>
      </c>
      <c r="V655" s="26">
        <f t="shared" si="201"/>
        <v>1150000000</v>
      </c>
      <c r="W655">
        <f t="shared" si="202"/>
        <v>1.0132763154065469E-7</v>
      </c>
      <c r="X655">
        <f t="shared" si="203"/>
        <v>0.26310611641644893</v>
      </c>
      <c r="Y655" s="9"/>
    </row>
    <row r="656" spans="1:25">
      <c r="A656" s="21">
        <v>45523</v>
      </c>
      <c r="B656" s="28">
        <v>13.57</v>
      </c>
      <c r="C656" s="23">
        <f t="shared" si="191"/>
        <v>-1.9508670520231183E-2</v>
      </c>
      <c r="D656" s="24">
        <f t="shared" si="192"/>
        <v>2.3465198927453142E-2</v>
      </c>
      <c r="E656" s="28">
        <v>14.49</v>
      </c>
      <c r="F656" s="28">
        <v>13.57</v>
      </c>
      <c r="G656" s="39">
        <f t="shared" si="193"/>
        <v>6.5573770491803268E-2</v>
      </c>
      <c r="H656" s="28">
        <v>139.80000000000001</v>
      </c>
      <c r="I656" s="28">
        <v>13.7</v>
      </c>
      <c r="J656" s="39">
        <f t="shared" si="194"/>
        <v>1.6429967426710099</v>
      </c>
      <c r="K656" s="25">
        <v>6886</v>
      </c>
      <c r="L656" s="24">
        <f t="shared" si="195"/>
        <v>140000000</v>
      </c>
      <c r="M656" s="39">
        <f t="shared" si="189"/>
        <v>93443.02</v>
      </c>
      <c r="N656" s="24">
        <f t="shared" si="196"/>
        <v>140000000</v>
      </c>
      <c r="O656" s="41">
        <f t="shared" si="190"/>
        <v>4.9185714285714287E-5</v>
      </c>
      <c r="P656" s="36">
        <v>77830.34</v>
      </c>
      <c r="Q656" s="9">
        <v>0.189</v>
      </c>
      <c r="R656" s="26">
        <f t="shared" si="197"/>
        <v>4370860000</v>
      </c>
      <c r="S656" s="26">
        <f t="shared" si="198"/>
        <v>2698270000</v>
      </c>
      <c r="T656" s="26">
        <f t="shared" si="199"/>
        <v>89000000</v>
      </c>
      <c r="U656" s="26">
        <f t="shared" si="200"/>
        <v>14220000</v>
      </c>
      <c r="V656" s="26">
        <f t="shared" si="201"/>
        <v>1150000000</v>
      </c>
      <c r="W656">
        <f t="shared" si="202"/>
        <v>2.0877611318888433E-7</v>
      </c>
      <c r="X656">
        <f t="shared" si="203"/>
        <v>0.26310611641644893</v>
      </c>
      <c r="Y656" s="9"/>
    </row>
    <row r="657" spans="1:25">
      <c r="A657" s="21">
        <v>45520</v>
      </c>
      <c r="B657" s="28">
        <v>13.84</v>
      </c>
      <c r="C657" s="23">
        <f t="shared" si="191"/>
        <v>2.9761904761904788E-2</v>
      </c>
      <c r="D657" s="24">
        <f t="shared" si="192"/>
        <v>2.3465198927453142E-2</v>
      </c>
      <c r="E657" s="28">
        <v>14</v>
      </c>
      <c r="F657" s="28">
        <v>13.45</v>
      </c>
      <c r="G657" s="39">
        <f t="shared" si="193"/>
        <v>4.0072859744990946E-2</v>
      </c>
      <c r="H657" s="28">
        <v>139.80000000000001</v>
      </c>
      <c r="I657" s="28">
        <v>13.9</v>
      </c>
      <c r="J657" s="39">
        <f t="shared" si="194"/>
        <v>1.63825634352635</v>
      </c>
      <c r="K657" s="25">
        <v>1370</v>
      </c>
      <c r="L657" s="24">
        <f t="shared" si="195"/>
        <v>140000000</v>
      </c>
      <c r="M657" s="39">
        <f t="shared" si="189"/>
        <v>18960.8</v>
      </c>
      <c r="N657" s="24">
        <f t="shared" si="196"/>
        <v>140000000</v>
      </c>
      <c r="O657" s="41">
        <f t="shared" si="190"/>
        <v>9.7857142857142862E-6</v>
      </c>
      <c r="P657" s="36">
        <v>78045.31</v>
      </c>
      <c r="Q657" s="9">
        <v>0.189</v>
      </c>
      <c r="R657" s="26">
        <f t="shared" si="197"/>
        <v>4370860000</v>
      </c>
      <c r="S657" s="26">
        <f t="shared" si="198"/>
        <v>2698270000</v>
      </c>
      <c r="T657" s="26">
        <f t="shared" si="199"/>
        <v>89000000</v>
      </c>
      <c r="U657" s="26">
        <f t="shared" si="200"/>
        <v>14220000</v>
      </c>
      <c r="V657" s="26">
        <f t="shared" si="201"/>
        <v>1150000000</v>
      </c>
      <c r="W657">
        <f t="shared" si="202"/>
        <v>1.5696544851432845E-6</v>
      </c>
      <c r="X657">
        <f t="shared" si="203"/>
        <v>0.26310611641644893</v>
      </c>
      <c r="Y657" s="9"/>
    </row>
    <row r="658" spans="1:25">
      <c r="A658" s="21">
        <v>45519</v>
      </c>
      <c r="B658" s="28">
        <v>13.44</v>
      </c>
      <c r="C658" s="23">
        <f t="shared" si="191"/>
        <v>3.734129947722101E-3</v>
      </c>
      <c r="D658" s="24">
        <f t="shared" si="192"/>
        <v>2.3465198927453142E-2</v>
      </c>
      <c r="E658" s="28">
        <v>13.44</v>
      </c>
      <c r="F658" s="28">
        <v>13.4</v>
      </c>
      <c r="G658" s="39">
        <f t="shared" si="193"/>
        <v>2.9806259314455403E-3</v>
      </c>
      <c r="H658" s="28">
        <v>139.80000000000001</v>
      </c>
      <c r="I658" s="28">
        <v>13.94</v>
      </c>
      <c r="J658" s="39">
        <f t="shared" si="194"/>
        <v>1.6373097437231692</v>
      </c>
      <c r="K658" s="25">
        <v>2507</v>
      </c>
      <c r="L658" s="24">
        <f t="shared" si="195"/>
        <v>140000000</v>
      </c>
      <c r="M658" s="39">
        <f t="shared" si="189"/>
        <v>33694.080000000002</v>
      </c>
      <c r="N658" s="24">
        <f t="shared" si="196"/>
        <v>140000000</v>
      </c>
      <c r="O658" s="41">
        <f t="shared" si="190"/>
        <v>1.7907142857142856E-5</v>
      </c>
      <c r="P658" s="36">
        <v>78105.98</v>
      </c>
      <c r="Q658" s="9">
        <v>0.189</v>
      </c>
      <c r="R658" s="26">
        <f t="shared" si="197"/>
        <v>4370860000</v>
      </c>
      <c r="S658" s="26">
        <f t="shared" si="198"/>
        <v>2698270000</v>
      </c>
      <c r="T658" s="26">
        <f t="shared" si="199"/>
        <v>89000000</v>
      </c>
      <c r="U658" s="26">
        <f t="shared" si="200"/>
        <v>14220000</v>
      </c>
      <c r="V658" s="26">
        <f t="shared" si="201"/>
        <v>1150000000</v>
      </c>
      <c r="W658">
        <f t="shared" si="202"/>
        <v>1.108245112412062E-7</v>
      </c>
      <c r="X658">
        <f t="shared" si="203"/>
        <v>0.26310611641644893</v>
      </c>
      <c r="Y658" s="9"/>
    </row>
    <row r="659" spans="1:25">
      <c r="A659" s="21">
        <v>45517</v>
      </c>
      <c r="B659" s="28">
        <v>13.39</v>
      </c>
      <c r="C659" s="23">
        <f t="shared" si="191"/>
        <v>7.4738415545588831E-4</v>
      </c>
      <c r="D659" s="24">
        <f t="shared" si="192"/>
        <v>2.3465198927453142E-2</v>
      </c>
      <c r="E659" s="28">
        <v>13.4</v>
      </c>
      <c r="F659" s="28">
        <v>13</v>
      </c>
      <c r="G659" s="39">
        <f t="shared" si="193"/>
        <v>3.0303030303030332E-2</v>
      </c>
      <c r="H659" s="28">
        <v>139.80000000000001</v>
      </c>
      <c r="I659" s="28">
        <v>13.4</v>
      </c>
      <c r="J659" s="39">
        <f t="shared" si="194"/>
        <v>1.6501305483028719</v>
      </c>
      <c r="K659" s="25">
        <v>10282</v>
      </c>
      <c r="L659" s="24">
        <f t="shared" si="195"/>
        <v>140000000</v>
      </c>
      <c r="M659" s="39">
        <f t="shared" si="189"/>
        <v>137675.98000000001</v>
      </c>
      <c r="N659" s="24">
        <f t="shared" si="196"/>
        <v>140000000</v>
      </c>
      <c r="O659" s="41">
        <f t="shared" si="190"/>
        <v>7.3442857142857145E-5</v>
      </c>
      <c r="P659" s="36">
        <v>77877.42</v>
      </c>
      <c r="Q659" s="9">
        <v>0.189</v>
      </c>
      <c r="R659" s="26">
        <f t="shared" si="197"/>
        <v>4370860000</v>
      </c>
      <c r="S659" s="26">
        <f t="shared" si="198"/>
        <v>2698270000</v>
      </c>
      <c r="T659" s="26">
        <f t="shared" si="199"/>
        <v>89000000</v>
      </c>
      <c r="U659" s="26">
        <f t="shared" si="200"/>
        <v>14220000</v>
      </c>
      <c r="V659" s="26">
        <f t="shared" si="201"/>
        <v>1150000000</v>
      </c>
      <c r="W659">
        <f t="shared" si="202"/>
        <v>5.4285733463156629E-9</v>
      </c>
      <c r="X659">
        <f t="shared" si="203"/>
        <v>0.26310611641644893</v>
      </c>
      <c r="Y659" s="9"/>
    </row>
    <row r="660" spans="1:25">
      <c r="A660" s="21">
        <v>45516</v>
      </c>
      <c r="B660" s="28">
        <v>13.38</v>
      </c>
      <c r="C660" s="23">
        <f t="shared" si="191"/>
        <v>5.2592036063110652E-3</v>
      </c>
      <c r="D660" s="24">
        <f t="shared" si="192"/>
        <v>2.3465198927453142E-2</v>
      </c>
      <c r="E660" s="28">
        <v>13.39</v>
      </c>
      <c r="F660" s="28">
        <v>13.05</v>
      </c>
      <c r="G660" s="39">
        <f t="shared" si="193"/>
        <v>2.571860816944023E-2</v>
      </c>
      <c r="H660" s="28">
        <v>139.80000000000001</v>
      </c>
      <c r="I660" s="28">
        <v>13.4</v>
      </c>
      <c r="J660" s="39">
        <f t="shared" si="194"/>
        <v>1.6501305483028719</v>
      </c>
      <c r="K660" s="25">
        <v>4096</v>
      </c>
      <c r="L660" s="24">
        <f t="shared" si="195"/>
        <v>140000000</v>
      </c>
      <c r="M660" s="39">
        <f t="shared" si="189"/>
        <v>54804.480000000003</v>
      </c>
      <c r="N660" s="24">
        <f t="shared" si="196"/>
        <v>140000000</v>
      </c>
      <c r="O660" s="41">
        <f t="shared" si="190"/>
        <v>2.9257142857142858E-5</v>
      </c>
      <c r="P660" s="36">
        <v>77980.289999999994</v>
      </c>
      <c r="Q660" s="9">
        <v>0.189</v>
      </c>
      <c r="R660" s="26">
        <f t="shared" si="197"/>
        <v>4370860000</v>
      </c>
      <c r="S660" s="26">
        <f t="shared" si="198"/>
        <v>2698270000</v>
      </c>
      <c r="T660" s="26">
        <f t="shared" si="199"/>
        <v>89000000</v>
      </c>
      <c r="U660" s="26">
        <f t="shared" si="200"/>
        <v>14220000</v>
      </c>
      <c r="V660" s="26">
        <f t="shared" si="201"/>
        <v>1150000000</v>
      </c>
      <c r="W660">
        <f t="shared" si="202"/>
        <v>9.596302357601176E-8</v>
      </c>
      <c r="X660">
        <f t="shared" si="203"/>
        <v>0.26310611641644893</v>
      </c>
      <c r="Y660" s="9"/>
    </row>
    <row r="661" spans="1:25">
      <c r="A661" s="21">
        <v>45513</v>
      </c>
      <c r="B661" s="28">
        <v>13.31</v>
      </c>
      <c r="C661" s="23">
        <f t="shared" si="191"/>
        <v>0</v>
      </c>
      <c r="D661" s="24">
        <f t="shared" si="192"/>
        <v>2.3465198927453142E-2</v>
      </c>
      <c r="E661" s="28">
        <v>13.41</v>
      </c>
      <c r="F661" s="28">
        <v>13.25</v>
      </c>
      <c r="G661" s="39">
        <f t="shared" si="193"/>
        <v>1.2003000750187558E-2</v>
      </c>
      <c r="H661" s="28">
        <v>139.80000000000001</v>
      </c>
      <c r="I661" s="28">
        <v>13.39</v>
      </c>
      <c r="J661" s="39">
        <f t="shared" si="194"/>
        <v>1.650368823030224</v>
      </c>
      <c r="K661" s="25">
        <v>334</v>
      </c>
      <c r="L661" s="24">
        <f t="shared" si="195"/>
        <v>140000000</v>
      </c>
      <c r="M661" s="39">
        <f t="shared" si="189"/>
        <v>4445.54</v>
      </c>
      <c r="N661" s="24">
        <f t="shared" si="196"/>
        <v>140000000</v>
      </c>
      <c r="O661" s="41">
        <f t="shared" si="190"/>
        <v>2.3857142857142859E-6</v>
      </c>
      <c r="P661" s="36">
        <v>78569.59</v>
      </c>
      <c r="Q661" s="9">
        <v>0.189</v>
      </c>
      <c r="R661" s="26">
        <f t="shared" si="197"/>
        <v>4370860000</v>
      </c>
      <c r="S661" s="26">
        <f t="shared" si="198"/>
        <v>2698270000</v>
      </c>
      <c r="T661" s="26">
        <f t="shared" si="199"/>
        <v>89000000</v>
      </c>
      <c r="U661" s="26">
        <f t="shared" si="200"/>
        <v>14220000</v>
      </c>
      <c r="V661" s="26">
        <f t="shared" si="201"/>
        <v>1150000000</v>
      </c>
      <c r="W661">
        <f t="shared" si="202"/>
        <v>0</v>
      </c>
      <c r="X661">
        <f t="shared" si="203"/>
        <v>0.26310611641644893</v>
      </c>
      <c r="Y661" s="9"/>
    </row>
    <row r="662" spans="1:25">
      <c r="A662" s="21">
        <v>45512</v>
      </c>
      <c r="B662" s="28">
        <v>13.31</v>
      </c>
      <c r="C662" s="23">
        <f t="shared" si="191"/>
        <v>-3.270348837209297E-2</v>
      </c>
      <c r="D662" s="24">
        <f t="shared" si="192"/>
        <v>2.3465198927453142E-2</v>
      </c>
      <c r="E662" s="28">
        <v>13.5</v>
      </c>
      <c r="F662" s="28">
        <v>13.25</v>
      </c>
      <c r="G662" s="39">
        <f t="shared" si="193"/>
        <v>1.8691588785046728E-2</v>
      </c>
      <c r="H662" s="28">
        <v>139.80000000000001</v>
      </c>
      <c r="I662" s="28">
        <v>13.69</v>
      </c>
      <c r="J662" s="39">
        <f t="shared" si="194"/>
        <v>1.6432340869111994</v>
      </c>
      <c r="K662" s="25">
        <v>4144</v>
      </c>
      <c r="L662" s="24">
        <f t="shared" si="195"/>
        <v>140000000</v>
      </c>
      <c r="M662" s="39">
        <f t="shared" si="189"/>
        <v>55156.639999999999</v>
      </c>
      <c r="N662" s="24">
        <f t="shared" si="196"/>
        <v>140000000</v>
      </c>
      <c r="O662" s="41">
        <f t="shared" si="190"/>
        <v>2.9600000000000001E-5</v>
      </c>
      <c r="P662" s="36">
        <v>77874.22</v>
      </c>
      <c r="Q662" s="9">
        <v>0.189</v>
      </c>
      <c r="R662" s="26">
        <f t="shared" si="197"/>
        <v>4370860000</v>
      </c>
      <c r="S662" s="26">
        <f t="shared" si="198"/>
        <v>2698270000</v>
      </c>
      <c r="T662" s="26">
        <f t="shared" si="199"/>
        <v>89000000</v>
      </c>
      <c r="U662" s="26">
        <f t="shared" si="200"/>
        <v>14220000</v>
      </c>
      <c r="V662" s="26">
        <f t="shared" si="201"/>
        <v>1150000000</v>
      </c>
      <c r="W662">
        <f t="shared" si="202"/>
        <v>5.9292024264155633E-7</v>
      </c>
      <c r="X662">
        <f t="shared" si="203"/>
        <v>0.26310611641644893</v>
      </c>
      <c r="Y662" s="9"/>
    </row>
    <row r="663" spans="1:25">
      <c r="A663" s="21">
        <v>45511</v>
      </c>
      <c r="B663" s="28">
        <v>13.76</v>
      </c>
      <c r="C663" s="23">
        <f t="shared" si="191"/>
        <v>3.3809166040570944E-2</v>
      </c>
      <c r="D663" s="24">
        <f t="shared" si="192"/>
        <v>2.3465198927453142E-2</v>
      </c>
      <c r="E663" s="28">
        <v>13.85</v>
      </c>
      <c r="F663" s="28">
        <v>13.21</v>
      </c>
      <c r="G663" s="39">
        <f t="shared" si="193"/>
        <v>4.7302291204730139E-2</v>
      </c>
      <c r="H663" s="28">
        <v>139.80000000000001</v>
      </c>
      <c r="I663" s="28">
        <v>13.84</v>
      </c>
      <c r="J663" s="39">
        <f t="shared" si="194"/>
        <v>1.6396771674043218</v>
      </c>
      <c r="K663" s="25">
        <v>6257</v>
      </c>
      <c r="L663" s="24">
        <f t="shared" si="195"/>
        <v>140000000</v>
      </c>
      <c r="M663" s="39">
        <f t="shared" si="189"/>
        <v>86096.319999999992</v>
      </c>
      <c r="N663" s="24">
        <f t="shared" si="196"/>
        <v>140000000</v>
      </c>
      <c r="O663" s="41">
        <f t="shared" si="190"/>
        <v>4.4692857142857144E-5</v>
      </c>
      <c r="P663" s="36">
        <v>77114.490000000005</v>
      </c>
      <c r="Q663" s="9">
        <v>0.189</v>
      </c>
      <c r="R663" s="26">
        <f t="shared" si="197"/>
        <v>4370860000</v>
      </c>
      <c r="S663" s="26">
        <f t="shared" si="198"/>
        <v>2698270000</v>
      </c>
      <c r="T663" s="26">
        <f t="shared" si="199"/>
        <v>89000000</v>
      </c>
      <c r="U663" s="26">
        <f t="shared" si="200"/>
        <v>14220000</v>
      </c>
      <c r="V663" s="26">
        <f t="shared" si="201"/>
        <v>1150000000</v>
      </c>
      <c r="W663">
        <f t="shared" si="202"/>
        <v>3.9269002485322194E-7</v>
      </c>
      <c r="X663">
        <f t="shared" si="203"/>
        <v>0.26310611641644893</v>
      </c>
      <c r="Y663" s="9"/>
    </row>
    <row r="664" spans="1:25">
      <c r="A664" s="21">
        <v>45510</v>
      </c>
      <c r="B664" s="28">
        <v>13.31</v>
      </c>
      <c r="C664" s="23">
        <f t="shared" si="191"/>
        <v>1.6030534351145105E-2</v>
      </c>
      <c r="D664" s="24">
        <f t="shared" si="192"/>
        <v>2.3465198927453142E-2</v>
      </c>
      <c r="E664" s="28">
        <v>13.5</v>
      </c>
      <c r="F664" s="28">
        <v>13.01</v>
      </c>
      <c r="G664" s="39">
        <f t="shared" si="193"/>
        <v>3.6967182195397984E-2</v>
      </c>
      <c r="H664" s="28">
        <v>139.80000000000001</v>
      </c>
      <c r="I664" s="28">
        <v>13.45</v>
      </c>
      <c r="J664" s="39">
        <f t="shared" si="194"/>
        <v>1.6489396411092987</v>
      </c>
      <c r="K664" s="25">
        <v>1369</v>
      </c>
      <c r="L664" s="24">
        <f t="shared" si="195"/>
        <v>140000000</v>
      </c>
      <c r="M664" s="39">
        <f t="shared" si="189"/>
        <v>18221.39</v>
      </c>
      <c r="N664" s="24">
        <f t="shared" si="196"/>
        <v>140000000</v>
      </c>
      <c r="O664" s="41">
        <f t="shared" si="190"/>
        <v>9.7785714285714279E-6</v>
      </c>
      <c r="P664" s="36">
        <v>77191.34</v>
      </c>
      <c r="Q664" s="9">
        <v>0.19489999999999999</v>
      </c>
      <c r="R664" s="26">
        <f t="shared" si="197"/>
        <v>4370860000</v>
      </c>
      <c r="S664" s="26">
        <f t="shared" si="198"/>
        <v>2698270000</v>
      </c>
      <c r="T664" s="26">
        <f t="shared" si="199"/>
        <v>89000000</v>
      </c>
      <c r="U664" s="26">
        <f t="shared" si="200"/>
        <v>14220000</v>
      </c>
      <c r="V664" s="26">
        <f t="shared" si="201"/>
        <v>1150000000</v>
      </c>
      <c r="W664">
        <f t="shared" si="202"/>
        <v>8.797646255936076E-7</v>
      </c>
      <c r="X664">
        <f t="shared" si="203"/>
        <v>0.26310611641644893</v>
      </c>
      <c r="Y664" s="9"/>
    </row>
    <row r="665" spans="1:25">
      <c r="A665" s="21">
        <v>45509</v>
      </c>
      <c r="B665" s="28">
        <v>13.1</v>
      </c>
      <c r="C665" s="23">
        <f t="shared" si="191"/>
        <v>-8.3270249810750343E-3</v>
      </c>
      <c r="D665" s="24">
        <f t="shared" si="192"/>
        <v>2.3465198927453142E-2</v>
      </c>
      <c r="E665" s="28">
        <v>14</v>
      </c>
      <c r="F665" s="28">
        <v>13</v>
      </c>
      <c r="G665" s="39">
        <f t="shared" si="193"/>
        <v>7.407407407407407E-2</v>
      </c>
      <c r="H665" s="28">
        <v>139.80000000000001</v>
      </c>
      <c r="I665" s="28">
        <v>13.5</v>
      </c>
      <c r="J665" s="39">
        <f t="shared" si="194"/>
        <v>1.6477495107632094</v>
      </c>
      <c r="K665" s="25">
        <v>3900</v>
      </c>
      <c r="L665" s="24">
        <f t="shared" si="195"/>
        <v>140000000</v>
      </c>
      <c r="M665" s="39">
        <f t="shared" si="189"/>
        <v>51090</v>
      </c>
      <c r="N665" s="24">
        <f t="shared" si="196"/>
        <v>140000000</v>
      </c>
      <c r="O665" s="41">
        <f t="shared" si="190"/>
        <v>2.7857142857142858E-5</v>
      </c>
      <c r="P665" s="36">
        <v>77084.490000000005</v>
      </c>
      <c r="Q665" s="9">
        <v>0.19489999999999999</v>
      </c>
      <c r="R665" s="26">
        <f t="shared" si="197"/>
        <v>4370860000</v>
      </c>
      <c r="S665" s="26">
        <f t="shared" si="198"/>
        <v>2698270000</v>
      </c>
      <c r="T665" s="26">
        <f t="shared" si="199"/>
        <v>89000000</v>
      </c>
      <c r="U665" s="26">
        <f t="shared" si="200"/>
        <v>14220000</v>
      </c>
      <c r="V665" s="26">
        <f t="shared" si="201"/>
        <v>1150000000</v>
      </c>
      <c r="W665">
        <f t="shared" si="202"/>
        <v>1.6298737484977557E-7</v>
      </c>
      <c r="X665">
        <f t="shared" si="203"/>
        <v>0.26310611641644893</v>
      </c>
      <c r="Y665" s="9"/>
    </row>
    <row r="666" spans="1:25">
      <c r="A666" s="21">
        <v>45506</v>
      </c>
      <c r="B666" s="28">
        <v>13.21</v>
      </c>
      <c r="C666" s="23">
        <f t="shared" si="191"/>
        <v>-1.4914243102162512E-2</v>
      </c>
      <c r="D666" s="24">
        <f t="shared" si="192"/>
        <v>2.3465198927453142E-2</v>
      </c>
      <c r="E666" s="28">
        <v>13.5</v>
      </c>
      <c r="F666" s="28">
        <v>13</v>
      </c>
      <c r="G666" s="39">
        <f t="shared" si="193"/>
        <v>3.7735849056603772E-2</v>
      </c>
      <c r="H666" s="28">
        <v>139.80000000000001</v>
      </c>
      <c r="I666" s="28">
        <v>13.79</v>
      </c>
      <c r="J666" s="39">
        <f t="shared" si="194"/>
        <v>1.640862035288756</v>
      </c>
      <c r="K666" s="25">
        <v>37380</v>
      </c>
      <c r="L666" s="24">
        <f t="shared" si="195"/>
        <v>140000000</v>
      </c>
      <c r="M666" s="39">
        <f t="shared" si="189"/>
        <v>493789.80000000005</v>
      </c>
      <c r="N666" s="24">
        <f t="shared" si="196"/>
        <v>140000000</v>
      </c>
      <c r="O666" s="41">
        <f t="shared" si="190"/>
        <v>2.6699999999999998E-4</v>
      </c>
      <c r="P666" s="36">
        <v>78225.98</v>
      </c>
      <c r="Q666" s="9">
        <v>0.19489999999999999</v>
      </c>
      <c r="R666" s="26">
        <f t="shared" si="197"/>
        <v>4370860000</v>
      </c>
      <c r="S666" s="26">
        <f t="shared" si="198"/>
        <v>2698270000</v>
      </c>
      <c r="T666" s="26">
        <f t="shared" si="199"/>
        <v>89000000</v>
      </c>
      <c r="U666" s="26">
        <f t="shared" si="200"/>
        <v>14220000</v>
      </c>
      <c r="V666" s="26">
        <f t="shared" si="201"/>
        <v>1150000000</v>
      </c>
      <c r="W666">
        <f t="shared" si="202"/>
        <v>3.0203627337305289E-8</v>
      </c>
      <c r="X666">
        <f t="shared" si="203"/>
        <v>0.26310611641644893</v>
      </c>
      <c r="Y666" s="9"/>
    </row>
    <row r="667" spans="1:25">
      <c r="A667" s="21">
        <v>45505</v>
      </c>
      <c r="B667" s="28">
        <v>13.41</v>
      </c>
      <c r="C667" s="23">
        <f t="shared" si="191"/>
        <v>-3.5251798561151092E-2</v>
      </c>
      <c r="D667" s="24">
        <f t="shared" si="192"/>
        <v>2.3465198927453142E-2</v>
      </c>
      <c r="E667" s="28">
        <v>13.85</v>
      </c>
      <c r="F667" s="28">
        <v>13.17</v>
      </c>
      <c r="G667" s="39">
        <f t="shared" si="193"/>
        <v>5.0333086602516633E-2</v>
      </c>
      <c r="H667" s="28">
        <v>139.80000000000001</v>
      </c>
      <c r="I667" s="28">
        <v>13.4</v>
      </c>
      <c r="J667" s="39">
        <f t="shared" si="194"/>
        <v>1.6501305483028719</v>
      </c>
      <c r="K667" s="25">
        <v>20920</v>
      </c>
      <c r="L667" s="24">
        <f t="shared" si="195"/>
        <v>140000000</v>
      </c>
      <c r="M667" s="39">
        <f t="shared" si="189"/>
        <v>280537.2</v>
      </c>
      <c r="N667" s="24">
        <f t="shared" si="196"/>
        <v>140000000</v>
      </c>
      <c r="O667" s="41">
        <f t="shared" si="190"/>
        <v>1.4942857142857143E-4</v>
      </c>
      <c r="P667" s="36">
        <v>77740.31</v>
      </c>
      <c r="Q667" s="9">
        <v>0.19489999999999999</v>
      </c>
      <c r="R667" s="26">
        <f t="shared" si="197"/>
        <v>4370860000</v>
      </c>
      <c r="S667" s="26">
        <f t="shared" si="198"/>
        <v>2698270000</v>
      </c>
      <c r="T667" s="26">
        <f t="shared" si="199"/>
        <v>89000000</v>
      </c>
      <c r="U667" s="26">
        <f t="shared" si="200"/>
        <v>14220000</v>
      </c>
      <c r="V667" s="26">
        <f t="shared" si="201"/>
        <v>1150000000</v>
      </c>
      <c r="W667">
        <f t="shared" si="202"/>
        <v>1.2565819635025619E-7</v>
      </c>
      <c r="X667">
        <f t="shared" si="203"/>
        <v>0.26310611641644893</v>
      </c>
      <c r="Y667" s="9"/>
    </row>
    <row r="668" spans="1:25">
      <c r="A668" s="21">
        <v>45504</v>
      </c>
      <c r="B668" s="28">
        <v>13.9</v>
      </c>
      <c r="C668" s="23">
        <f t="shared" si="191"/>
        <v>7.9767947788253243E-3</v>
      </c>
      <c r="D668" s="24">
        <f t="shared" si="192"/>
        <v>2.3465198927453142E-2</v>
      </c>
      <c r="E668" s="28">
        <v>14</v>
      </c>
      <c r="F668" s="28">
        <v>13.9</v>
      </c>
      <c r="G668" s="39">
        <f t="shared" si="193"/>
        <v>7.168458781361982E-3</v>
      </c>
      <c r="H668" s="28">
        <v>139.80000000000001</v>
      </c>
      <c r="I668" s="28">
        <v>13.99</v>
      </c>
      <c r="J668" s="39">
        <f t="shared" si="194"/>
        <v>1.6361271864230444</v>
      </c>
      <c r="K668" s="25">
        <v>2991</v>
      </c>
      <c r="L668" s="24">
        <f t="shared" si="195"/>
        <v>140000000</v>
      </c>
      <c r="M668" s="39">
        <f t="shared" si="189"/>
        <v>41574.9</v>
      </c>
      <c r="N668" s="24">
        <f t="shared" si="196"/>
        <v>140000000</v>
      </c>
      <c r="O668" s="41">
        <f t="shared" si="190"/>
        <v>2.1364285714285714E-5</v>
      </c>
      <c r="P668" s="36">
        <v>77886.990000000005</v>
      </c>
      <c r="Q668" s="9">
        <v>0.19489999999999999</v>
      </c>
      <c r="R668" s="26">
        <f t="shared" si="197"/>
        <v>4370860000</v>
      </c>
      <c r="S668" s="26">
        <f t="shared" si="198"/>
        <v>2698270000</v>
      </c>
      <c r="T668" s="26">
        <f t="shared" si="199"/>
        <v>89000000</v>
      </c>
      <c r="U668" s="26">
        <f t="shared" si="200"/>
        <v>14220000</v>
      </c>
      <c r="V668" s="26">
        <f t="shared" si="201"/>
        <v>1150000000</v>
      </c>
      <c r="W668">
        <f t="shared" si="202"/>
        <v>1.9186563957641086E-7</v>
      </c>
      <c r="X668">
        <f t="shared" si="203"/>
        <v>0.26310611641644893</v>
      </c>
      <c r="Y668" s="9"/>
    </row>
    <row r="669" spans="1:25">
      <c r="A669" s="21">
        <v>45503</v>
      </c>
      <c r="B669" s="28">
        <v>13.79</v>
      </c>
      <c r="C669" s="23">
        <f t="shared" si="191"/>
        <v>1.7712177121771103E-2</v>
      </c>
      <c r="D669" s="24">
        <f t="shared" si="192"/>
        <v>2.3465198927453142E-2</v>
      </c>
      <c r="E669" s="28">
        <v>14</v>
      </c>
      <c r="F669" s="28">
        <v>13.7</v>
      </c>
      <c r="G669" s="39">
        <f t="shared" si="193"/>
        <v>2.1660649819494636E-2</v>
      </c>
      <c r="H669" s="28">
        <v>139.80000000000001</v>
      </c>
      <c r="I669" s="28">
        <v>13.89</v>
      </c>
      <c r="J669" s="39">
        <f t="shared" si="194"/>
        <v>1.6384930704665237</v>
      </c>
      <c r="K669" s="25">
        <v>1309</v>
      </c>
      <c r="L669" s="24">
        <f t="shared" si="195"/>
        <v>140000000</v>
      </c>
      <c r="M669" s="39">
        <f t="shared" si="189"/>
        <v>18051.11</v>
      </c>
      <c r="N669" s="24">
        <f t="shared" si="196"/>
        <v>140000000</v>
      </c>
      <c r="O669" s="41">
        <f t="shared" si="190"/>
        <v>9.3500000000000003E-6</v>
      </c>
      <c r="P669" s="36">
        <v>78628.81</v>
      </c>
      <c r="Q669" s="9">
        <v>0.19489999999999999</v>
      </c>
      <c r="R669" s="26">
        <f t="shared" si="197"/>
        <v>4370860000</v>
      </c>
      <c r="S669" s="26">
        <f t="shared" si="198"/>
        <v>2698270000</v>
      </c>
      <c r="T669" s="26">
        <f t="shared" si="199"/>
        <v>89000000</v>
      </c>
      <c r="U669" s="26">
        <f t="shared" si="200"/>
        <v>14220000</v>
      </c>
      <c r="V669" s="26">
        <f t="shared" si="201"/>
        <v>1150000000</v>
      </c>
      <c r="W669">
        <f t="shared" si="202"/>
        <v>9.8122370988659992E-7</v>
      </c>
      <c r="X669">
        <f t="shared" si="203"/>
        <v>0.26310611641644893</v>
      </c>
      <c r="Y669" s="9"/>
    </row>
    <row r="670" spans="1:25">
      <c r="A670" s="21">
        <v>45502</v>
      </c>
      <c r="B670" s="28">
        <v>13.55</v>
      </c>
      <c r="C670" s="23">
        <f t="shared" si="191"/>
        <v>0</v>
      </c>
      <c r="D670" s="24">
        <f t="shared" si="192"/>
        <v>2.3465198927453142E-2</v>
      </c>
      <c r="E670" s="28">
        <v>14.3</v>
      </c>
      <c r="F670" s="28">
        <v>13.3</v>
      </c>
      <c r="G670" s="39">
        <f t="shared" si="193"/>
        <v>7.2463768115942032E-2</v>
      </c>
      <c r="H670" s="28">
        <v>139.80000000000001</v>
      </c>
      <c r="I670" s="28">
        <v>14.15</v>
      </c>
      <c r="J670" s="39">
        <f t="shared" si="194"/>
        <v>1.6323481649886327</v>
      </c>
      <c r="K670" s="25">
        <v>1300</v>
      </c>
      <c r="L670" s="24">
        <f t="shared" si="195"/>
        <v>140000000</v>
      </c>
      <c r="M670" s="39">
        <f t="shared" si="189"/>
        <v>17615</v>
      </c>
      <c r="N670" s="24">
        <f t="shared" si="196"/>
        <v>140000000</v>
      </c>
      <c r="O670" s="41">
        <f t="shared" si="190"/>
        <v>9.2857142857142859E-6</v>
      </c>
      <c r="P670" s="36">
        <v>78827.740000000005</v>
      </c>
      <c r="Q670" s="9">
        <v>0.19489999999999999</v>
      </c>
      <c r="R670" s="26">
        <f t="shared" si="197"/>
        <v>4370860000</v>
      </c>
      <c r="S670" s="26">
        <f t="shared" si="198"/>
        <v>2698270000</v>
      </c>
      <c r="T670" s="26">
        <f t="shared" si="199"/>
        <v>89000000</v>
      </c>
      <c r="U670" s="26">
        <f t="shared" si="200"/>
        <v>14220000</v>
      </c>
      <c r="V670" s="26">
        <f t="shared" si="201"/>
        <v>1150000000</v>
      </c>
      <c r="W670">
        <f t="shared" si="202"/>
        <v>0</v>
      </c>
      <c r="X670">
        <f t="shared" si="203"/>
        <v>0.26310611641644893</v>
      </c>
      <c r="Y670" s="9"/>
    </row>
    <row r="671" spans="1:25">
      <c r="A671" s="21">
        <v>45499</v>
      </c>
      <c r="B671" s="28">
        <v>13.55</v>
      </c>
      <c r="C671" s="23">
        <f t="shared" si="191"/>
        <v>-8.7783467446963578E-3</v>
      </c>
      <c r="D671" s="24">
        <f t="shared" si="192"/>
        <v>2.3465198927453142E-2</v>
      </c>
      <c r="E671" s="28">
        <v>14.3</v>
      </c>
      <c r="F671" s="28">
        <v>13.3</v>
      </c>
      <c r="G671" s="39">
        <f t="shared" si="193"/>
        <v>7.2463768115942032E-2</v>
      </c>
      <c r="H671" s="28">
        <v>139.80000000000001</v>
      </c>
      <c r="I671" s="28">
        <v>13.99</v>
      </c>
      <c r="J671" s="39">
        <f t="shared" si="194"/>
        <v>1.6361271864230444</v>
      </c>
      <c r="K671" s="25">
        <v>1300</v>
      </c>
      <c r="L671" s="24">
        <f t="shared" si="195"/>
        <v>140000000</v>
      </c>
      <c r="M671" s="39">
        <f t="shared" si="189"/>
        <v>17615</v>
      </c>
      <c r="N671" s="24">
        <f t="shared" si="196"/>
        <v>140000000</v>
      </c>
      <c r="O671" s="41">
        <f t="shared" si="190"/>
        <v>9.2857142857142859E-6</v>
      </c>
      <c r="P671" s="36">
        <v>78029.509999999995</v>
      </c>
      <c r="Q671" s="9">
        <v>0.19489999999999999</v>
      </c>
      <c r="R671" s="26">
        <f t="shared" si="197"/>
        <v>4370860000</v>
      </c>
      <c r="S671" s="26">
        <f t="shared" si="198"/>
        <v>2698270000</v>
      </c>
      <c r="T671" s="26">
        <f t="shared" si="199"/>
        <v>89000000</v>
      </c>
      <c r="U671" s="26">
        <f t="shared" si="200"/>
        <v>14220000</v>
      </c>
      <c r="V671" s="26">
        <f t="shared" si="201"/>
        <v>1150000000</v>
      </c>
      <c r="W671">
        <f t="shared" si="202"/>
        <v>4.9834497557174898E-7</v>
      </c>
      <c r="X671">
        <f t="shared" si="203"/>
        <v>0.26310611641644893</v>
      </c>
      <c r="Y671" s="9"/>
    </row>
    <row r="672" spans="1:25">
      <c r="A672" s="21">
        <v>45498</v>
      </c>
      <c r="B672" s="28">
        <v>13.67</v>
      </c>
      <c r="C672" s="23">
        <f t="shared" si="191"/>
        <v>-9.4202898550725198E-3</v>
      </c>
      <c r="D672" s="24">
        <f t="shared" si="192"/>
        <v>2.3465198927453142E-2</v>
      </c>
      <c r="E672" s="28">
        <v>13.99</v>
      </c>
      <c r="F672" s="28">
        <v>13.6</v>
      </c>
      <c r="G672" s="39">
        <f t="shared" si="193"/>
        <v>2.8271112722000766E-2</v>
      </c>
      <c r="H672" s="28">
        <v>139.80000000000001</v>
      </c>
      <c r="I672" s="28">
        <v>13.8</v>
      </c>
      <c r="J672" s="39">
        <f t="shared" si="194"/>
        <v>1.640625</v>
      </c>
      <c r="K672" s="25">
        <v>1345</v>
      </c>
      <c r="L672" s="24">
        <f t="shared" si="195"/>
        <v>140000000</v>
      </c>
      <c r="M672" s="39">
        <f t="shared" si="189"/>
        <v>18386.150000000001</v>
      </c>
      <c r="N672" s="24">
        <f t="shared" si="196"/>
        <v>140000000</v>
      </c>
      <c r="O672" s="41">
        <f t="shared" si="190"/>
        <v>9.6071428571428579E-6</v>
      </c>
      <c r="P672" s="36">
        <v>78469.33</v>
      </c>
      <c r="Q672" s="9">
        <v>0.19489999999999999</v>
      </c>
      <c r="R672" s="26">
        <f t="shared" si="197"/>
        <v>4370860000</v>
      </c>
      <c r="S672" s="26">
        <f t="shared" si="198"/>
        <v>2698270000</v>
      </c>
      <c r="T672" s="26">
        <f t="shared" si="199"/>
        <v>89000000</v>
      </c>
      <c r="U672" s="26">
        <f t="shared" si="200"/>
        <v>14220000</v>
      </c>
      <c r="V672" s="26">
        <f t="shared" si="201"/>
        <v>1150000000</v>
      </c>
      <c r="W672">
        <f t="shared" si="202"/>
        <v>5.1235793546079624E-7</v>
      </c>
      <c r="X672">
        <f t="shared" si="203"/>
        <v>0.26310611641644893</v>
      </c>
      <c r="Y672" s="9"/>
    </row>
    <row r="673" spans="1:25">
      <c r="A673" s="21">
        <v>45497</v>
      </c>
      <c r="B673" s="28">
        <v>13.8</v>
      </c>
      <c r="C673" s="23">
        <f t="shared" si="191"/>
        <v>0</v>
      </c>
      <c r="D673" s="24">
        <f t="shared" si="192"/>
        <v>2.3465198927453142E-2</v>
      </c>
      <c r="E673" s="28">
        <v>14</v>
      </c>
      <c r="F673" s="28">
        <v>14</v>
      </c>
      <c r="G673" s="39">
        <f t="shared" si="193"/>
        <v>0</v>
      </c>
      <c r="H673" s="28">
        <v>139.80000000000001</v>
      </c>
      <c r="I673" s="28">
        <v>14</v>
      </c>
      <c r="J673" s="39">
        <f t="shared" si="194"/>
        <v>1.635890767230169</v>
      </c>
      <c r="K673" s="25">
        <v>100</v>
      </c>
      <c r="L673" s="24">
        <f t="shared" si="195"/>
        <v>140000000</v>
      </c>
      <c r="M673" s="39">
        <f t="shared" si="189"/>
        <v>1380</v>
      </c>
      <c r="N673" s="24">
        <f t="shared" si="196"/>
        <v>140000000</v>
      </c>
      <c r="O673" s="41">
        <f t="shared" si="190"/>
        <v>7.1428571428571431E-7</v>
      </c>
      <c r="P673" s="36">
        <v>79397.009999999995</v>
      </c>
      <c r="Q673" s="9">
        <v>0.19489999999999999</v>
      </c>
      <c r="R673" s="26">
        <f t="shared" si="197"/>
        <v>4370860000</v>
      </c>
      <c r="S673" s="26">
        <f t="shared" si="198"/>
        <v>2698270000</v>
      </c>
      <c r="T673" s="26">
        <f t="shared" si="199"/>
        <v>89000000</v>
      </c>
      <c r="U673" s="26">
        <f t="shared" si="200"/>
        <v>14220000</v>
      </c>
      <c r="V673" s="26">
        <f t="shared" si="201"/>
        <v>1150000000</v>
      </c>
      <c r="W673">
        <f t="shared" si="202"/>
        <v>0</v>
      </c>
      <c r="X673">
        <f t="shared" si="203"/>
        <v>0.26310611641644893</v>
      </c>
      <c r="Y673" s="9"/>
    </row>
    <row r="674" spans="1:25">
      <c r="A674" s="21">
        <v>45496</v>
      </c>
      <c r="B674" s="28">
        <v>13.8</v>
      </c>
      <c r="C674" s="23">
        <f t="shared" si="191"/>
        <v>-3.4965034965034961E-2</v>
      </c>
      <c r="D674" s="24">
        <f t="shared" si="192"/>
        <v>2.3465198927453142E-2</v>
      </c>
      <c r="E674" s="28">
        <v>14</v>
      </c>
      <c r="F674" s="28">
        <v>13.8</v>
      </c>
      <c r="G674" s="39">
        <f t="shared" si="193"/>
        <v>1.4388489208633042E-2</v>
      </c>
      <c r="H674" s="28">
        <v>139.80000000000001</v>
      </c>
      <c r="I674" s="28">
        <v>13.94</v>
      </c>
      <c r="J674" s="39">
        <f t="shared" si="194"/>
        <v>1.6373097437231692</v>
      </c>
      <c r="K674" s="25">
        <v>1420</v>
      </c>
      <c r="L674" s="24">
        <f t="shared" si="195"/>
        <v>140000000</v>
      </c>
      <c r="M674" s="39">
        <f t="shared" si="189"/>
        <v>19596</v>
      </c>
      <c r="N674" s="24">
        <f t="shared" si="196"/>
        <v>140000000</v>
      </c>
      <c r="O674" s="41">
        <f t="shared" si="190"/>
        <v>1.0142857142857143E-5</v>
      </c>
      <c r="P674" s="36">
        <v>78987.09</v>
      </c>
      <c r="Q674" s="9">
        <v>0.19489999999999999</v>
      </c>
      <c r="R674" s="26">
        <f t="shared" si="197"/>
        <v>4370860000</v>
      </c>
      <c r="S674" s="26">
        <f t="shared" si="198"/>
        <v>2698270000</v>
      </c>
      <c r="T674" s="26">
        <f t="shared" si="199"/>
        <v>89000000</v>
      </c>
      <c r="U674" s="26">
        <f t="shared" si="200"/>
        <v>14220000</v>
      </c>
      <c r="V674" s="26">
        <f t="shared" si="201"/>
        <v>1150000000</v>
      </c>
      <c r="W674">
        <f t="shared" si="202"/>
        <v>1.7842944970930271E-6</v>
      </c>
      <c r="X674">
        <f t="shared" si="203"/>
        <v>0.26310611641644893</v>
      </c>
      <c r="Y674" s="9"/>
    </row>
    <row r="675" spans="1:25">
      <c r="A675" s="21">
        <v>45495</v>
      </c>
      <c r="B675" s="28">
        <v>14.3</v>
      </c>
      <c r="C675" s="23">
        <f t="shared" si="191"/>
        <v>0</v>
      </c>
      <c r="D675" s="24">
        <f t="shared" si="192"/>
        <v>2.3465198927453142E-2</v>
      </c>
      <c r="E675" s="28">
        <v>14</v>
      </c>
      <c r="F675" s="28">
        <v>13.68</v>
      </c>
      <c r="G675" s="39">
        <f t="shared" si="193"/>
        <v>2.3121387283237014E-2</v>
      </c>
      <c r="H675" s="28">
        <v>139.80000000000001</v>
      </c>
      <c r="I675" s="28">
        <v>14.08</v>
      </c>
      <c r="J675" s="39">
        <f t="shared" si="194"/>
        <v>1.6340005198856251</v>
      </c>
      <c r="K675" s="25">
        <v>1321</v>
      </c>
      <c r="L675" s="24">
        <f t="shared" si="195"/>
        <v>140000000</v>
      </c>
      <c r="M675" s="39">
        <f t="shared" si="189"/>
        <v>18890.3</v>
      </c>
      <c r="N675" s="24">
        <f t="shared" si="196"/>
        <v>140000000</v>
      </c>
      <c r="O675" s="41">
        <f t="shared" si="190"/>
        <v>9.4357142857142861E-6</v>
      </c>
      <c r="P675" s="36">
        <v>78539.19</v>
      </c>
      <c r="Q675" s="9">
        <v>0.19489999999999999</v>
      </c>
      <c r="R675" s="26">
        <f t="shared" si="197"/>
        <v>4370860000</v>
      </c>
      <c r="S675" s="26">
        <f t="shared" si="198"/>
        <v>2698270000</v>
      </c>
      <c r="T675" s="26">
        <f t="shared" si="199"/>
        <v>89000000</v>
      </c>
      <c r="U675" s="26">
        <f t="shared" si="200"/>
        <v>14220000</v>
      </c>
      <c r="V675" s="26">
        <f t="shared" si="201"/>
        <v>1150000000</v>
      </c>
      <c r="W675">
        <f t="shared" si="202"/>
        <v>0</v>
      </c>
      <c r="X675">
        <f t="shared" si="203"/>
        <v>0.26310611641644893</v>
      </c>
      <c r="Y675" s="9"/>
    </row>
  </sheetData>
  <mergeCells count="16">
    <mergeCell ref="A1:X1"/>
    <mergeCell ref="A46:X46"/>
    <mergeCell ref="A91:X91"/>
    <mergeCell ref="A136:X136"/>
    <mergeCell ref="A181:X181"/>
    <mergeCell ref="A631:X631"/>
    <mergeCell ref="A226:X226"/>
    <mergeCell ref="A271:X271"/>
    <mergeCell ref="A316:X316"/>
    <mergeCell ref="A361:X361"/>
    <mergeCell ref="A406:X406"/>
    <mergeCell ref="AA6:AF6"/>
    <mergeCell ref="A451:X451"/>
    <mergeCell ref="A496:X496"/>
    <mergeCell ref="A541:X541"/>
    <mergeCell ref="A586:X586"/>
  </mergeCells>
  <pageMargins left="0.7" right="0.7" top="0.75" bottom="0.75" header="0.3" footer="0.3"/>
  <pageSetup orientation="portrait" r:id="rId1"/>
  <ignoredErrors>
    <ignoredError sqref="M588 M589:M630 M633:M675" formula="1"/>
    <ignoredError sqref="AB8 AB9:AB22"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23"/>
  <sheetViews>
    <sheetView topLeftCell="A6" zoomScale="68" workbookViewId="0">
      <selection activeCell="K18" sqref="K18:S22"/>
    </sheetView>
  </sheetViews>
  <sheetFormatPr defaultColWidth="8.81640625" defaultRowHeight="14.5"/>
  <cols>
    <col min="1" max="1" width="16.1796875" customWidth="1"/>
    <col min="2" max="2" width="17.6328125" customWidth="1"/>
    <col min="3" max="3" width="17.81640625" customWidth="1"/>
    <col min="4" max="4" width="14.453125" customWidth="1"/>
    <col min="5" max="6" width="17.36328125" customWidth="1"/>
    <col min="7" max="7" width="8.90625" bestFit="1" customWidth="1"/>
    <col min="10" max="11" width="12.54296875" bestFit="1" customWidth="1"/>
    <col min="14" max="14" width="11.81640625" bestFit="1" customWidth="1"/>
    <col min="15" max="15" width="8.90625" bestFit="1" customWidth="1"/>
  </cols>
  <sheetData>
    <row r="1" spans="1:19">
      <c r="A1" t="s">
        <v>116</v>
      </c>
      <c r="E1" t="s">
        <v>116</v>
      </c>
      <c r="I1" t="s">
        <v>116</v>
      </c>
      <c r="M1" t="s">
        <v>116</v>
      </c>
      <c r="Q1" t="s">
        <v>116</v>
      </c>
    </row>
    <row r="2" spans="1:19" ht="15" thickBot="1">
      <c r="B2" t="s">
        <v>130</v>
      </c>
      <c r="C2" t="s">
        <v>131</v>
      </c>
      <c r="F2" t="s">
        <v>130</v>
      </c>
      <c r="G2" t="s">
        <v>131</v>
      </c>
      <c r="J2" t="s">
        <v>130</v>
      </c>
      <c r="K2" t="s">
        <v>131</v>
      </c>
      <c r="N2" t="s">
        <v>130</v>
      </c>
      <c r="O2" t="s">
        <v>131</v>
      </c>
      <c r="R2" t="s">
        <v>130</v>
      </c>
      <c r="S2" t="s">
        <v>131</v>
      </c>
    </row>
    <row r="3" spans="1:19">
      <c r="A3" s="67"/>
      <c r="B3" s="67" t="s">
        <v>18</v>
      </c>
      <c r="C3" s="67" t="s">
        <v>18</v>
      </c>
      <c r="E3" s="67"/>
      <c r="F3" s="67" t="s">
        <v>19</v>
      </c>
      <c r="G3" s="67" t="s">
        <v>19</v>
      </c>
      <c r="I3" s="67"/>
      <c r="J3" s="67" t="s">
        <v>20</v>
      </c>
      <c r="K3" s="67" t="s">
        <v>2</v>
      </c>
      <c r="M3" s="67"/>
      <c r="N3" s="67" t="s">
        <v>21</v>
      </c>
      <c r="O3" s="67" t="s">
        <v>21</v>
      </c>
      <c r="Q3" s="67"/>
      <c r="R3" s="67" t="s">
        <v>73</v>
      </c>
      <c r="S3" s="67" t="s">
        <v>73</v>
      </c>
    </row>
    <row r="4" spans="1:19">
      <c r="A4" t="s">
        <v>60</v>
      </c>
      <c r="B4">
        <v>3.4830012509098167E-2</v>
      </c>
      <c r="C4">
        <v>4.690325672410664E-2</v>
      </c>
      <c r="E4" t="s">
        <v>60</v>
      </c>
      <c r="F4">
        <v>0.11923310263945311</v>
      </c>
      <c r="G4">
        <v>8.0744394799857119E-3</v>
      </c>
      <c r="I4" t="s">
        <v>60</v>
      </c>
      <c r="J4">
        <v>37224426.500416659</v>
      </c>
      <c r="K4">
        <v>1966472.7691029899</v>
      </c>
      <c r="M4" t="s">
        <v>60</v>
      </c>
      <c r="N4">
        <v>8.1348568227176607E-3</v>
      </c>
      <c r="O4">
        <v>3.3309078641313952E-2</v>
      </c>
      <c r="Q4" t="s">
        <v>60</v>
      </c>
      <c r="R4">
        <v>5.5427397865324175E-8</v>
      </c>
      <c r="S4">
        <v>3.9363603830138951E-8</v>
      </c>
    </row>
    <row r="5" spans="1:19">
      <c r="A5" t="s">
        <v>117</v>
      </c>
      <c r="B5">
        <v>2.9250070188477366E-3</v>
      </c>
      <c r="C5">
        <v>1.5236534917097452E-3</v>
      </c>
      <c r="E5" t="s">
        <v>117</v>
      </c>
      <c r="F5">
        <v>0.16682372338372078</v>
      </c>
      <c r="G5">
        <v>4.0108219002247733E-4</v>
      </c>
      <c r="I5" t="s">
        <v>117</v>
      </c>
      <c r="J5">
        <v>5829181554052888</v>
      </c>
      <c r="K5">
        <v>39737873304122.656</v>
      </c>
      <c r="M5" t="s">
        <v>117</v>
      </c>
      <c r="N5">
        <v>2.9219378992473017E-4</v>
      </c>
      <c r="O5">
        <v>1.7108020964837111E-2</v>
      </c>
      <c r="Q5" t="s">
        <v>117</v>
      </c>
      <c r="R5">
        <v>5.6341584284586344E-14</v>
      </c>
      <c r="S5">
        <v>5.4752376223822597E-14</v>
      </c>
    </row>
    <row r="6" spans="1:19">
      <c r="A6" t="s">
        <v>118</v>
      </c>
      <c r="B6">
        <v>600</v>
      </c>
      <c r="C6">
        <v>602</v>
      </c>
      <c r="E6" t="s">
        <v>118</v>
      </c>
      <c r="F6">
        <v>600</v>
      </c>
      <c r="G6">
        <v>602</v>
      </c>
      <c r="I6" t="s">
        <v>118</v>
      </c>
      <c r="J6">
        <v>600</v>
      </c>
      <c r="K6">
        <v>602</v>
      </c>
      <c r="M6" t="s">
        <v>118</v>
      </c>
      <c r="N6">
        <v>600</v>
      </c>
      <c r="O6">
        <v>602</v>
      </c>
      <c r="Q6" t="s">
        <v>118</v>
      </c>
      <c r="R6">
        <v>600</v>
      </c>
      <c r="S6">
        <v>602</v>
      </c>
    </row>
    <row r="7" spans="1:19">
      <c r="A7" t="s">
        <v>119</v>
      </c>
      <c r="B7">
        <v>0</v>
      </c>
      <c r="E7" t="s">
        <v>119</v>
      </c>
      <c r="F7">
        <v>0</v>
      </c>
      <c r="I7" t="s">
        <v>119</v>
      </c>
      <c r="J7">
        <v>0</v>
      </c>
      <c r="M7" t="s">
        <v>119</v>
      </c>
      <c r="N7">
        <v>0</v>
      </c>
      <c r="Q7" t="s">
        <v>119</v>
      </c>
      <c r="R7">
        <v>0</v>
      </c>
    </row>
    <row r="8" spans="1:19">
      <c r="A8" t="s">
        <v>120</v>
      </c>
      <c r="B8">
        <v>1090</v>
      </c>
      <c r="E8" t="s">
        <v>120</v>
      </c>
      <c r="F8">
        <v>602</v>
      </c>
      <c r="I8" t="s">
        <v>120</v>
      </c>
      <c r="J8">
        <v>607</v>
      </c>
      <c r="M8" t="s">
        <v>120</v>
      </c>
      <c r="N8">
        <v>622</v>
      </c>
      <c r="Q8" t="s">
        <v>120</v>
      </c>
      <c r="R8">
        <v>1200</v>
      </c>
    </row>
    <row r="9" spans="1:19">
      <c r="A9" t="s">
        <v>121</v>
      </c>
      <c r="B9">
        <v>-4.4364153888375082</v>
      </c>
      <c r="E9" t="s">
        <v>121</v>
      </c>
      <c r="F9">
        <v>6.6584067329504251</v>
      </c>
      <c r="I9" t="s">
        <v>121</v>
      </c>
      <c r="J9">
        <v>11.273494045704005</v>
      </c>
      <c r="M9" t="s">
        <v>121</v>
      </c>
      <c r="N9">
        <v>-4.6823604359808382</v>
      </c>
      <c r="Q9" t="s">
        <v>121</v>
      </c>
      <c r="R9">
        <v>1.1815017482593861</v>
      </c>
    </row>
    <row r="10" spans="1:19">
      <c r="A10" t="s">
        <v>122</v>
      </c>
      <c r="B10">
        <v>5.037189209725692E-6</v>
      </c>
      <c r="E10" t="s">
        <v>122</v>
      </c>
      <c r="F10">
        <v>3.1219789914629214E-11</v>
      </c>
      <c r="I10" t="s">
        <v>122</v>
      </c>
      <c r="J10">
        <v>3.3819319320716829E-27</v>
      </c>
      <c r="M10" t="s">
        <v>122</v>
      </c>
      <c r="N10">
        <v>1.7419728381477005E-6</v>
      </c>
      <c r="Q10" t="s">
        <v>122</v>
      </c>
      <c r="R10">
        <v>0.11881877580649938</v>
      </c>
    </row>
    <row r="11" spans="1:19">
      <c r="A11" t="s">
        <v>123</v>
      </c>
      <c r="B11">
        <v>1.6462527764136825</v>
      </c>
      <c r="E11" t="s">
        <v>123</v>
      </c>
      <c r="F11">
        <v>1.647388728285655</v>
      </c>
      <c r="I11" t="s">
        <v>123</v>
      </c>
      <c r="J11">
        <v>1.647367813979199</v>
      </c>
      <c r="M11" t="s">
        <v>123</v>
      </c>
      <c r="N11">
        <v>1.6473070915410937</v>
      </c>
      <c r="Q11" t="s">
        <v>123</v>
      </c>
      <c r="R11">
        <v>1.646124421395522</v>
      </c>
    </row>
    <row r="12" spans="1:19">
      <c r="A12" t="s">
        <v>124</v>
      </c>
      <c r="B12">
        <v>1.0074378419451384E-5</v>
      </c>
      <c r="E12" t="s">
        <v>124</v>
      </c>
      <c r="F12">
        <v>6.2439579829258428E-11</v>
      </c>
      <c r="I12" t="s">
        <v>124</v>
      </c>
      <c r="J12">
        <v>6.7638638641433658E-27</v>
      </c>
      <c r="M12" t="s">
        <v>124</v>
      </c>
      <c r="N12">
        <v>3.4839456762954009E-6</v>
      </c>
      <c r="Q12" t="s">
        <v>124</v>
      </c>
      <c r="R12">
        <v>0.23763755161299877</v>
      </c>
    </row>
    <row r="13" spans="1:19" ht="15" thickBot="1">
      <c r="A13" s="65" t="s">
        <v>125</v>
      </c>
      <c r="B13" s="65">
        <v>1.9621427577795072</v>
      </c>
      <c r="C13" s="65"/>
      <c r="E13" s="65" t="s">
        <v>125</v>
      </c>
      <c r="F13" s="65">
        <v>1.9639124344170897</v>
      </c>
      <c r="G13" s="65"/>
      <c r="I13" s="65" t="s">
        <v>125</v>
      </c>
      <c r="J13" s="65">
        <v>1.9638798463020746</v>
      </c>
      <c r="K13" s="65"/>
      <c r="M13" s="65" t="s">
        <v>125</v>
      </c>
      <c r="N13" s="65">
        <v>1.9637852315211879</v>
      </c>
      <c r="O13" s="65"/>
      <c r="Q13" s="65" t="s">
        <v>125</v>
      </c>
      <c r="R13" s="65">
        <v>1.9619428387802695</v>
      </c>
      <c r="S13" s="65"/>
    </row>
    <row r="17" spans="2:19" ht="44" thickBot="1">
      <c r="B17" s="70" t="s">
        <v>128</v>
      </c>
      <c r="K17" s="200" t="s">
        <v>127</v>
      </c>
      <c r="L17" s="201"/>
      <c r="M17" s="201"/>
      <c r="N17" s="201"/>
      <c r="O17" s="201"/>
      <c r="P17" s="201"/>
      <c r="Q17" s="201"/>
      <c r="R17" s="201"/>
      <c r="S17" s="202"/>
    </row>
    <row r="18" spans="2:19" ht="29.5" customHeight="1" thickBot="1">
      <c r="B18" s="69"/>
      <c r="C18" s="71" t="s">
        <v>109</v>
      </c>
      <c r="D18" s="71" t="s">
        <v>110</v>
      </c>
      <c r="E18" s="71" t="s">
        <v>111</v>
      </c>
      <c r="F18" s="72" t="s">
        <v>129</v>
      </c>
      <c r="K18" s="191" t="s">
        <v>126</v>
      </c>
      <c r="L18" s="192"/>
      <c r="M18" s="192"/>
      <c r="N18" s="192"/>
      <c r="O18" s="192"/>
      <c r="P18" s="192"/>
      <c r="Q18" s="192"/>
      <c r="R18" s="192"/>
      <c r="S18" s="193"/>
    </row>
    <row r="19" spans="2:19" ht="29.5" thickBot="1">
      <c r="B19" s="73" t="s">
        <v>112</v>
      </c>
      <c r="C19" s="68">
        <f>B4</f>
        <v>3.4830012509098167E-2</v>
      </c>
      <c r="D19" s="68">
        <f>C4</f>
        <v>4.690325672410664E-2</v>
      </c>
      <c r="E19" s="68">
        <f>D19-C19</f>
        <v>1.2073244215008473E-2</v>
      </c>
      <c r="F19" s="68">
        <f>B12</f>
        <v>1.0074378419451384E-5</v>
      </c>
      <c r="K19" s="194"/>
      <c r="L19" s="195"/>
      <c r="M19" s="195"/>
      <c r="N19" s="195"/>
      <c r="O19" s="195"/>
      <c r="P19" s="195"/>
      <c r="Q19" s="195"/>
      <c r="R19" s="195"/>
      <c r="S19" s="196"/>
    </row>
    <row r="20" spans="2:19" ht="29.5" thickBot="1">
      <c r="B20" s="73" t="s">
        <v>113</v>
      </c>
      <c r="C20" s="68">
        <f>F4</f>
        <v>0.11923310263945311</v>
      </c>
      <c r="D20" s="68">
        <f>G4</f>
        <v>8.0744394799857119E-3</v>
      </c>
      <c r="E20" s="68">
        <f>D20-C20</f>
        <v>-0.1111586631594674</v>
      </c>
      <c r="F20" s="68">
        <f>F12</f>
        <v>6.2439579829258428E-11</v>
      </c>
      <c r="K20" s="194"/>
      <c r="L20" s="195"/>
      <c r="M20" s="195"/>
      <c r="N20" s="195"/>
      <c r="O20" s="195"/>
      <c r="P20" s="195"/>
      <c r="Q20" s="195"/>
      <c r="R20" s="195"/>
      <c r="S20" s="196"/>
    </row>
    <row r="21" spans="2:19" ht="15" thickBot="1">
      <c r="B21" s="73" t="s">
        <v>114</v>
      </c>
      <c r="C21" s="68">
        <f>J4</f>
        <v>37224426.500416659</v>
      </c>
      <c r="D21" s="68">
        <f>K4</f>
        <v>1966472.7691029899</v>
      </c>
      <c r="E21" s="68">
        <f>D21-C21</f>
        <v>-35257953.731313668</v>
      </c>
      <c r="F21" s="68">
        <f>J12</f>
        <v>6.7638638641433658E-27</v>
      </c>
      <c r="K21" s="194"/>
      <c r="L21" s="195"/>
      <c r="M21" s="195"/>
      <c r="N21" s="195"/>
      <c r="O21" s="195"/>
      <c r="P21" s="195"/>
      <c r="Q21" s="195"/>
      <c r="R21" s="195"/>
      <c r="S21" s="196"/>
    </row>
    <row r="22" spans="2:19" ht="15" thickBot="1">
      <c r="B22" s="73" t="s">
        <v>21</v>
      </c>
      <c r="C22" s="68">
        <f>N4</f>
        <v>8.1348568227176607E-3</v>
      </c>
      <c r="D22" s="68">
        <f>O4</f>
        <v>3.3309078641313952E-2</v>
      </c>
      <c r="E22" s="68">
        <f>D22-C22</f>
        <v>2.5174221818596292E-2</v>
      </c>
      <c r="F22" s="68">
        <f>N12</f>
        <v>3.4839456762954009E-6</v>
      </c>
      <c r="K22" s="197"/>
      <c r="L22" s="198"/>
      <c r="M22" s="198"/>
      <c r="N22" s="198"/>
      <c r="O22" s="198"/>
      <c r="P22" s="198"/>
      <c r="Q22" s="198"/>
      <c r="R22" s="198"/>
      <c r="S22" s="199"/>
    </row>
    <row r="23" spans="2:19" ht="29.5" thickBot="1">
      <c r="B23" s="73" t="s">
        <v>115</v>
      </c>
      <c r="C23" s="68">
        <f>R4</f>
        <v>5.5427397865324175E-8</v>
      </c>
      <c r="D23" s="68">
        <f>S4</f>
        <v>3.9363603830138951E-8</v>
      </c>
      <c r="E23" s="68">
        <f>D23-C23</f>
        <v>-1.6063794035185224E-8</v>
      </c>
      <c r="F23" s="68">
        <f>R12</f>
        <v>0.23763755161299877</v>
      </c>
    </row>
  </sheetData>
  <mergeCells count="2">
    <mergeCell ref="K18:S22"/>
    <mergeCell ref="K17:S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8321E-DFFE-4F1B-A33A-8D85A7E9935A}">
  <dimension ref="B1:O18"/>
  <sheetViews>
    <sheetView zoomScale="75" workbookViewId="0">
      <selection activeCell="R14" sqref="R14"/>
    </sheetView>
  </sheetViews>
  <sheetFormatPr defaultColWidth="8.81640625" defaultRowHeight="14.5"/>
  <sheetData>
    <row r="1" spans="2:15" ht="15" thickBot="1"/>
    <row r="2" spans="2:15" ht="16" thickBot="1">
      <c r="B2" s="187" t="s">
        <v>219</v>
      </c>
      <c r="C2" s="188"/>
      <c r="D2" s="188"/>
      <c r="E2" s="188"/>
      <c r="F2" s="188"/>
      <c r="G2" s="189"/>
      <c r="J2" s="187" t="s">
        <v>180</v>
      </c>
      <c r="K2" s="188"/>
      <c r="L2" s="188"/>
      <c r="M2" s="188"/>
      <c r="N2" s="188"/>
      <c r="O2" s="189"/>
    </row>
    <row r="3" spans="2:15" ht="26.5" thickBot="1">
      <c r="B3" s="74" t="s">
        <v>132</v>
      </c>
      <c r="C3" s="149" t="s">
        <v>133</v>
      </c>
      <c r="D3" s="149" t="s">
        <v>134</v>
      </c>
      <c r="E3" s="149" t="s">
        <v>135</v>
      </c>
      <c r="F3" s="150" t="s">
        <v>136</v>
      </c>
      <c r="G3" s="151" t="s">
        <v>137</v>
      </c>
      <c r="J3" s="152" t="s">
        <v>132</v>
      </c>
      <c r="K3" s="149" t="s">
        <v>133</v>
      </c>
      <c r="L3" s="149" t="s">
        <v>134</v>
      </c>
      <c r="M3" s="149" t="s">
        <v>135</v>
      </c>
      <c r="N3" s="150" t="s">
        <v>136</v>
      </c>
      <c r="O3" s="151" t="s">
        <v>137</v>
      </c>
    </row>
    <row r="4" spans="2:15" ht="15" thickBot="1">
      <c r="B4" s="148">
        <v>1</v>
      </c>
      <c r="C4" s="147" t="s">
        <v>23</v>
      </c>
      <c r="D4" s="146">
        <f>'Pre-Period'!AC8</f>
        <v>0.69971870708992878</v>
      </c>
      <c r="E4" s="146">
        <f>'Pre-Period'!AD8</f>
        <v>-2.5540840932228239E-3</v>
      </c>
      <c r="F4" s="146">
        <f>'Pre-Period'!AE8</f>
        <v>1.2134480707511308E-2</v>
      </c>
      <c r="G4" s="146">
        <f>'Pre-Period'!AF8</f>
        <v>4.3994955290974902</v>
      </c>
      <c r="J4" s="146">
        <v>1</v>
      </c>
      <c r="K4" s="146" t="s">
        <v>23</v>
      </c>
      <c r="L4" s="146">
        <f>'Post-Period'!AC8</f>
        <v>-3.349998459912785</v>
      </c>
      <c r="M4" s="146">
        <f>'Post-Period'!AD8</f>
        <v>1.3893164794255876E-2</v>
      </c>
      <c r="N4" s="146">
        <f>'Post-Period'!AE8</f>
        <v>8.0990387208450254E-2</v>
      </c>
      <c r="O4" s="146">
        <f>'Post-Period'!AF8</f>
        <v>2.4289661111661269</v>
      </c>
    </row>
    <row r="5" spans="2:15" ht="15" thickBot="1">
      <c r="B5" s="146">
        <v>2</v>
      </c>
      <c r="C5" s="147" t="s">
        <v>24</v>
      </c>
      <c r="D5" s="146">
        <f>'Pre-Period'!AC9</f>
        <v>0.38849068300467016</v>
      </c>
      <c r="E5" s="146">
        <f>'Pre-Period'!AD9</f>
        <v>3.7048431509374038E-3</v>
      </c>
      <c r="F5" s="146">
        <f>'Pre-Period'!AE9</f>
        <v>1.6889054512592889E-2</v>
      </c>
      <c r="G5" s="146">
        <f>'Pre-Period'!AF9</f>
        <v>4.064056227828269</v>
      </c>
      <c r="J5" s="146">
        <v>2</v>
      </c>
      <c r="K5" s="146" t="s">
        <v>24</v>
      </c>
      <c r="L5" s="146">
        <f>'Post-Period'!AC9</f>
        <v>0.57319898302688232</v>
      </c>
      <c r="M5" s="146">
        <f>'Post-Period'!AD9</f>
        <v>-1.192402799030223E-3</v>
      </c>
      <c r="N5" s="146">
        <f>'Post-Period'!AE9</f>
        <v>3.7817157537207581E-2</v>
      </c>
      <c r="O5" s="146">
        <f>'Post-Period'!AF9</f>
        <v>3.2364415947923728</v>
      </c>
    </row>
    <row r="6" spans="2:15" ht="15" thickBot="1">
      <c r="B6" s="146">
        <v>3</v>
      </c>
      <c r="C6" s="147" t="s">
        <v>25</v>
      </c>
      <c r="D6" s="146">
        <f>'Pre-Period'!AC10</f>
        <v>-0.71753793603690463</v>
      </c>
      <c r="E6" s="146">
        <f>'Pre-Period'!AD10</f>
        <v>1.0585810680086577E-2</v>
      </c>
      <c r="F6" s="146">
        <f>'Pre-Period'!AE10</f>
        <v>2.4165233079099305E-2</v>
      </c>
      <c r="G6" s="146">
        <f>'Pre-Period'!AF10</f>
        <v>3.6983783253251628</v>
      </c>
      <c r="J6" s="146">
        <v>3</v>
      </c>
      <c r="K6" s="146" t="s">
        <v>25</v>
      </c>
      <c r="L6" s="146">
        <f>'Post-Period'!AC10</f>
        <v>0.79549136223161743</v>
      </c>
      <c r="M6" s="146">
        <f>'Post-Period'!AD10</f>
        <v>-2.4763003263079879E-3</v>
      </c>
      <c r="N6" s="146">
        <f>'Post-Period'!AE10</f>
        <v>3.8610328116017993E-2</v>
      </c>
      <c r="O6" s="146">
        <f>'Post-Period'!AF10</f>
        <v>3.2148600041611366</v>
      </c>
    </row>
    <row r="7" spans="2:15" ht="15" thickBot="1">
      <c r="B7" s="146">
        <v>4</v>
      </c>
      <c r="C7" s="147" t="s">
        <v>33</v>
      </c>
      <c r="D7" s="146">
        <f>'Pre-Period'!AC11</f>
        <v>1.2517100639051182</v>
      </c>
      <c r="E7" s="146">
        <f>'Pre-Period'!AD11</f>
        <v>-7.7683094570177823E-4</v>
      </c>
      <c r="F7" s="146">
        <f>'Pre-Period'!AE11</f>
        <v>0.13777098222972098</v>
      </c>
      <c r="G7" s="146">
        <f>'Pre-Period'!AF11</f>
        <v>1.83392815972434</v>
      </c>
      <c r="J7" s="146">
        <v>4</v>
      </c>
      <c r="K7" s="146" t="s">
        <v>33</v>
      </c>
      <c r="L7" s="146">
        <f>'Post-Period'!AC11</f>
        <v>0.47266643377671169</v>
      </c>
      <c r="M7" s="146">
        <f>'Post-Period'!AD11</f>
        <v>3.1009212264165396E-3</v>
      </c>
      <c r="N7" s="146">
        <f>'Post-Period'!AE11</f>
        <v>2.0556827621108789E-2</v>
      </c>
      <c r="O7" s="146">
        <f>'Post-Period'!AF11</f>
        <v>3.8637910886350628</v>
      </c>
    </row>
    <row r="8" spans="2:15" ht="15" thickBot="1">
      <c r="B8" s="146">
        <v>5</v>
      </c>
      <c r="C8" s="147" t="s">
        <v>38</v>
      </c>
      <c r="D8" s="146">
        <f>'Pre-Period'!AC12</f>
        <v>-3.5315755632109309</v>
      </c>
      <c r="E8" s="146">
        <f>'Pre-Period'!AD12</f>
        <v>-7.7683094570177823E-4</v>
      </c>
      <c r="F8" s="146">
        <f>'Pre-Period'!AE12</f>
        <v>6.5634691471850221E-2</v>
      </c>
      <c r="G8" s="146">
        <f>'Pre-Period'!AF12</f>
        <v>2.6557630948021895</v>
      </c>
      <c r="J8" s="146">
        <v>5</v>
      </c>
      <c r="K8" s="146" t="s">
        <v>38</v>
      </c>
      <c r="L8" s="146">
        <f>'Post-Period'!AC12</f>
        <v>1.1795803450831115</v>
      </c>
      <c r="M8" s="146">
        <f>'Post-Period'!AD12</f>
        <v>2.0174694321311937E-3</v>
      </c>
      <c r="N8" s="146">
        <f>'Post-Period'!AE12</f>
        <v>0.11373685560199787</v>
      </c>
      <c r="O8" s="146">
        <f>'Post-Period'!AF12</f>
        <v>2.0531264132082789</v>
      </c>
    </row>
    <row r="9" spans="2:15" ht="15" thickBot="1">
      <c r="B9" s="146">
        <v>6</v>
      </c>
      <c r="C9" s="147" t="s">
        <v>41</v>
      </c>
      <c r="D9" s="146">
        <f>'Pre-Period'!AC13</f>
        <v>-3.1873959904449194</v>
      </c>
      <c r="E9" s="146">
        <f>'Pre-Period'!AD13</f>
        <v>7.3498797752768498E-4</v>
      </c>
      <c r="F9" s="146">
        <f>'Pre-Period'!AE13</f>
        <v>1.8734660645062868E-2</v>
      </c>
      <c r="G9" s="146">
        <f>'Pre-Period'!AF13</f>
        <v>3.9584675827771787</v>
      </c>
      <c r="J9" s="146">
        <v>6</v>
      </c>
      <c r="K9" s="146" t="s">
        <v>41</v>
      </c>
      <c r="L9" s="146">
        <f>'Post-Period'!AC13</f>
        <v>-0.58085368384691305</v>
      </c>
      <c r="M9" s="146">
        <f>'Post-Period'!AD13</f>
        <v>2.7876793810749489E-3</v>
      </c>
      <c r="N9" s="146">
        <f>'Post-Period'!AE13</f>
        <v>3.4425672176552603E-2</v>
      </c>
      <c r="O9" s="146">
        <f>'Post-Period'!AF13</f>
        <v>3.3339205124188762</v>
      </c>
    </row>
    <row r="10" spans="2:15" ht="15" thickBot="1">
      <c r="B10" s="146">
        <v>7</v>
      </c>
      <c r="C10" s="147" t="s">
        <v>43</v>
      </c>
      <c r="D10" s="146">
        <f>'Pre-Period'!AC14</f>
        <v>1.2334800626637845</v>
      </c>
      <c r="E10" s="146">
        <f>'Pre-Period'!AD14</f>
        <v>1.7149756317086946E-3</v>
      </c>
      <c r="F10" s="146">
        <f>'Pre-Period'!AE14</f>
        <v>9.8885998357749014E-2</v>
      </c>
      <c r="G10" s="146">
        <f>'Pre-Period'!AF14</f>
        <v>2.2096641226366067</v>
      </c>
      <c r="J10" s="146">
        <v>7</v>
      </c>
      <c r="K10" s="146" t="s">
        <v>43</v>
      </c>
      <c r="L10" s="146">
        <f>'Post-Period'!AC14</f>
        <v>0.20647932275286596</v>
      </c>
      <c r="M10" s="146">
        <f>'Post-Period'!AD14</f>
        <v>-7.139691250183319E-4</v>
      </c>
      <c r="N10" s="146">
        <f>'Post-Period'!AE14</f>
        <v>3.4025117422084219E-3</v>
      </c>
      <c r="O10" s="146">
        <f>'Post-Period'!AF14</f>
        <v>5.6798330589421591</v>
      </c>
    </row>
    <row r="11" spans="2:15" ht="15" thickBot="1">
      <c r="B11" s="146">
        <v>8</v>
      </c>
      <c r="C11" s="147" t="s">
        <v>44</v>
      </c>
      <c r="D11" s="146">
        <f>'Pre-Period'!AC15</f>
        <v>-4.1797477951023995E-2</v>
      </c>
      <c r="E11" s="146">
        <f>'Pre-Period'!AD15</f>
        <v>9.463949176361201E-3</v>
      </c>
      <c r="F11" s="146">
        <f>'Pre-Period'!AE15</f>
        <v>1.7160673342788317E-5</v>
      </c>
      <c r="G11" s="146">
        <f>'Pre-Period'!AF15</f>
        <v>10.972873064763474</v>
      </c>
      <c r="J11" s="146">
        <v>8</v>
      </c>
      <c r="K11" s="146" t="s">
        <v>44</v>
      </c>
      <c r="L11" s="146">
        <f>'Post-Period'!AC15</f>
        <v>-2.2344794962320454E-2</v>
      </c>
      <c r="M11" s="146">
        <f>'Post-Period'!AD15</f>
        <v>-5.731938207919438E-4</v>
      </c>
      <c r="N11" s="146">
        <f>'Post-Period'!AE15</f>
        <v>1.1532487130850818E-4</v>
      </c>
      <c r="O11" s="146">
        <f>'Post-Period'!AF15</f>
        <v>9.0676421129020923</v>
      </c>
    </row>
    <row r="12" spans="2:15" ht="15" thickBot="1">
      <c r="B12" s="146">
        <v>9</v>
      </c>
      <c r="C12" s="147" t="s">
        <v>45</v>
      </c>
      <c r="D12" s="146">
        <f>'Pre-Period'!AC16</f>
        <v>-0.98693984620362973</v>
      </c>
      <c r="E12" s="146">
        <f>'Pre-Period'!AD16</f>
        <v>-9.3338407689035723E-3</v>
      </c>
      <c r="F12" s="146">
        <f>'Pre-Period'!AE16</f>
        <v>6.0514480039611587E-3</v>
      </c>
      <c r="G12" s="146">
        <f>'Pre-Period'!AF16</f>
        <v>5.1013878638584265</v>
      </c>
      <c r="J12" s="146">
        <v>9</v>
      </c>
      <c r="K12" s="146" t="s">
        <v>45</v>
      </c>
      <c r="L12" s="146">
        <f>'Post-Period'!AC16</f>
        <v>1.5071799033009745</v>
      </c>
      <c r="M12" s="146">
        <f>'Post-Period'!AD16</f>
        <v>-1.6041090566336321E-3</v>
      </c>
      <c r="N12" s="146">
        <f>'Post-Period'!AE16</f>
        <v>0.13176433246859182</v>
      </c>
      <c r="O12" s="146">
        <f>'Post-Period'!AF16</f>
        <v>1.8854482173366243</v>
      </c>
    </row>
    <row r="13" spans="2:15" ht="15" thickBot="1">
      <c r="B13" s="146">
        <v>10</v>
      </c>
      <c r="C13" s="147" t="s">
        <v>46</v>
      </c>
      <c r="D13" s="146">
        <f>'Pre-Period'!AC17</f>
        <v>0.24430614047901139</v>
      </c>
      <c r="E13" s="146">
        <f>'Pre-Period'!AD17</f>
        <v>-9.1976439832969746E-4</v>
      </c>
      <c r="F13" s="146">
        <f>'Pre-Period'!AE17</f>
        <v>2.0494361307358974E-2</v>
      </c>
      <c r="G13" s="146">
        <f>'Pre-Period'!AF17</f>
        <v>3.8668982039418083</v>
      </c>
      <c r="J13" s="146">
        <v>10</v>
      </c>
      <c r="K13" s="146" t="s">
        <v>46</v>
      </c>
      <c r="L13" s="146">
        <f>'Post-Period'!AC17</f>
        <v>0.3454526629362118</v>
      </c>
      <c r="M13" s="146">
        <f>'Post-Period'!AD17</f>
        <v>-2.5288430800600586E-3</v>
      </c>
      <c r="N13" s="146">
        <f>'Post-Period'!AE17</f>
        <v>8.2829671341098452E-3</v>
      </c>
      <c r="O13" s="146">
        <f>'Post-Period'!AF17</f>
        <v>4.7852365637309902</v>
      </c>
    </row>
    <row r="14" spans="2:15" ht="15" thickBot="1">
      <c r="B14" s="146">
        <v>11</v>
      </c>
      <c r="C14" s="147" t="s">
        <v>47</v>
      </c>
      <c r="D14" s="146">
        <f>'Pre-Period'!AC18</f>
        <v>7.9277423461569336</v>
      </c>
      <c r="E14" s="146">
        <f>'Pre-Period'!AD18</f>
        <v>-7.5782740266793686E-2</v>
      </c>
      <c r="F14" s="146">
        <f>'Pre-Period'!AE18</f>
        <v>6.193590533233289E-2</v>
      </c>
      <c r="G14" s="146">
        <f>'Pre-Period'!AF18</f>
        <v>2.717718212515472</v>
      </c>
      <c r="J14" s="146">
        <v>11</v>
      </c>
      <c r="K14" s="146" t="s">
        <v>47</v>
      </c>
      <c r="L14" s="146">
        <f>'Post-Period'!AC18</f>
        <v>-0.4293651444179985</v>
      </c>
      <c r="M14" s="146">
        <f>'Post-Period'!AD18</f>
        <v>3.2527851782508861E-3</v>
      </c>
      <c r="N14" s="146">
        <f>'Post-Period'!AE18</f>
        <v>7.389964451407216E-3</v>
      </c>
      <c r="O14" s="146">
        <f>'Post-Period'!AF18</f>
        <v>4.9002149488833684</v>
      </c>
    </row>
    <row r="15" spans="2:15" ht="15" thickBot="1">
      <c r="B15" s="146">
        <v>12</v>
      </c>
      <c r="C15" s="147" t="s">
        <v>48</v>
      </c>
      <c r="D15" s="146">
        <f>'Pre-Period'!AC19</f>
        <v>-3.2345442137061751</v>
      </c>
      <c r="E15" s="146">
        <f>'Pre-Period'!AD19</f>
        <v>2.2267825186266809E-2</v>
      </c>
      <c r="F15" s="146">
        <f>'Pre-Period'!AE19</f>
        <v>0.10718724253041709</v>
      </c>
      <c r="G15" s="146">
        <f>'Pre-Period'!AF19</f>
        <v>2.1197996454966153</v>
      </c>
      <c r="J15" s="146">
        <v>12</v>
      </c>
      <c r="K15" s="146" t="s">
        <v>48</v>
      </c>
      <c r="L15" s="146">
        <f>'Post-Period'!AC19</f>
        <v>-0.97179271131542266</v>
      </c>
      <c r="M15" s="146">
        <f>'Post-Period'!AD19</f>
        <v>2.0971395938586428E-2</v>
      </c>
      <c r="N15" s="146">
        <f>'Post-Period'!AE19</f>
        <v>6.330326864479552E-3</v>
      </c>
      <c r="O15" s="146">
        <f>'Post-Period'!AF19</f>
        <v>5.0560529584551075</v>
      </c>
    </row>
    <row r="16" spans="2:15" ht="15" thickBot="1">
      <c r="B16" s="146">
        <v>13</v>
      </c>
      <c r="C16" s="147" t="s">
        <v>53</v>
      </c>
      <c r="D16" s="146">
        <f>'Pre-Period'!AC20</f>
        <v>0.77154124369764232</v>
      </c>
      <c r="E16" s="146">
        <f>'Pre-Period'!AD20</f>
        <v>-2.2136281956022939E-3</v>
      </c>
      <c r="F16" s="146">
        <f>'Pre-Period'!AE20</f>
        <v>5.4355309041486694E-2</v>
      </c>
      <c r="G16" s="146">
        <f>'Pre-Period'!AF20</f>
        <v>2.8563246162943292</v>
      </c>
      <c r="J16" s="146">
        <v>13</v>
      </c>
      <c r="K16" s="146" t="s">
        <v>53</v>
      </c>
      <c r="L16" s="146">
        <f>'Post-Period'!AC20</f>
        <v>0.41638999927931958</v>
      </c>
      <c r="M16" s="146">
        <f>'Post-Period'!AD20</f>
        <v>2.1916819763268067E-4</v>
      </c>
      <c r="N16" s="146">
        <f>'Post-Period'!AE20</f>
        <v>5.6885001667764928E-3</v>
      </c>
      <c r="O16" s="146">
        <f>'Post-Period'!AF20</f>
        <v>5.1636039153613709</v>
      </c>
    </row>
    <row r="17" spans="2:15" ht="15" thickBot="1">
      <c r="B17" s="146">
        <v>14</v>
      </c>
      <c r="C17" s="147" t="s">
        <v>55</v>
      </c>
      <c r="D17" s="146">
        <f>'Pre-Period'!AC21</f>
        <v>0.49642580139845849</v>
      </c>
      <c r="E17" s="146">
        <f>'Pre-Period'!AD21</f>
        <v>1.5844594991380058E-3</v>
      </c>
      <c r="F17" s="146">
        <f>'Pre-Period'!AE21</f>
        <v>7.9741708126214117E-2</v>
      </c>
      <c r="G17" s="146">
        <f>'Pre-Period'!AF21</f>
        <v>2.4458616197559877</v>
      </c>
      <c r="J17" s="146">
        <v>14</v>
      </c>
      <c r="K17" s="146" t="s">
        <v>55</v>
      </c>
      <c r="L17" s="146">
        <f>'Post-Period'!AC21</f>
        <v>0.39821594426792234</v>
      </c>
      <c r="M17" s="146">
        <f>'Post-Period'!AD21</f>
        <v>1.1679417673385111E-3</v>
      </c>
      <c r="N17" s="146">
        <f>'Post-Period'!AE21</f>
        <v>7.658702373886131E-2</v>
      </c>
      <c r="O17" s="146">
        <f>'Post-Period'!AF21</f>
        <v>2.4896489031626121</v>
      </c>
    </row>
    <row r="18" spans="2:15" ht="15" thickBot="1">
      <c r="B18" s="146">
        <v>15</v>
      </c>
      <c r="C18" s="147" t="s">
        <v>57</v>
      </c>
      <c r="D18" s="146">
        <f>'Pre-Period'!AC22</f>
        <v>0.65506395770587977</v>
      </c>
      <c r="E18" s="146">
        <f>'Pre-Period'!AD22</f>
        <v>-5.888447052343395E-4</v>
      </c>
      <c r="F18" s="146">
        <f>'Pre-Period'!AE22</f>
        <v>5.1398381354536109E-2</v>
      </c>
      <c r="G18" s="146">
        <f>'Pre-Period'!AF22</f>
        <v>2.9153822389856026</v>
      </c>
      <c r="J18" s="146">
        <v>15</v>
      </c>
      <c r="K18" s="146" t="s">
        <v>57</v>
      </c>
      <c r="L18" s="146">
        <f>'Post-Period'!AC22</f>
        <v>-1.0483618130024923</v>
      </c>
      <c r="M18" s="146">
        <f>'Post-Period'!AD22</f>
        <v>2.9981817568211803E-5</v>
      </c>
      <c r="N18" s="146">
        <f>'Post-Period'!AE22</f>
        <v>7.8561450279854034E-2</v>
      </c>
      <c r="O18" s="146">
        <f>'Post-Period'!AF22</f>
        <v>2.4620549651612653</v>
      </c>
    </row>
  </sheetData>
  <mergeCells count="2">
    <mergeCell ref="B2:G2"/>
    <mergeCell ref="J2:O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W239"/>
  <sheetViews>
    <sheetView topLeftCell="A28" zoomScale="17" workbookViewId="0">
      <selection activeCell="AB81" sqref="AB81"/>
    </sheetView>
  </sheetViews>
  <sheetFormatPr defaultColWidth="8.81640625" defaultRowHeight="14.5"/>
  <cols>
    <col min="1" max="1" width="19.36328125" customWidth="1"/>
    <col min="2" max="2" width="17.453125" bestFit="1" customWidth="1"/>
    <col min="3" max="3" width="13.453125" bestFit="1" customWidth="1"/>
    <col min="4" max="4" width="12.6328125" bestFit="1" customWidth="1"/>
    <col min="5" max="5" width="12" bestFit="1" customWidth="1"/>
    <col min="6" max="6" width="12.6328125" bestFit="1" customWidth="1"/>
    <col min="7" max="7" width="12" bestFit="1" customWidth="1"/>
    <col min="8" max="8" width="12.6328125" bestFit="1" customWidth="1"/>
    <col min="9" max="9" width="12.1796875" bestFit="1" customWidth="1"/>
    <col min="11" max="11" width="17.453125" bestFit="1" customWidth="1"/>
    <col min="12" max="12" width="12.6328125" bestFit="1" customWidth="1"/>
    <col min="13" max="13" width="13.453125" bestFit="1" customWidth="1"/>
    <col min="14" max="14" width="12.6328125" bestFit="1" customWidth="1"/>
    <col min="15" max="15" width="12" bestFit="1" customWidth="1"/>
    <col min="16" max="19" width="12.6328125" bestFit="1" customWidth="1"/>
    <col min="21" max="21" width="17.453125" bestFit="1" customWidth="1"/>
    <col min="22" max="22" width="12.6328125" bestFit="1" customWidth="1"/>
    <col min="23" max="23" width="13.453125" bestFit="1" customWidth="1"/>
    <col min="24" max="24" width="12.6328125" bestFit="1" customWidth="1"/>
    <col min="25" max="25" width="12" bestFit="1" customWidth="1"/>
    <col min="26" max="26" width="12.6328125" bestFit="1" customWidth="1"/>
    <col min="27" max="27" width="12" bestFit="1" customWidth="1"/>
    <col min="28" max="28" width="12.6328125" bestFit="1" customWidth="1"/>
    <col min="29" max="29" width="12.1796875" bestFit="1" customWidth="1"/>
    <col min="31" max="31" width="17.453125" bestFit="1" customWidth="1"/>
    <col min="32" max="32" width="18.6328125" bestFit="1" customWidth="1"/>
    <col min="33" max="33" width="13.453125" bestFit="1" customWidth="1"/>
    <col min="34" max="34" width="12.6328125" bestFit="1" customWidth="1"/>
    <col min="35" max="35" width="12" bestFit="1" customWidth="1"/>
    <col min="36" max="36" width="12.6328125" bestFit="1" customWidth="1"/>
    <col min="37" max="37" width="12" bestFit="1" customWidth="1"/>
    <col min="38" max="38" width="12.6328125" bestFit="1" customWidth="1"/>
    <col min="39" max="39" width="12.1796875" bestFit="1" customWidth="1"/>
    <col min="41" max="41" width="17.453125" bestFit="1" customWidth="1"/>
    <col min="42" max="42" width="12.6328125" bestFit="1" customWidth="1"/>
    <col min="43" max="43" width="13.453125" bestFit="1" customWidth="1"/>
    <col min="44" max="44" width="12.6328125" bestFit="1" customWidth="1"/>
    <col min="45" max="45" width="12" bestFit="1" customWidth="1"/>
    <col min="46" max="46" width="12.6328125" bestFit="1" customWidth="1"/>
    <col min="47" max="47" width="12" bestFit="1" customWidth="1"/>
    <col min="48" max="48" width="12.6328125" bestFit="1" customWidth="1"/>
    <col min="49" max="49" width="12.1796875" bestFit="1" customWidth="1"/>
  </cols>
  <sheetData>
    <row r="1" spans="1:44" ht="26" customHeight="1">
      <c r="A1" s="203" t="s">
        <v>210</v>
      </c>
      <c r="B1" s="203"/>
      <c r="C1" s="203"/>
      <c r="D1" s="203"/>
      <c r="E1" s="203"/>
      <c r="F1" s="203"/>
      <c r="G1" s="203"/>
      <c r="H1" s="203"/>
      <c r="I1" s="203"/>
      <c r="J1" s="203"/>
      <c r="K1" s="203"/>
      <c r="L1" s="203"/>
      <c r="M1" s="203"/>
      <c r="N1" s="203"/>
      <c r="O1" s="203"/>
      <c r="P1" s="203"/>
      <c r="Q1" s="203"/>
      <c r="R1" s="203"/>
      <c r="S1" s="203"/>
      <c r="T1" s="203"/>
      <c r="U1" s="203"/>
      <c r="V1" s="203"/>
      <c r="W1" s="203"/>
      <c r="X1" s="203"/>
      <c r="Y1" s="203"/>
      <c r="Z1" s="203"/>
      <c r="AA1" s="203"/>
      <c r="AB1" s="203"/>
      <c r="AC1" s="203"/>
      <c r="AD1" s="203"/>
      <c r="AE1" s="203"/>
      <c r="AF1" s="203"/>
      <c r="AG1" s="203"/>
      <c r="AH1" s="203"/>
      <c r="AI1" s="203"/>
      <c r="AJ1" s="203"/>
      <c r="AK1" s="203"/>
      <c r="AL1" s="203"/>
      <c r="AM1" s="203"/>
      <c r="AN1" s="203"/>
      <c r="AO1" s="203"/>
      <c r="AP1" s="203"/>
      <c r="AQ1" s="203"/>
      <c r="AR1" s="203"/>
    </row>
    <row r="2" spans="1:44" ht="26" customHeight="1">
      <c r="A2" s="203"/>
      <c r="B2" s="203"/>
      <c r="C2" s="203"/>
      <c r="D2" s="203"/>
      <c r="E2" s="203"/>
      <c r="F2" s="203"/>
      <c r="G2" s="203"/>
      <c r="H2" s="203"/>
      <c r="I2" s="203"/>
      <c r="J2" s="203"/>
      <c r="K2" s="203"/>
      <c r="L2" s="203"/>
      <c r="M2" s="203"/>
      <c r="N2" s="203"/>
      <c r="O2" s="203"/>
      <c r="P2" s="203"/>
      <c r="Q2" s="203"/>
      <c r="R2" s="203"/>
      <c r="S2" s="203"/>
      <c r="T2" s="203"/>
      <c r="U2" s="203"/>
      <c r="V2" s="203"/>
      <c r="W2" s="203"/>
      <c r="X2" s="203"/>
      <c r="Y2" s="203"/>
      <c r="Z2" s="203"/>
      <c r="AA2" s="203"/>
      <c r="AB2" s="203"/>
      <c r="AC2" s="203"/>
      <c r="AD2" s="203"/>
      <c r="AE2" s="203"/>
      <c r="AF2" s="203"/>
      <c r="AG2" s="203"/>
      <c r="AH2" s="203"/>
      <c r="AI2" s="203"/>
      <c r="AJ2" s="203"/>
      <c r="AK2" s="203"/>
      <c r="AL2" s="203"/>
      <c r="AM2" s="203"/>
      <c r="AN2" s="203"/>
      <c r="AO2" s="203"/>
      <c r="AP2" s="203"/>
      <c r="AQ2" s="203"/>
      <c r="AR2" s="203"/>
    </row>
    <row r="3" spans="1:44" ht="26" customHeight="1">
      <c r="A3" s="203"/>
      <c r="B3" s="203"/>
      <c r="C3" s="203"/>
      <c r="D3" s="203"/>
      <c r="E3" s="203"/>
      <c r="F3" s="203"/>
      <c r="G3" s="203"/>
      <c r="H3" s="203"/>
      <c r="I3" s="203"/>
      <c r="J3" s="203"/>
      <c r="K3" s="203"/>
      <c r="L3" s="203"/>
      <c r="M3" s="203"/>
      <c r="N3" s="203"/>
      <c r="O3" s="203"/>
      <c r="P3" s="203"/>
      <c r="Q3" s="203"/>
      <c r="R3" s="203"/>
      <c r="S3" s="203"/>
      <c r="T3" s="203"/>
      <c r="U3" s="203"/>
      <c r="V3" s="203"/>
      <c r="W3" s="203"/>
      <c r="X3" s="203"/>
      <c r="Y3" s="203"/>
      <c r="Z3" s="203"/>
      <c r="AA3" s="203"/>
      <c r="AB3" s="203"/>
      <c r="AC3" s="203"/>
      <c r="AD3" s="203"/>
      <c r="AE3" s="203"/>
      <c r="AF3" s="203"/>
      <c r="AG3" s="203"/>
      <c r="AH3" s="203"/>
      <c r="AI3" s="203"/>
      <c r="AJ3" s="203"/>
      <c r="AK3" s="203"/>
      <c r="AL3" s="203"/>
      <c r="AM3" s="203"/>
      <c r="AN3" s="203"/>
      <c r="AO3" s="203"/>
      <c r="AP3" s="203"/>
      <c r="AQ3" s="203"/>
      <c r="AR3" s="203"/>
    </row>
    <row r="4" spans="1:44" ht="26" customHeight="1">
      <c r="A4" s="203"/>
      <c r="B4" s="203"/>
      <c r="C4" s="203"/>
      <c r="D4" s="203"/>
      <c r="E4" s="203"/>
      <c r="F4" s="203"/>
      <c r="G4" s="203"/>
      <c r="H4" s="203"/>
      <c r="I4" s="203"/>
      <c r="J4" s="203"/>
      <c r="K4" s="203"/>
      <c r="L4" s="203"/>
      <c r="M4" s="203"/>
      <c r="N4" s="203"/>
      <c r="O4" s="203"/>
      <c r="P4" s="203"/>
      <c r="Q4" s="203"/>
      <c r="R4" s="203"/>
      <c r="S4" s="203"/>
      <c r="T4" s="203"/>
      <c r="U4" s="203"/>
      <c r="V4" s="203"/>
      <c r="W4" s="203"/>
      <c r="X4" s="203"/>
      <c r="Y4" s="203"/>
      <c r="Z4" s="203"/>
      <c r="AA4" s="203"/>
      <c r="AB4" s="203"/>
      <c r="AC4" s="203"/>
      <c r="AD4" s="203"/>
      <c r="AE4" s="203"/>
      <c r="AF4" s="203"/>
      <c r="AG4" s="203"/>
      <c r="AH4" s="203"/>
      <c r="AI4" s="203"/>
      <c r="AJ4" s="203"/>
      <c r="AK4" s="203"/>
      <c r="AL4" s="203"/>
      <c r="AM4" s="203"/>
      <c r="AN4" s="203"/>
      <c r="AO4" s="203"/>
      <c r="AP4" s="203"/>
      <c r="AQ4" s="203"/>
      <c r="AR4" s="203"/>
    </row>
    <row r="5" spans="1:44" ht="26" customHeight="1">
      <c r="A5" s="203"/>
      <c r="B5" s="203"/>
      <c r="C5" s="203"/>
      <c r="D5" s="203"/>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row>
    <row r="6" spans="1:44" ht="26" customHeight="1">
      <c r="A6" s="203"/>
      <c r="B6" s="203"/>
      <c r="C6" s="203"/>
      <c r="D6" s="203"/>
      <c r="E6" s="203"/>
      <c r="F6" s="203"/>
      <c r="G6" s="203"/>
      <c r="H6" s="203"/>
      <c r="I6" s="203"/>
      <c r="J6" s="203"/>
      <c r="K6" s="203"/>
      <c r="L6" s="203"/>
      <c r="M6" s="203"/>
      <c r="N6" s="203"/>
      <c r="O6" s="203"/>
      <c r="P6" s="203"/>
      <c r="Q6" s="203"/>
      <c r="R6" s="203"/>
      <c r="S6" s="203"/>
      <c r="T6" s="203"/>
      <c r="U6" s="203"/>
      <c r="V6" s="203"/>
      <c r="W6" s="203"/>
      <c r="X6" s="203"/>
      <c r="Y6" s="203"/>
      <c r="Z6" s="203"/>
      <c r="AA6" s="203"/>
      <c r="AB6" s="203"/>
      <c r="AC6" s="203"/>
      <c r="AD6" s="203"/>
      <c r="AE6" s="203"/>
      <c r="AF6" s="203"/>
      <c r="AG6" s="203"/>
      <c r="AH6" s="203"/>
      <c r="AI6" s="203"/>
      <c r="AJ6" s="203"/>
      <c r="AK6" s="203"/>
      <c r="AL6" s="203"/>
      <c r="AM6" s="203"/>
      <c r="AN6" s="203"/>
      <c r="AO6" s="203"/>
      <c r="AP6" s="203"/>
      <c r="AQ6" s="203"/>
      <c r="AR6" s="203"/>
    </row>
    <row r="7" spans="1:44" ht="26" customHeight="1">
      <c r="A7" s="203"/>
      <c r="B7" s="203"/>
      <c r="C7" s="203"/>
      <c r="D7" s="203"/>
      <c r="E7" s="203"/>
      <c r="F7" s="203"/>
      <c r="G7" s="203"/>
      <c r="H7" s="203"/>
      <c r="I7" s="203"/>
      <c r="J7" s="203"/>
      <c r="K7" s="203"/>
      <c r="L7" s="203"/>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row>
    <row r="8" spans="1:44">
      <c r="A8" t="s">
        <v>183</v>
      </c>
      <c r="K8" t="s">
        <v>183</v>
      </c>
      <c r="U8" t="s">
        <v>183</v>
      </c>
      <c r="AE8" t="s">
        <v>183</v>
      </c>
      <c r="AO8" t="s">
        <v>183</v>
      </c>
    </row>
    <row r="9" spans="1:44" ht="15" thickBot="1">
      <c r="A9" s="204" t="s">
        <v>23</v>
      </c>
      <c r="B9" s="204"/>
      <c r="K9" s="204" t="s">
        <v>277</v>
      </c>
      <c r="L9" s="204"/>
      <c r="U9" s="204" t="s">
        <v>276</v>
      </c>
      <c r="V9" s="204"/>
      <c r="W9" s="144"/>
      <c r="AE9" s="204" t="s">
        <v>275</v>
      </c>
      <c r="AF9" s="204"/>
      <c r="AO9" s="204" t="s">
        <v>204</v>
      </c>
      <c r="AP9" s="204"/>
    </row>
    <row r="10" spans="1:44">
      <c r="A10" s="128" t="s">
        <v>184</v>
      </c>
      <c r="B10" s="128"/>
      <c r="K10" s="128" t="s">
        <v>184</v>
      </c>
      <c r="L10" s="128"/>
      <c r="U10" s="128" t="s">
        <v>184</v>
      </c>
      <c r="V10" s="128"/>
      <c r="AE10" s="128" t="s">
        <v>184</v>
      </c>
      <c r="AF10" s="128"/>
      <c r="AO10" s="128" t="s">
        <v>184</v>
      </c>
      <c r="AP10" s="128"/>
    </row>
    <row r="11" spans="1:44">
      <c r="A11" t="s">
        <v>185</v>
      </c>
      <c r="B11">
        <v>0.11015661899092269</v>
      </c>
      <c r="K11" t="s">
        <v>185</v>
      </c>
      <c r="L11">
        <v>0.12995789515297979</v>
      </c>
      <c r="U11" t="s">
        <v>185</v>
      </c>
      <c r="V11">
        <v>0.15545170658149529</v>
      </c>
      <c r="AE11" t="s">
        <v>185</v>
      </c>
      <c r="AF11">
        <v>0.37117513686900011</v>
      </c>
      <c r="AO11" t="s">
        <v>185</v>
      </c>
      <c r="AP11">
        <v>0.25619268426684283</v>
      </c>
    </row>
    <row r="12" spans="1:44">
      <c r="A12" t="s">
        <v>186</v>
      </c>
      <c r="B12">
        <v>1.2134480707511308E-2</v>
      </c>
      <c r="K12" t="s">
        <v>186</v>
      </c>
      <c r="L12">
        <v>1.6889054512592889E-2</v>
      </c>
      <c r="U12" t="s">
        <v>186</v>
      </c>
      <c r="V12">
        <v>2.4165233079099305E-2</v>
      </c>
      <c r="AE12" t="s">
        <v>186</v>
      </c>
      <c r="AF12">
        <v>0.13777098222972098</v>
      </c>
      <c r="AO12" t="s">
        <v>186</v>
      </c>
      <c r="AP12">
        <v>6.5634691471850221E-2</v>
      </c>
    </row>
    <row r="13" spans="1:44">
      <c r="A13" t="s">
        <v>187</v>
      </c>
      <c r="B13">
        <v>-1.3861980326501553E-2</v>
      </c>
      <c r="K13" t="s">
        <v>187</v>
      </c>
      <c r="L13">
        <v>-8.9822861581283497E-3</v>
      </c>
      <c r="U13" t="s">
        <v>187</v>
      </c>
      <c r="V13">
        <v>-1.5146292082928198E-3</v>
      </c>
      <c r="AE13" t="s">
        <v>187</v>
      </c>
      <c r="AF13">
        <v>0.1150807449199768</v>
      </c>
      <c r="AO13" t="s">
        <v>187</v>
      </c>
      <c r="AP13">
        <v>4.1046130721109429E-2</v>
      </c>
    </row>
    <row r="14" spans="1:44">
      <c r="A14" t="s">
        <v>188</v>
      </c>
      <c r="B14">
        <v>7.0503877238606988E-3</v>
      </c>
      <c r="K14" t="s">
        <v>188</v>
      </c>
      <c r="L14">
        <v>7.0334005833304096E-3</v>
      </c>
      <c r="U14" t="s">
        <v>188</v>
      </c>
      <c r="V14">
        <v>7.0073245224179992E-3</v>
      </c>
      <c r="AE14" t="s">
        <v>188</v>
      </c>
      <c r="AF14">
        <v>6.5868140737755749E-3</v>
      </c>
      <c r="AO14" t="s">
        <v>188</v>
      </c>
      <c r="AP14">
        <v>6.8568151260413497E-3</v>
      </c>
    </row>
    <row r="15" spans="1:44" ht="15" thickBot="1">
      <c r="A15" s="65" t="s">
        <v>118</v>
      </c>
      <c r="B15" s="65">
        <v>40</v>
      </c>
      <c r="K15" s="65" t="s">
        <v>118</v>
      </c>
      <c r="L15" s="65">
        <v>40</v>
      </c>
      <c r="U15" s="65" t="s">
        <v>118</v>
      </c>
      <c r="V15" s="65">
        <v>40</v>
      </c>
      <c r="AE15" s="65" t="s">
        <v>118</v>
      </c>
      <c r="AF15" s="65">
        <v>40</v>
      </c>
      <c r="AO15" s="65" t="s">
        <v>118</v>
      </c>
      <c r="AP15" s="65">
        <v>40</v>
      </c>
    </row>
    <row r="17" spans="1:49" ht="15" thickBot="1">
      <c r="A17" t="s">
        <v>189</v>
      </c>
      <c r="K17" t="s">
        <v>189</v>
      </c>
      <c r="U17" t="s">
        <v>189</v>
      </c>
      <c r="AE17" t="s">
        <v>189</v>
      </c>
      <c r="AO17" t="s">
        <v>189</v>
      </c>
    </row>
    <row r="18" spans="1:49">
      <c r="A18" s="67"/>
      <c r="B18" s="67" t="s">
        <v>120</v>
      </c>
      <c r="C18" s="67" t="s">
        <v>193</v>
      </c>
      <c r="D18" s="67" t="s">
        <v>194</v>
      </c>
      <c r="E18" s="67" t="s">
        <v>195</v>
      </c>
      <c r="F18" s="67" t="s">
        <v>196</v>
      </c>
      <c r="K18" s="67"/>
      <c r="L18" s="67" t="s">
        <v>120</v>
      </c>
      <c r="M18" s="67" t="s">
        <v>193</v>
      </c>
      <c r="N18" s="67" t="s">
        <v>194</v>
      </c>
      <c r="O18" s="67" t="s">
        <v>195</v>
      </c>
      <c r="P18" s="67" t="s">
        <v>196</v>
      </c>
      <c r="U18" s="67"/>
      <c r="V18" s="67" t="s">
        <v>120</v>
      </c>
      <c r="W18" s="67" t="s">
        <v>193</v>
      </c>
      <c r="X18" s="67" t="s">
        <v>194</v>
      </c>
      <c r="Y18" s="67" t="s">
        <v>195</v>
      </c>
      <c r="Z18" s="67" t="s">
        <v>196</v>
      </c>
      <c r="AE18" s="67"/>
      <c r="AF18" s="67" t="s">
        <v>120</v>
      </c>
      <c r="AG18" s="67" t="s">
        <v>193</v>
      </c>
      <c r="AH18" s="67" t="s">
        <v>194</v>
      </c>
      <c r="AI18" s="67" t="s">
        <v>195</v>
      </c>
      <c r="AJ18" s="67" t="s">
        <v>196</v>
      </c>
      <c r="AO18" s="67"/>
      <c r="AP18" s="67" t="s">
        <v>120</v>
      </c>
      <c r="AQ18" s="67" t="s">
        <v>193</v>
      </c>
      <c r="AR18" s="67" t="s">
        <v>194</v>
      </c>
      <c r="AS18" s="67" t="s">
        <v>195</v>
      </c>
      <c r="AT18" s="67" t="s">
        <v>196</v>
      </c>
    </row>
    <row r="19" spans="1:49">
      <c r="A19" t="s">
        <v>190</v>
      </c>
      <c r="B19">
        <v>1</v>
      </c>
      <c r="C19">
        <v>2.3202403068277267E-5</v>
      </c>
      <c r="D19">
        <v>2.3202403068277267E-5</v>
      </c>
      <c r="E19">
        <v>0.46677433099970711</v>
      </c>
      <c r="F19">
        <v>0.49861956555870224</v>
      </c>
      <c r="K19" t="s">
        <v>190</v>
      </c>
      <c r="L19">
        <v>1</v>
      </c>
      <c r="M19">
        <v>3.2293648132854973E-5</v>
      </c>
      <c r="N19">
        <v>3.2293648132854973E-5</v>
      </c>
      <c r="O19">
        <v>0.65280940510772745</v>
      </c>
      <c r="P19">
        <v>0.42413927565521869</v>
      </c>
      <c r="U19" t="s">
        <v>190</v>
      </c>
      <c r="V19">
        <v>1</v>
      </c>
      <c r="W19">
        <v>4.6206466651107538E-5</v>
      </c>
      <c r="X19">
        <v>4.6206466651107538E-5</v>
      </c>
      <c r="Y19">
        <v>0.94101879553160828</v>
      </c>
      <c r="Z19">
        <v>0.33815026899622025</v>
      </c>
      <c r="AE19" t="s">
        <v>190</v>
      </c>
      <c r="AF19">
        <v>1</v>
      </c>
      <c r="AG19">
        <v>2.6343260481082867E-4</v>
      </c>
      <c r="AH19">
        <v>2.6343260481082867E-4</v>
      </c>
      <c r="AI19">
        <v>6.07181759930541</v>
      </c>
      <c r="AJ19">
        <v>1.8373342635600452E-2</v>
      </c>
      <c r="AO19" t="s">
        <v>190</v>
      </c>
      <c r="AP19">
        <v>1</v>
      </c>
      <c r="AQ19">
        <v>1.2550043166241281E-4</v>
      </c>
      <c r="AR19">
        <v>1.2550043166241281E-4</v>
      </c>
      <c r="AS19">
        <v>2.6693181490857629</v>
      </c>
      <c r="AT19">
        <v>0.110559151520789</v>
      </c>
    </row>
    <row r="20" spans="1:49">
      <c r="A20" t="s">
        <v>191</v>
      </c>
      <c r="B20">
        <v>38</v>
      </c>
      <c r="C20">
        <v>1.8889027481570947E-3</v>
      </c>
      <c r="D20">
        <v>4.970796705676565E-5</v>
      </c>
      <c r="K20" t="s">
        <v>191</v>
      </c>
      <c r="L20">
        <v>38</v>
      </c>
      <c r="M20">
        <v>1.879811503092517E-3</v>
      </c>
      <c r="N20">
        <v>4.9468723765592551E-5</v>
      </c>
      <c r="U20" t="s">
        <v>191</v>
      </c>
      <c r="V20">
        <v>38</v>
      </c>
      <c r="W20">
        <v>1.8658986845742644E-3</v>
      </c>
      <c r="X20">
        <v>4.910259696248064E-5</v>
      </c>
      <c r="AE20" t="s">
        <v>191</v>
      </c>
      <c r="AF20">
        <v>38</v>
      </c>
      <c r="AG20">
        <v>1.6486725464145433E-3</v>
      </c>
      <c r="AH20">
        <v>4.3386119642487982E-5</v>
      </c>
      <c r="AO20" t="s">
        <v>191</v>
      </c>
      <c r="AP20">
        <v>38</v>
      </c>
      <c r="AQ20">
        <v>1.7866047195629591E-3</v>
      </c>
      <c r="AR20">
        <v>4.7015913672709454E-5</v>
      </c>
    </row>
    <row r="21" spans="1:49" ht="15" thickBot="1">
      <c r="A21" s="65" t="s">
        <v>167</v>
      </c>
      <c r="B21" s="65">
        <v>39</v>
      </c>
      <c r="C21" s="65">
        <v>1.9121051512253719E-3</v>
      </c>
      <c r="D21" s="65"/>
      <c r="E21" s="65"/>
      <c r="F21" s="65"/>
      <c r="K21" s="65" t="s">
        <v>167</v>
      </c>
      <c r="L21" s="65">
        <v>39</v>
      </c>
      <c r="M21" s="65">
        <v>1.9121051512253719E-3</v>
      </c>
      <c r="N21" s="65"/>
      <c r="O21" s="65"/>
      <c r="P21" s="65"/>
      <c r="U21" s="65" t="s">
        <v>167</v>
      </c>
      <c r="V21" s="65">
        <v>39</v>
      </c>
      <c r="W21" s="65">
        <v>1.9121051512253719E-3</v>
      </c>
      <c r="X21" s="65"/>
      <c r="Y21" s="65"/>
      <c r="Z21" s="65"/>
      <c r="AE21" s="65" t="s">
        <v>167</v>
      </c>
      <c r="AF21" s="65">
        <v>39</v>
      </c>
      <c r="AG21" s="65">
        <v>1.9121051512253719E-3</v>
      </c>
      <c r="AH21" s="65"/>
      <c r="AI21" s="65"/>
      <c r="AJ21" s="65"/>
      <c r="AO21" s="65" t="s">
        <v>167</v>
      </c>
      <c r="AP21" s="65">
        <v>39</v>
      </c>
      <c r="AQ21" s="65">
        <v>1.9121051512253719E-3</v>
      </c>
      <c r="AR21" s="65"/>
      <c r="AS21" s="65"/>
      <c r="AT21" s="65"/>
    </row>
    <row r="22" spans="1:49" ht="15" thickBot="1"/>
    <row r="23" spans="1:49">
      <c r="A23" s="67"/>
      <c r="B23" s="67" t="s">
        <v>197</v>
      </c>
      <c r="C23" s="67" t="s">
        <v>188</v>
      </c>
      <c r="D23" s="67" t="s">
        <v>121</v>
      </c>
      <c r="E23" s="67" t="s">
        <v>198</v>
      </c>
      <c r="F23" s="67" t="s">
        <v>199</v>
      </c>
      <c r="G23" s="67" t="s">
        <v>200</v>
      </c>
      <c r="H23" s="67" t="s">
        <v>201</v>
      </c>
      <c r="I23" s="67" t="s">
        <v>202</v>
      </c>
      <c r="J23" s="129"/>
      <c r="K23" s="67"/>
      <c r="L23" s="67" t="s">
        <v>197</v>
      </c>
      <c r="M23" s="67" t="s">
        <v>188</v>
      </c>
      <c r="N23" s="67" t="s">
        <v>121</v>
      </c>
      <c r="O23" s="67" t="s">
        <v>198</v>
      </c>
      <c r="P23" s="67" t="s">
        <v>199</v>
      </c>
      <c r="Q23" s="67" t="s">
        <v>200</v>
      </c>
      <c r="R23" s="67" t="s">
        <v>201</v>
      </c>
      <c r="S23" s="67" t="s">
        <v>202</v>
      </c>
      <c r="U23" s="67"/>
      <c r="V23" s="67" t="s">
        <v>197</v>
      </c>
      <c r="W23" s="67" t="s">
        <v>188</v>
      </c>
      <c r="X23" s="67" t="s">
        <v>121</v>
      </c>
      <c r="Y23" s="67" t="s">
        <v>198</v>
      </c>
      <c r="Z23" s="67" t="s">
        <v>199</v>
      </c>
      <c r="AA23" s="67" t="s">
        <v>200</v>
      </c>
      <c r="AB23" s="67" t="s">
        <v>201</v>
      </c>
      <c r="AC23" s="67" t="s">
        <v>202</v>
      </c>
      <c r="AE23" s="67"/>
      <c r="AF23" s="67" t="s">
        <v>197</v>
      </c>
      <c r="AG23" s="67" t="s">
        <v>188</v>
      </c>
      <c r="AH23" s="67" t="s">
        <v>121</v>
      </c>
      <c r="AI23" s="67" t="s">
        <v>198</v>
      </c>
      <c r="AJ23" s="67" t="s">
        <v>199</v>
      </c>
      <c r="AK23" s="67" t="s">
        <v>200</v>
      </c>
      <c r="AL23" s="67" t="s">
        <v>201</v>
      </c>
      <c r="AM23" s="67" t="s">
        <v>202</v>
      </c>
      <c r="AO23" s="67"/>
      <c r="AP23" s="67" t="s">
        <v>197</v>
      </c>
      <c r="AQ23" s="67" t="s">
        <v>188</v>
      </c>
      <c r="AR23" s="67" t="s">
        <v>121</v>
      </c>
      <c r="AS23" s="67" t="s">
        <v>198</v>
      </c>
      <c r="AT23" s="67" t="s">
        <v>199</v>
      </c>
      <c r="AU23" s="67" t="s">
        <v>200</v>
      </c>
      <c r="AV23" s="67" t="s">
        <v>201</v>
      </c>
      <c r="AW23" s="67" t="s">
        <v>202</v>
      </c>
    </row>
    <row r="24" spans="1:49">
      <c r="A24" t="s">
        <v>192</v>
      </c>
      <c r="B24">
        <v>3.7314017742145779E-3</v>
      </c>
      <c r="C24">
        <v>1.1147651367144611E-3</v>
      </c>
      <c r="D24">
        <v>3.3472537410096175</v>
      </c>
      <c r="E24">
        <v>1.8494111155064879E-3</v>
      </c>
      <c r="F24">
        <v>1.4746777373172934E-3</v>
      </c>
      <c r="G24">
        <v>5.9881258111118621E-3</v>
      </c>
      <c r="H24">
        <v>1.4746777373172934E-3</v>
      </c>
      <c r="I24">
        <v>5.9881258111118621E-3</v>
      </c>
      <c r="K24" t="s">
        <v>192</v>
      </c>
      <c r="L24">
        <v>3.5083004833974065E-3</v>
      </c>
      <c r="M24">
        <v>1.1461447799899567E-3</v>
      </c>
      <c r="N24">
        <v>3.0609575200684058</v>
      </c>
      <c r="O24">
        <v>4.0362374039280245E-3</v>
      </c>
      <c r="P24">
        <v>1.188051679787569E-3</v>
      </c>
      <c r="Q24">
        <v>5.8285492870072441E-3</v>
      </c>
      <c r="R24">
        <v>1.188051679787569E-3</v>
      </c>
      <c r="S24">
        <v>5.8285492870072441E-3</v>
      </c>
      <c r="U24" t="s">
        <v>192</v>
      </c>
      <c r="V24">
        <v>3.9987142124992625E-3</v>
      </c>
      <c r="W24">
        <v>1.1414611980375381E-3</v>
      </c>
      <c r="X24">
        <v>3.5031538692459003</v>
      </c>
      <c r="Y24">
        <v>1.1943366020711037E-3</v>
      </c>
      <c r="Z24">
        <v>1.6879468248601048E-3</v>
      </c>
      <c r="AA24">
        <v>6.3094816001384203E-3</v>
      </c>
      <c r="AB24">
        <v>1.6879468248601048E-3</v>
      </c>
      <c r="AC24">
        <v>6.3094816001384203E-3</v>
      </c>
      <c r="AE24" t="s">
        <v>192</v>
      </c>
      <c r="AF24">
        <v>3.3036861911938729E-3</v>
      </c>
      <c r="AG24">
        <v>1.0558992463033103E-3</v>
      </c>
      <c r="AH24">
        <v>3.1287892313211092</v>
      </c>
      <c r="AI24">
        <v>3.3643020306431334E-3</v>
      </c>
      <c r="AJ24">
        <v>1.1661299192984036E-3</v>
      </c>
      <c r="AK24">
        <v>5.4412424630893418E-3</v>
      </c>
      <c r="AL24">
        <v>1.1661299192984036E-3</v>
      </c>
      <c r="AM24">
        <v>5.4412424630893418E-3</v>
      </c>
      <c r="AO24" t="s">
        <v>192</v>
      </c>
      <c r="AP24">
        <v>4.2151921228646451E-3</v>
      </c>
      <c r="AQ24">
        <v>1.1237077925272672E-3</v>
      </c>
      <c r="AR24">
        <v>3.7511461172521519</v>
      </c>
      <c r="AS24">
        <v>5.8642774904481623E-4</v>
      </c>
      <c r="AT24">
        <v>1.9403646257300424E-3</v>
      </c>
      <c r="AU24">
        <v>6.4900196199992478E-3</v>
      </c>
      <c r="AV24">
        <v>1.9403646257300424E-3</v>
      </c>
      <c r="AW24">
        <v>6.4900196199992478E-3</v>
      </c>
    </row>
    <row r="25" spans="1:49" ht="15" thickBot="1">
      <c r="A25" s="65" t="s">
        <v>16</v>
      </c>
      <c r="B25" s="65">
        <v>1.7341941246615873E-2</v>
      </c>
      <c r="C25" s="65">
        <v>2.5383074704815833E-2</v>
      </c>
      <c r="D25" s="65">
        <v>0.68320884874225474</v>
      </c>
      <c r="E25" s="65">
        <v>0.4986195655586978</v>
      </c>
      <c r="F25" s="65">
        <v>-3.4043407047954853E-2</v>
      </c>
      <c r="G25" s="65">
        <v>6.8727289541186593E-2</v>
      </c>
      <c r="H25" s="65">
        <v>-3.4043407047954853E-2</v>
      </c>
      <c r="I25" s="65">
        <v>6.8727289541186593E-2</v>
      </c>
      <c r="K25" s="65" t="s">
        <v>16</v>
      </c>
      <c r="L25" s="65">
        <v>4.3473512368351806E-2</v>
      </c>
      <c r="M25" s="65">
        <v>5.3806101720264773E-2</v>
      </c>
      <c r="N25" s="65">
        <v>0.80796621532569701</v>
      </c>
      <c r="O25" s="65">
        <v>0.42413927565521758</v>
      </c>
      <c r="P25" s="65">
        <v>-6.545124593700602E-2</v>
      </c>
      <c r="Q25" s="65">
        <v>0.15239827067370965</v>
      </c>
      <c r="R25" s="65">
        <v>-6.545124593700602E-2</v>
      </c>
      <c r="S25" s="65">
        <v>0.15239827067370965</v>
      </c>
      <c r="U25" s="65" t="s">
        <v>16</v>
      </c>
      <c r="V25" s="65">
        <v>-3.3677986717424946E-2</v>
      </c>
      <c r="W25" s="65">
        <v>3.4717382342482984E-2</v>
      </c>
      <c r="X25" s="65">
        <v>-0.97006123287739499</v>
      </c>
      <c r="Y25" s="65">
        <v>0.33815026899621947</v>
      </c>
      <c r="Z25" s="65">
        <v>-0.10395965291784799</v>
      </c>
      <c r="AA25" s="65">
        <v>3.66036794829981E-2</v>
      </c>
      <c r="AB25" s="65">
        <v>-0.10395965291784799</v>
      </c>
      <c r="AC25" s="65">
        <v>3.66036794829981E-2</v>
      </c>
      <c r="AE25" s="65" t="s">
        <v>16</v>
      </c>
      <c r="AF25" s="65">
        <v>0.11006620958203345</v>
      </c>
      <c r="AG25" s="65">
        <v>4.4667809197772489E-2</v>
      </c>
      <c r="AH25" s="65">
        <v>2.4641058417416692</v>
      </c>
      <c r="AI25" s="65">
        <v>1.8373342635600341E-2</v>
      </c>
      <c r="AJ25" s="65">
        <v>1.96409573273294E-2</v>
      </c>
      <c r="AK25" s="65">
        <v>0.20049146183673749</v>
      </c>
      <c r="AL25" s="65">
        <v>1.96409573273294E-2</v>
      </c>
      <c r="AM25" s="65">
        <v>0.20049146183673749</v>
      </c>
      <c r="AO25" s="65" t="s">
        <v>16</v>
      </c>
      <c r="AP25" s="65">
        <v>-7.0481635060343259E-2</v>
      </c>
      <c r="AQ25" s="65">
        <v>4.3139568898192628E-2</v>
      </c>
      <c r="AR25" s="65">
        <v>-1.6338048075231497</v>
      </c>
      <c r="AS25" s="65">
        <v>0.11055915152078961</v>
      </c>
      <c r="AT25" s="65">
        <v>-0.15781312657152274</v>
      </c>
      <c r="AU25" s="65">
        <v>1.684985645083624E-2</v>
      </c>
      <c r="AV25" s="65">
        <v>-0.15781312657152274</v>
      </c>
      <c r="AW25" s="65">
        <v>1.684985645083624E-2</v>
      </c>
    </row>
    <row r="28" spans="1:49">
      <c r="B28" t="s">
        <v>183</v>
      </c>
      <c r="K28" t="s">
        <v>183</v>
      </c>
      <c r="U28" t="s">
        <v>183</v>
      </c>
      <c r="AE28" t="s">
        <v>183</v>
      </c>
      <c r="AO28" t="s">
        <v>183</v>
      </c>
    </row>
    <row r="29" spans="1:49" ht="15" thickBot="1">
      <c r="A29" s="204" t="s">
        <v>41</v>
      </c>
      <c r="B29" s="204"/>
      <c r="K29" s="204" t="s">
        <v>205</v>
      </c>
      <c r="L29" s="204"/>
      <c r="U29" s="204" t="s">
        <v>279</v>
      </c>
      <c r="V29" s="204"/>
      <c r="AE29" s="204" t="s">
        <v>206</v>
      </c>
      <c r="AF29" s="204"/>
      <c r="AO29" s="204" t="s">
        <v>207</v>
      </c>
      <c r="AP29" s="204"/>
    </row>
    <row r="30" spans="1:49">
      <c r="A30" s="128" t="s">
        <v>184</v>
      </c>
      <c r="B30" s="128"/>
      <c r="K30" s="128" t="s">
        <v>184</v>
      </c>
      <c r="L30" s="128"/>
      <c r="U30" s="128" t="s">
        <v>184</v>
      </c>
      <c r="V30" s="128"/>
      <c r="AE30" s="128" t="s">
        <v>184</v>
      </c>
      <c r="AF30" s="128"/>
      <c r="AO30" s="128" t="s">
        <v>184</v>
      </c>
      <c r="AP30" s="128"/>
    </row>
    <row r="31" spans="1:49">
      <c r="A31" t="s">
        <v>185</v>
      </c>
      <c r="B31">
        <v>0.13687461651110797</v>
      </c>
      <c r="K31" t="s">
        <v>185</v>
      </c>
      <c r="L31">
        <v>0.31446144176631419</v>
      </c>
      <c r="U31" t="s">
        <v>185</v>
      </c>
      <c r="V31">
        <v>4.142544307884747E-3</v>
      </c>
      <c r="AE31" t="s">
        <v>185</v>
      </c>
      <c r="AF31">
        <v>7.7791053495637655E-2</v>
      </c>
      <c r="AO31" t="s">
        <v>185</v>
      </c>
      <c r="AP31">
        <v>0.14315851810967789</v>
      </c>
    </row>
    <row r="32" spans="1:49">
      <c r="A32" t="s">
        <v>186</v>
      </c>
      <c r="B32">
        <v>1.8734660645062868E-2</v>
      </c>
      <c r="K32" t="s">
        <v>186</v>
      </c>
      <c r="L32">
        <v>9.8885998357749014E-2</v>
      </c>
      <c r="U32" t="s">
        <v>186</v>
      </c>
      <c r="V32">
        <v>1.7160673342788317E-5</v>
      </c>
      <c r="AE32" t="s">
        <v>186</v>
      </c>
      <c r="AF32">
        <v>6.0514480039611587E-3</v>
      </c>
      <c r="AO32" t="s">
        <v>186</v>
      </c>
      <c r="AP32">
        <v>2.0494361307358974E-2</v>
      </c>
    </row>
    <row r="33" spans="1:49">
      <c r="A33" t="s">
        <v>187</v>
      </c>
      <c r="B33">
        <v>-7.08811144322495E-3</v>
      </c>
      <c r="K33" t="s">
        <v>187</v>
      </c>
      <c r="L33">
        <v>7.5172471998742413E-2</v>
      </c>
      <c r="U33" t="s">
        <v>187</v>
      </c>
      <c r="V33">
        <v>-2.6298177203674507E-2</v>
      </c>
      <c r="AE33" t="s">
        <v>187</v>
      </c>
      <c r="AF33">
        <v>-2.0105092838039861E-2</v>
      </c>
      <c r="AO33" t="s">
        <v>187</v>
      </c>
      <c r="AP33">
        <v>-5.2821028687631572E-3</v>
      </c>
    </row>
    <row r="34" spans="1:49">
      <c r="A34" t="s">
        <v>188</v>
      </c>
      <c r="B34">
        <v>7.0267955377208676E-3</v>
      </c>
      <c r="K34" t="s">
        <v>188</v>
      </c>
      <c r="L34">
        <v>6.7337029860824104E-3</v>
      </c>
      <c r="U34" t="s">
        <v>188</v>
      </c>
      <c r="V34">
        <v>7.0934965363268427E-3</v>
      </c>
      <c r="AE34" t="s">
        <v>188</v>
      </c>
      <c r="AF34">
        <v>7.072061685408788E-3</v>
      </c>
      <c r="AO34" t="s">
        <v>188</v>
      </c>
      <c r="AP34">
        <v>7.0204921431149961E-3</v>
      </c>
    </row>
    <row r="35" spans="1:49" ht="15" thickBot="1">
      <c r="A35" s="65" t="s">
        <v>118</v>
      </c>
      <c r="B35" s="65">
        <v>40</v>
      </c>
      <c r="K35" s="65" t="s">
        <v>118</v>
      </c>
      <c r="L35" s="65">
        <v>40</v>
      </c>
      <c r="U35" s="65" t="s">
        <v>118</v>
      </c>
      <c r="V35" s="65">
        <v>40</v>
      </c>
      <c r="AE35" s="65" t="s">
        <v>118</v>
      </c>
      <c r="AF35" s="65">
        <v>40</v>
      </c>
      <c r="AO35" s="65" t="s">
        <v>118</v>
      </c>
      <c r="AP35" s="65">
        <v>40</v>
      </c>
    </row>
    <row r="37" spans="1:49" ht="15" thickBot="1">
      <c r="A37" t="s">
        <v>189</v>
      </c>
      <c r="K37" t="s">
        <v>189</v>
      </c>
      <c r="U37" t="s">
        <v>189</v>
      </c>
      <c r="AE37" t="s">
        <v>189</v>
      </c>
      <c r="AO37" t="s">
        <v>189</v>
      </c>
    </row>
    <row r="38" spans="1:49">
      <c r="A38" s="67"/>
      <c r="B38" s="67" t="s">
        <v>120</v>
      </c>
      <c r="C38" s="67" t="s">
        <v>193</v>
      </c>
      <c r="D38" s="67" t="s">
        <v>194</v>
      </c>
      <c r="E38" s="67" t="s">
        <v>195</v>
      </c>
      <c r="F38" s="67" t="s">
        <v>196</v>
      </c>
      <c r="K38" s="67"/>
      <c r="L38" s="67" t="s">
        <v>120</v>
      </c>
      <c r="M38" s="67" t="s">
        <v>193</v>
      </c>
      <c r="N38" s="67" t="s">
        <v>194</v>
      </c>
      <c r="O38" s="67" t="s">
        <v>195</v>
      </c>
      <c r="P38" s="67" t="s">
        <v>196</v>
      </c>
      <c r="U38" s="67"/>
      <c r="V38" s="67" t="s">
        <v>120</v>
      </c>
      <c r="W38" s="67" t="s">
        <v>193</v>
      </c>
      <c r="X38" s="67" t="s">
        <v>194</v>
      </c>
      <c r="Y38" s="67" t="s">
        <v>195</v>
      </c>
      <c r="Z38" s="67" t="s">
        <v>196</v>
      </c>
      <c r="AE38" s="67"/>
      <c r="AF38" s="67" t="s">
        <v>120</v>
      </c>
      <c r="AG38" s="67" t="s">
        <v>193</v>
      </c>
      <c r="AH38" s="67" t="s">
        <v>194</v>
      </c>
      <c r="AI38" s="67" t="s">
        <v>195</v>
      </c>
      <c r="AJ38" s="67" t="s">
        <v>196</v>
      </c>
      <c r="AO38" s="67"/>
      <c r="AP38" s="67" t="s">
        <v>120</v>
      </c>
      <c r="AQ38" s="67" t="s">
        <v>193</v>
      </c>
      <c r="AR38" s="67" t="s">
        <v>194</v>
      </c>
      <c r="AS38" s="67" t="s">
        <v>195</v>
      </c>
      <c r="AT38" s="67" t="s">
        <v>196</v>
      </c>
    </row>
    <row r="39" spans="1:49">
      <c r="A39" t="s">
        <v>190</v>
      </c>
      <c r="B39">
        <v>1</v>
      </c>
      <c r="C39">
        <v>3.582264112588396E-5</v>
      </c>
      <c r="D39">
        <v>3.582264112588396E-5</v>
      </c>
      <c r="E39">
        <v>0.72550927456623304</v>
      </c>
      <c r="F39">
        <v>0.39967892700107754</v>
      </c>
      <c r="K39" t="s">
        <v>190</v>
      </c>
      <c r="L39">
        <v>1</v>
      </c>
      <c r="M39">
        <v>1.8908042684391557E-4</v>
      </c>
      <c r="N39">
        <v>1.8908042684391557E-4</v>
      </c>
      <c r="O39">
        <v>4.1700250254088109</v>
      </c>
      <c r="P39">
        <v>4.8130317081426968E-2</v>
      </c>
      <c r="U39" t="s">
        <v>190</v>
      </c>
      <c r="V39">
        <v>1</v>
      </c>
      <c r="W39">
        <v>3.2813011897241465E-8</v>
      </c>
      <c r="X39">
        <v>3.2813011897241465E-8</v>
      </c>
      <c r="Y39">
        <v>6.5211677778896106E-4</v>
      </c>
      <c r="Z39">
        <v>0.97976060921473807</v>
      </c>
      <c r="AE39" t="s">
        <v>190</v>
      </c>
      <c r="AF39">
        <v>1</v>
      </c>
      <c r="AG39">
        <v>1.1571004900746626E-5</v>
      </c>
      <c r="AH39">
        <v>1.1571004900746626E-5</v>
      </c>
      <c r="AI39">
        <v>0.23135505724992539</v>
      </c>
      <c r="AJ39">
        <v>0.63327893229404264</v>
      </c>
      <c r="AO39" t="s">
        <v>190</v>
      </c>
      <c r="AP39">
        <v>1</v>
      </c>
      <c r="AQ39">
        <v>3.9187373826875043E-5</v>
      </c>
      <c r="AR39">
        <v>3.9187373826875043E-5</v>
      </c>
      <c r="AS39">
        <v>0.79508039455402879</v>
      </c>
      <c r="AT39">
        <v>0.37817991902091008</v>
      </c>
    </row>
    <row r="40" spans="1:49">
      <c r="A40" t="s">
        <v>191</v>
      </c>
      <c r="B40">
        <v>38</v>
      </c>
      <c r="C40">
        <v>1.876282510099488E-3</v>
      </c>
      <c r="D40">
        <v>4.9375855528933898E-5</v>
      </c>
      <c r="K40" t="s">
        <v>191</v>
      </c>
      <c r="L40">
        <v>38</v>
      </c>
      <c r="M40">
        <v>1.7230247243814564E-3</v>
      </c>
      <c r="N40">
        <v>4.5342755904775169E-5</v>
      </c>
      <c r="U40" t="s">
        <v>191</v>
      </c>
      <c r="V40">
        <v>38</v>
      </c>
      <c r="W40">
        <v>1.9120723382134747E-3</v>
      </c>
      <c r="X40">
        <v>5.0317693110880911E-5</v>
      </c>
      <c r="AE40" t="s">
        <v>191</v>
      </c>
      <c r="AF40">
        <v>38</v>
      </c>
      <c r="AG40">
        <v>1.9005341463246253E-3</v>
      </c>
      <c r="AH40">
        <v>5.0014056482226983E-5</v>
      </c>
      <c r="AO40" t="s">
        <v>191</v>
      </c>
      <c r="AP40">
        <v>38</v>
      </c>
      <c r="AQ40">
        <v>1.8729177773984969E-3</v>
      </c>
      <c r="AR40">
        <v>4.9287309931539394E-5</v>
      </c>
    </row>
    <row r="41" spans="1:49" ht="15" thickBot="1">
      <c r="A41" s="65" t="s">
        <v>167</v>
      </c>
      <c r="B41" s="65">
        <v>39</v>
      </c>
      <c r="C41" s="65">
        <v>1.9121051512253719E-3</v>
      </c>
      <c r="D41" s="65"/>
      <c r="E41" s="65"/>
      <c r="F41" s="65"/>
      <c r="K41" s="65" t="s">
        <v>167</v>
      </c>
      <c r="L41" s="65">
        <v>39</v>
      </c>
      <c r="M41" s="65">
        <v>1.9121051512253719E-3</v>
      </c>
      <c r="N41" s="65"/>
      <c r="O41" s="65"/>
      <c r="P41" s="65"/>
      <c r="U41" s="65" t="s">
        <v>167</v>
      </c>
      <c r="V41" s="65">
        <v>39</v>
      </c>
      <c r="W41" s="65">
        <v>1.9121051512253719E-3</v>
      </c>
      <c r="X41" s="65"/>
      <c r="Y41" s="65"/>
      <c r="Z41" s="65"/>
      <c r="AE41" s="65" t="s">
        <v>167</v>
      </c>
      <c r="AF41" s="65">
        <v>39</v>
      </c>
      <c r="AG41" s="65">
        <v>1.9121051512253719E-3</v>
      </c>
      <c r="AH41" s="65"/>
      <c r="AI41" s="65"/>
      <c r="AJ41" s="65"/>
      <c r="AO41" s="65" t="s">
        <v>167</v>
      </c>
      <c r="AP41" s="65">
        <v>39</v>
      </c>
      <c r="AQ41" s="65">
        <v>1.9121051512253719E-3</v>
      </c>
      <c r="AR41" s="65"/>
      <c r="AS41" s="65"/>
      <c r="AT41" s="65"/>
    </row>
    <row r="42" spans="1:49" ht="15" thickBot="1"/>
    <row r="43" spans="1:49">
      <c r="A43" s="67"/>
      <c r="B43" s="67" t="s">
        <v>197</v>
      </c>
      <c r="C43" s="67" t="s">
        <v>188</v>
      </c>
      <c r="D43" s="67" t="s">
        <v>121</v>
      </c>
      <c r="E43" s="67" t="s">
        <v>198</v>
      </c>
      <c r="F43" s="67" t="s">
        <v>199</v>
      </c>
      <c r="G43" s="67" t="s">
        <v>200</v>
      </c>
      <c r="H43" s="67" t="s">
        <v>201</v>
      </c>
      <c r="I43" s="67" t="s">
        <v>202</v>
      </c>
      <c r="K43" s="67"/>
      <c r="L43" s="67" t="s">
        <v>197</v>
      </c>
      <c r="M43" s="67" t="s">
        <v>188</v>
      </c>
      <c r="N43" s="67" t="s">
        <v>121</v>
      </c>
      <c r="O43" s="67" t="s">
        <v>198</v>
      </c>
      <c r="P43" s="67" t="s">
        <v>199</v>
      </c>
      <c r="Q43" s="67" t="s">
        <v>200</v>
      </c>
      <c r="R43" s="67" t="s">
        <v>201</v>
      </c>
      <c r="S43" s="67" t="s">
        <v>202</v>
      </c>
      <c r="U43" s="67"/>
      <c r="V43" s="67" t="s">
        <v>197</v>
      </c>
      <c r="W43" s="67" t="s">
        <v>188</v>
      </c>
      <c r="X43" s="67" t="s">
        <v>121</v>
      </c>
      <c r="Y43" s="67" t="s">
        <v>198</v>
      </c>
      <c r="Z43" s="67" t="s">
        <v>199</v>
      </c>
      <c r="AA43" s="67" t="s">
        <v>200</v>
      </c>
      <c r="AB43" s="67" t="s">
        <v>201</v>
      </c>
      <c r="AC43" s="67" t="s">
        <v>202</v>
      </c>
      <c r="AE43" s="67"/>
      <c r="AF43" s="67" t="s">
        <v>197</v>
      </c>
      <c r="AG43" s="67" t="s">
        <v>188</v>
      </c>
      <c r="AH43" s="67" t="s">
        <v>121</v>
      </c>
      <c r="AI43" s="67" t="s">
        <v>198</v>
      </c>
      <c r="AJ43" s="67" t="s">
        <v>199</v>
      </c>
      <c r="AK43" s="67" t="s">
        <v>200</v>
      </c>
      <c r="AL43" s="67" t="s">
        <v>201</v>
      </c>
      <c r="AM43" s="67" t="s">
        <v>202</v>
      </c>
      <c r="AO43" s="67"/>
      <c r="AP43" s="67" t="s">
        <v>197</v>
      </c>
      <c r="AQ43" s="67" t="s">
        <v>188</v>
      </c>
      <c r="AR43" s="67" t="s">
        <v>121</v>
      </c>
      <c r="AS43" s="67" t="s">
        <v>198</v>
      </c>
      <c r="AT43" s="67" t="s">
        <v>199</v>
      </c>
      <c r="AU43" s="67" t="s">
        <v>200</v>
      </c>
      <c r="AV43" s="67" t="s">
        <v>201</v>
      </c>
      <c r="AW43" s="67" t="s">
        <v>202</v>
      </c>
    </row>
    <row r="44" spans="1:49">
      <c r="A44" t="s">
        <v>192</v>
      </c>
      <c r="B44">
        <v>3.6667945507511263E-3</v>
      </c>
      <c r="C44">
        <v>1.1137005106154872E-3</v>
      </c>
      <c r="D44">
        <v>3.2924421923131475</v>
      </c>
      <c r="E44">
        <v>2.1525007164663302E-3</v>
      </c>
      <c r="F44">
        <v>1.4122257367153528E-3</v>
      </c>
      <c r="G44">
        <v>5.9213633647868993E-3</v>
      </c>
      <c r="H44">
        <v>1.4122257367153528E-3</v>
      </c>
      <c r="I44">
        <v>5.9213633647868993E-3</v>
      </c>
      <c r="K44" t="s">
        <v>192</v>
      </c>
      <c r="L44">
        <v>3.2258309777781942E-3</v>
      </c>
      <c r="M44">
        <v>1.0932091083135965E-3</v>
      </c>
      <c r="N44">
        <v>2.9507904327237244</v>
      </c>
      <c r="O44">
        <v>5.4036626788089024E-3</v>
      </c>
      <c r="P44">
        <v>1.0127448389727406E-3</v>
      </c>
      <c r="Q44">
        <v>5.4389171165836478E-3</v>
      </c>
      <c r="R44">
        <v>1.0127448389727406E-3</v>
      </c>
      <c r="S44">
        <v>5.4389171165836478E-3</v>
      </c>
      <c r="U44" t="s">
        <v>192</v>
      </c>
      <c r="V44">
        <v>3.7362212670414051E-3</v>
      </c>
      <c r="W44">
        <v>1.1315199102595189E-3</v>
      </c>
      <c r="X44">
        <v>3.3019492040440426</v>
      </c>
      <c r="Y44">
        <v>2.0967394665086818E-3</v>
      </c>
      <c r="Z44">
        <v>1.445578964361839E-3</v>
      </c>
      <c r="AA44">
        <v>6.0268635697209713E-3</v>
      </c>
      <c r="AB44">
        <v>1.445578964361839E-3</v>
      </c>
      <c r="AC44">
        <v>6.0268635697209713E-3</v>
      </c>
      <c r="AE44" t="s">
        <v>192</v>
      </c>
      <c r="AF44">
        <v>3.6525826138015041E-3</v>
      </c>
      <c r="AG44">
        <v>1.1304371662576292E-3</v>
      </c>
      <c r="AH44">
        <v>3.2311239605590538</v>
      </c>
      <c r="AI44">
        <v>2.5475463298522761E-3</v>
      </c>
      <c r="AJ44">
        <v>1.3641322117603741E-3</v>
      </c>
      <c r="AK44">
        <v>5.9410330158426346E-3</v>
      </c>
      <c r="AL44">
        <v>1.3641322117603741E-3</v>
      </c>
      <c r="AM44">
        <v>5.9410330158426346E-3</v>
      </c>
      <c r="AO44" t="s">
        <v>192</v>
      </c>
      <c r="AP44">
        <v>3.8854481445830674E-3</v>
      </c>
      <c r="AQ44">
        <v>1.1232291350762244E-3</v>
      </c>
      <c r="AR44">
        <v>3.4591767816985923</v>
      </c>
      <c r="AS44">
        <v>1.3522315393944965E-3</v>
      </c>
      <c r="AT44">
        <v>1.6115896387988685E-3</v>
      </c>
      <c r="AU44">
        <v>6.1593066503672668E-3</v>
      </c>
      <c r="AV44">
        <v>1.6115896387988685E-3</v>
      </c>
      <c r="AW44">
        <v>6.1593066503672668E-3</v>
      </c>
    </row>
    <row r="45" spans="1:49" ht="15" thickBot="1">
      <c r="A45" s="65" t="s">
        <v>16</v>
      </c>
      <c r="B45" s="65">
        <v>-5.877732387574411E-3</v>
      </c>
      <c r="C45" s="65">
        <v>6.9006233678057822E-3</v>
      </c>
      <c r="D45" s="65">
        <v>-0.85176832211948073</v>
      </c>
      <c r="E45" s="65">
        <v>0.39967892700107688</v>
      </c>
      <c r="F45" s="65">
        <v>-1.9847314060715E-2</v>
      </c>
      <c r="G45" s="65">
        <v>8.09184928556618E-3</v>
      </c>
      <c r="H45" s="65">
        <v>-1.9847314060715E-2</v>
      </c>
      <c r="I45" s="65">
        <v>8.09184928556618E-3</v>
      </c>
      <c r="K45" s="65" t="s">
        <v>16</v>
      </c>
      <c r="L45" s="65">
        <v>8.0168298905616636E-2</v>
      </c>
      <c r="M45" s="65">
        <v>3.9258467077931347E-2</v>
      </c>
      <c r="N45" s="65">
        <v>2.0420639131547302</v>
      </c>
      <c r="O45" s="65">
        <v>4.8130317081426968E-2</v>
      </c>
      <c r="P45" s="65">
        <v>6.9368726892220234E-4</v>
      </c>
      <c r="Q45" s="65">
        <v>0.15964291054231106</v>
      </c>
      <c r="R45" s="65">
        <v>6.9368726892220234E-4</v>
      </c>
      <c r="S45" s="65">
        <v>0.15964291054231106</v>
      </c>
      <c r="U45" s="65" t="s">
        <v>16</v>
      </c>
      <c r="V45" s="65">
        <v>-4.1056719649085259E-4</v>
      </c>
      <c r="W45" s="65">
        <v>1.6077612611383841E-2</v>
      </c>
      <c r="X45" s="65">
        <v>-2.5536577252778702E-2</v>
      </c>
      <c r="Y45" s="65">
        <v>0.97976060921476638</v>
      </c>
      <c r="Z45" s="65">
        <v>-3.2957992336613791E-2</v>
      </c>
      <c r="AA45" s="65">
        <v>3.2136857943632087E-2</v>
      </c>
      <c r="AB45" s="65">
        <v>-3.2957992336613791E-2</v>
      </c>
      <c r="AC45" s="65">
        <v>3.2136857943632087E-2</v>
      </c>
      <c r="AE45" s="65" t="s">
        <v>16</v>
      </c>
      <c r="AF45" s="65">
        <v>-6.1315266854801527E-3</v>
      </c>
      <c r="AG45" s="65">
        <v>1.2747620445625447E-2</v>
      </c>
      <c r="AH45" s="65">
        <v>-0.48099382246545358</v>
      </c>
      <c r="AI45" s="65">
        <v>0.63327893229404064</v>
      </c>
      <c r="AJ45" s="65">
        <v>-3.1937735119369218E-2</v>
      </c>
      <c r="AK45" s="65">
        <v>1.9674681748408911E-2</v>
      </c>
      <c r="AL45" s="65">
        <v>-3.1937735119369218E-2</v>
      </c>
      <c r="AM45" s="65">
        <v>1.9674681748408911E-2</v>
      </c>
      <c r="AO45" s="65" t="s">
        <v>16</v>
      </c>
      <c r="AP45" s="65">
        <v>6.2491518991288726E-3</v>
      </c>
      <c r="AQ45" s="65">
        <v>7.0083463921004844E-3</v>
      </c>
      <c r="AR45" s="65">
        <v>0.89167280689388528</v>
      </c>
      <c r="AS45" s="65">
        <v>0.37817991902091275</v>
      </c>
      <c r="AT45" s="65">
        <v>-7.9385036357128604E-3</v>
      </c>
      <c r="AU45" s="65">
        <v>2.0436807433970607E-2</v>
      </c>
      <c r="AV45" s="65">
        <v>-7.9385036357128604E-3</v>
      </c>
      <c r="AW45" s="65">
        <v>2.0436807433970607E-2</v>
      </c>
    </row>
    <row r="48" spans="1:49">
      <c r="A48" t="s">
        <v>183</v>
      </c>
      <c r="K48" t="s">
        <v>183</v>
      </c>
      <c r="U48" t="s">
        <v>183</v>
      </c>
      <c r="AE48" t="s">
        <v>183</v>
      </c>
      <c r="AO48" t="s">
        <v>183</v>
      </c>
    </row>
    <row r="49" spans="1:49" ht="15" thickBot="1">
      <c r="A49" s="204" t="s">
        <v>208</v>
      </c>
      <c r="B49" s="204"/>
      <c r="K49" s="204" t="s">
        <v>209</v>
      </c>
      <c r="L49" s="204"/>
      <c r="U49" s="204" t="s">
        <v>278</v>
      </c>
      <c r="V49" s="204"/>
      <c r="AE49" s="204" t="s">
        <v>55</v>
      </c>
      <c r="AF49" s="204"/>
      <c r="AO49" s="204" t="s">
        <v>57</v>
      </c>
      <c r="AP49" s="204"/>
    </row>
    <row r="50" spans="1:49">
      <c r="A50" s="128" t="s">
        <v>184</v>
      </c>
      <c r="B50" s="128"/>
      <c r="K50" s="128" t="s">
        <v>184</v>
      </c>
      <c r="L50" s="128"/>
      <c r="U50" s="128" t="s">
        <v>184</v>
      </c>
      <c r="V50" s="128"/>
      <c r="AE50" s="128" t="s">
        <v>184</v>
      </c>
      <c r="AF50" s="128"/>
      <c r="AO50" s="128" t="s">
        <v>184</v>
      </c>
      <c r="AP50" s="128"/>
    </row>
    <row r="51" spans="1:49">
      <c r="A51" t="s">
        <v>185</v>
      </c>
      <c r="B51">
        <v>0.24886925348932296</v>
      </c>
      <c r="K51" t="s">
        <v>185</v>
      </c>
      <c r="L51">
        <v>0.32739462813310954</v>
      </c>
      <c r="U51" t="s">
        <v>185</v>
      </c>
      <c r="V51">
        <v>0.23314225065716143</v>
      </c>
      <c r="AE51" t="s">
        <v>185</v>
      </c>
      <c r="AF51">
        <v>0.28238574348967072</v>
      </c>
      <c r="AO51" t="s">
        <v>185</v>
      </c>
      <c r="AP51">
        <v>0.22671211117744924</v>
      </c>
    </row>
    <row r="52" spans="1:49">
      <c r="A52" t="s">
        <v>186</v>
      </c>
      <c r="B52">
        <v>6.193590533233289E-2</v>
      </c>
      <c r="K52" t="s">
        <v>186</v>
      </c>
      <c r="L52">
        <v>0.10718724253041709</v>
      </c>
      <c r="U52" t="s">
        <v>186</v>
      </c>
      <c r="V52">
        <v>5.4355309041486694E-2</v>
      </c>
      <c r="AE52" t="s">
        <v>186</v>
      </c>
      <c r="AF52">
        <v>7.9741708126214117E-2</v>
      </c>
      <c r="AO52" t="s">
        <v>186</v>
      </c>
      <c r="AP52">
        <v>5.1398381354536109E-2</v>
      </c>
    </row>
    <row r="53" spans="1:49">
      <c r="A53" t="s">
        <v>187</v>
      </c>
      <c r="B53">
        <v>3.7250008104236385E-2</v>
      </c>
      <c r="K53" t="s">
        <v>187</v>
      </c>
      <c r="L53">
        <v>8.3692169965428054E-2</v>
      </c>
      <c r="U53" t="s">
        <v>187</v>
      </c>
      <c r="V53">
        <v>2.9469922437315294E-2</v>
      </c>
      <c r="AE53" t="s">
        <v>187</v>
      </c>
      <c r="AF53">
        <v>5.5524384655851335E-2</v>
      </c>
      <c r="AO53" t="s">
        <v>187</v>
      </c>
      <c r="AP53">
        <v>2.6435180863866009E-2</v>
      </c>
    </row>
    <row r="54" spans="1:49">
      <c r="A54" t="s">
        <v>188</v>
      </c>
      <c r="B54">
        <v>6.8703734434500318E-3</v>
      </c>
      <c r="K54" t="s">
        <v>188</v>
      </c>
      <c r="L54">
        <v>6.7026151075479058E-3</v>
      </c>
      <c r="U54" t="s">
        <v>188</v>
      </c>
      <c r="V54">
        <v>6.8980776971610726E-3</v>
      </c>
      <c r="AE54" t="s">
        <v>188</v>
      </c>
      <c r="AF54">
        <v>6.8048562774368562E-3</v>
      </c>
      <c r="AO54" t="s">
        <v>188</v>
      </c>
      <c r="AP54">
        <v>6.9088540474728536E-3</v>
      </c>
    </row>
    <row r="55" spans="1:49" ht="15" thickBot="1">
      <c r="A55" s="65" t="s">
        <v>118</v>
      </c>
      <c r="B55" s="65">
        <v>40</v>
      </c>
      <c r="K55" s="65" t="s">
        <v>118</v>
      </c>
      <c r="L55" s="65">
        <v>40</v>
      </c>
      <c r="U55" s="65" t="s">
        <v>118</v>
      </c>
      <c r="V55" s="65">
        <v>40</v>
      </c>
      <c r="AE55" s="65" t="s">
        <v>118</v>
      </c>
      <c r="AF55" s="65">
        <v>40</v>
      </c>
      <c r="AO55" s="65" t="s">
        <v>118</v>
      </c>
      <c r="AP55" s="65">
        <v>40</v>
      </c>
    </row>
    <row r="57" spans="1:49" ht="15" thickBot="1">
      <c r="A57" t="s">
        <v>189</v>
      </c>
      <c r="K57" t="s">
        <v>189</v>
      </c>
      <c r="U57" t="s">
        <v>189</v>
      </c>
      <c r="AE57" t="s">
        <v>189</v>
      </c>
      <c r="AO57" t="s">
        <v>189</v>
      </c>
    </row>
    <row r="58" spans="1:49">
      <c r="A58" s="67"/>
      <c r="B58" s="67" t="s">
        <v>120</v>
      </c>
      <c r="C58" s="67" t="s">
        <v>193</v>
      </c>
      <c r="D58" s="67" t="s">
        <v>194</v>
      </c>
      <c r="E58" s="67" t="s">
        <v>195</v>
      </c>
      <c r="F58" s="67" t="s">
        <v>196</v>
      </c>
      <c r="K58" s="67"/>
      <c r="L58" s="67" t="s">
        <v>120</v>
      </c>
      <c r="M58" s="67" t="s">
        <v>193</v>
      </c>
      <c r="N58" s="67" t="s">
        <v>194</v>
      </c>
      <c r="O58" s="67" t="s">
        <v>195</v>
      </c>
      <c r="P58" s="67" t="s">
        <v>196</v>
      </c>
      <c r="U58" s="67"/>
      <c r="V58" s="67" t="s">
        <v>120</v>
      </c>
      <c r="W58" s="67" t="s">
        <v>193</v>
      </c>
      <c r="X58" s="67" t="s">
        <v>194</v>
      </c>
      <c r="Y58" s="67" t="s">
        <v>195</v>
      </c>
      <c r="Z58" s="67" t="s">
        <v>196</v>
      </c>
      <c r="AE58" s="67"/>
      <c r="AF58" s="67" t="s">
        <v>120</v>
      </c>
      <c r="AG58" s="67" t="s">
        <v>193</v>
      </c>
      <c r="AH58" s="67" t="s">
        <v>194</v>
      </c>
      <c r="AI58" s="67" t="s">
        <v>195</v>
      </c>
      <c r="AJ58" s="67" t="s">
        <v>196</v>
      </c>
      <c r="AO58" s="67"/>
      <c r="AP58" s="67" t="s">
        <v>120</v>
      </c>
      <c r="AQ58" s="67" t="s">
        <v>193</v>
      </c>
      <c r="AR58" s="67" t="s">
        <v>194</v>
      </c>
      <c r="AS58" s="67" t="s">
        <v>195</v>
      </c>
      <c r="AT58" s="67" t="s">
        <v>196</v>
      </c>
    </row>
    <row r="59" spans="1:49">
      <c r="A59" t="s">
        <v>190</v>
      </c>
      <c r="B59">
        <v>1</v>
      </c>
      <c r="C59">
        <v>1.184279636317607E-4</v>
      </c>
      <c r="D59">
        <v>1.184279636317607E-4</v>
      </c>
      <c r="E59">
        <v>2.5089590530191432</v>
      </c>
      <c r="F59">
        <v>0.12148886674563432</v>
      </c>
      <c r="K59" t="s">
        <v>190</v>
      </c>
      <c r="L59">
        <v>1</v>
      </c>
      <c r="M59">
        <v>2.0495327858805379E-4</v>
      </c>
      <c r="N59">
        <v>2.0495327858805379E-4</v>
      </c>
      <c r="O59">
        <v>4.5621158323273798</v>
      </c>
      <c r="P59">
        <v>3.9190217907773509E-2</v>
      </c>
      <c r="U59" t="s">
        <v>190</v>
      </c>
      <c r="V59">
        <v>1</v>
      </c>
      <c r="W59">
        <v>1.0393306641467374E-4</v>
      </c>
      <c r="X59">
        <v>1.0393306641467374E-4</v>
      </c>
      <c r="Y59">
        <v>2.1842260241347988</v>
      </c>
      <c r="Z59">
        <v>0.14767247105976555</v>
      </c>
      <c r="AE59" t="s">
        <v>190</v>
      </c>
      <c r="AF59">
        <v>1</v>
      </c>
      <c r="AG59">
        <v>1.5247453087564411E-4</v>
      </c>
      <c r="AH59">
        <v>1.5247453087564411E-4</v>
      </c>
      <c r="AI59">
        <v>3.292754801074619</v>
      </c>
      <c r="AJ59">
        <v>7.7486530462292424E-2</v>
      </c>
      <c r="AO59" t="s">
        <v>190</v>
      </c>
      <c r="AP59">
        <v>1</v>
      </c>
      <c r="AQ59">
        <v>9.8279109752654609E-5</v>
      </c>
      <c r="AR59">
        <v>9.8279109752654609E-5</v>
      </c>
      <c r="AS59">
        <v>2.0589660117398032</v>
      </c>
      <c r="AT59">
        <v>0.15949260509664848</v>
      </c>
    </row>
    <row r="60" spans="1:49">
      <c r="A60" t="s">
        <v>191</v>
      </c>
      <c r="B60">
        <v>38</v>
      </c>
      <c r="C60">
        <v>1.7936771875936112E-3</v>
      </c>
      <c r="D60">
        <v>4.7202031252463453E-5</v>
      </c>
      <c r="K60" t="s">
        <v>191</v>
      </c>
      <c r="L60">
        <v>38</v>
      </c>
      <c r="M60">
        <v>1.7071518726373182E-3</v>
      </c>
      <c r="N60">
        <v>4.4925049279929422E-5</v>
      </c>
      <c r="U60" t="s">
        <v>191</v>
      </c>
      <c r="V60">
        <v>38</v>
      </c>
      <c r="W60">
        <v>1.8081720848106982E-3</v>
      </c>
      <c r="X60">
        <v>4.7583475916071006E-5</v>
      </c>
      <c r="AE60" t="s">
        <v>191</v>
      </c>
      <c r="AF60">
        <v>38</v>
      </c>
      <c r="AG60">
        <v>1.7596306203497278E-3</v>
      </c>
      <c r="AH60">
        <v>4.6306068956571783E-5</v>
      </c>
      <c r="AO60" t="s">
        <v>191</v>
      </c>
      <c r="AP60">
        <v>38</v>
      </c>
      <c r="AQ60">
        <v>1.8138260414727173E-3</v>
      </c>
      <c r="AR60">
        <v>4.7732264249282032E-5</v>
      </c>
    </row>
    <row r="61" spans="1:49" ht="15" thickBot="1">
      <c r="A61" s="65" t="s">
        <v>167</v>
      </c>
      <c r="B61" s="65">
        <v>39</v>
      </c>
      <c r="C61" s="65">
        <v>1.9121051512253719E-3</v>
      </c>
      <c r="D61" s="65"/>
      <c r="E61" s="65"/>
      <c r="F61" s="65"/>
      <c r="K61" s="65" t="s">
        <v>167</v>
      </c>
      <c r="L61" s="65">
        <v>39</v>
      </c>
      <c r="M61" s="65">
        <v>1.9121051512253719E-3</v>
      </c>
      <c r="N61" s="65"/>
      <c r="O61" s="65"/>
      <c r="P61" s="65"/>
      <c r="U61" s="65" t="s">
        <v>167</v>
      </c>
      <c r="V61" s="65">
        <v>39</v>
      </c>
      <c r="W61" s="65">
        <v>1.9121051512253719E-3</v>
      </c>
      <c r="X61" s="65"/>
      <c r="Y61" s="65"/>
      <c r="Z61" s="65"/>
      <c r="AE61" s="65" t="s">
        <v>167</v>
      </c>
      <c r="AF61" s="65">
        <v>39</v>
      </c>
      <c r="AG61" s="65">
        <v>1.9121051512253719E-3</v>
      </c>
      <c r="AH61" s="65"/>
      <c r="AI61" s="65"/>
      <c r="AJ61" s="65"/>
      <c r="AO61" s="65" t="s">
        <v>167</v>
      </c>
      <c r="AP61" s="65">
        <v>39</v>
      </c>
      <c r="AQ61" s="65">
        <v>1.9121051512253719E-3</v>
      </c>
      <c r="AR61" s="65"/>
      <c r="AS61" s="65"/>
      <c r="AT61" s="65"/>
    </row>
    <row r="62" spans="1:49" ht="15" thickBot="1"/>
    <row r="63" spans="1:49">
      <c r="A63" s="67"/>
      <c r="B63" s="67" t="s">
        <v>197</v>
      </c>
      <c r="C63" s="67" t="s">
        <v>188</v>
      </c>
      <c r="D63" s="67" t="s">
        <v>121</v>
      </c>
      <c r="E63" s="67" t="s">
        <v>198</v>
      </c>
      <c r="F63" s="67" t="s">
        <v>199</v>
      </c>
      <c r="G63" s="67" t="s">
        <v>200</v>
      </c>
      <c r="H63" s="67" t="s">
        <v>201</v>
      </c>
      <c r="I63" s="67" t="s">
        <v>202</v>
      </c>
      <c r="K63" s="67"/>
      <c r="L63" s="67" t="s">
        <v>197</v>
      </c>
      <c r="M63" s="67" t="s">
        <v>188</v>
      </c>
      <c r="N63" s="67" t="s">
        <v>121</v>
      </c>
      <c r="O63" s="67" t="s">
        <v>198</v>
      </c>
      <c r="P63" s="67" t="s">
        <v>199</v>
      </c>
      <c r="Q63" s="67" t="s">
        <v>200</v>
      </c>
      <c r="R63" s="67" t="s">
        <v>201</v>
      </c>
      <c r="S63" s="67" t="s">
        <v>202</v>
      </c>
      <c r="U63" s="67"/>
      <c r="V63" s="67" t="s">
        <v>197</v>
      </c>
      <c r="W63" s="67" t="s">
        <v>188</v>
      </c>
      <c r="X63" s="67" t="s">
        <v>121</v>
      </c>
      <c r="Y63" s="67" t="s">
        <v>198</v>
      </c>
      <c r="Z63" s="67" t="s">
        <v>199</v>
      </c>
      <c r="AA63" s="67" t="s">
        <v>200</v>
      </c>
      <c r="AB63" s="67" t="s">
        <v>201</v>
      </c>
      <c r="AC63" s="67" t="s">
        <v>202</v>
      </c>
      <c r="AE63" s="67"/>
      <c r="AF63" s="67" t="s">
        <v>197</v>
      </c>
      <c r="AG63" s="67" t="s">
        <v>188</v>
      </c>
      <c r="AH63" s="67" t="s">
        <v>121</v>
      </c>
      <c r="AI63" s="67" t="s">
        <v>198</v>
      </c>
      <c r="AJ63" s="67" t="s">
        <v>199</v>
      </c>
      <c r="AK63" s="67" t="s">
        <v>200</v>
      </c>
      <c r="AL63" s="67" t="s">
        <v>201</v>
      </c>
      <c r="AM63" s="67" t="s">
        <v>202</v>
      </c>
      <c r="AO63" s="67"/>
      <c r="AP63" s="67" t="s">
        <v>197</v>
      </c>
      <c r="AQ63" s="67" t="s">
        <v>188</v>
      </c>
      <c r="AR63" s="67" t="s">
        <v>121</v>
      </c>
      <c r="AS63" s="67" t="s">
        <v>198</v>
      </c>
      <c r="AT63" s="67" t="s">
        <v>199</v>
      </c>
      <c r="AU63" s="67" t="s">
        <v>200</v>
      </c>
      <c r="AV63" s="67" t="s">
        <v>201</v>
      </c>
      <c r="AW63" s="67" t="s">
        <v>202</v>
      </c>
    </row>
    <row r="64" spans="1:49">
      <c r="A64" t="s">
        <v>192</v>
      </c>
      <c r="B64">
        <v>4.0932868305762786E-3</v>
      </c>
      <c r="C64">
        <v>1.1099371855904597E-3</v>
      </c>
      <c r="D64">
        <v>3.6878544873679036</v>
      </c>
      <c r="E64">
        <v>7.0436556140311246E-4</v>
      </c>
      <c r="F64">
        <v>1.8463364697580745E-3</v>
      </c>
      <c r="G64">
        <v>6.3402371913944822E-3</v>
      </c>
      <c r="H64">
        <v>1.8463364697580745E-3</v>
      </c>
      <c r="I64">
        <v>6.3402371913944822E-3</v>
      </c>
      <c r="K64" t="s">
        <v>192</v>
      </c>
      <c r="L64">
        <v>4.0702515950299858E-3</v>
      </c>
      <c r="M64">
        <v>1.0715158309347777E-3</v>
      </c>
      <c r="N64">
        <v>3.7985921229732522</v>
      </c>
      <c r="O64">
        <v>5.1078825618627866E-4</v>
      </c>
      <c r="P64">
        <v>1.9010812003463365E-3</v>
      </c>
      <c r="Q64">
        <v>6.239421989713635E-3</v>
      </c>
      <c r="R64">
        <v>1.9010812003463365E-3</v>
      </c>
      <c r="S64">
        <v>6.239421989713635E-3</v>
      </c>
      <c r="U64" t="s">
        <v>192</v>
      </c>
      <c r="V64">
        <v>3.6854747513861076E-3</v>
      </c>
      <c r="W64">
        <v>1.0911439016515658E-3</v>
      </c>
      <c r="X64">
        <v>3.3776248447228068</v>
      </c>
      <c r="Y64">
        <v>1.6994807453012937E-3</v>
      </c>
      <c r="Z64">
        <v>1.4765694048945407E-3</v>
      </c>
      <c r="AA64">
        <v>5.8943800978776741E-3</v>
      </c>
      <c r="AB64">
        <v>1.4765694048945407E-3</v>
      </c>
      <c r="AC64">
        <v>5.8943800978776741E-3</v>
      </c>
      <c r="AE64" t="s">
        <v>192</v>
      </c>
      <c r="AF64">
        <v>3.1802574167917107E-3</v>
      </c>
      <c r="AG64">
        <v>1.1181400442650839E-3</v>
      </c>
      <c r="AH64">
        <v>2.8442389064797227</v>
      </c>
      <c r="AI64">
        <v>7.130433351104074E-3</v>
      </c>
      <c r="AJ64">
        <v>9.1670123674520267E-4</v>
      </c>
      <c r="AK64">
        <v>5.4438135968382182E-3</v>
      </c>
      <c r="AL64">
        <v>9.1670123674520267E-4</v>
      </c>
      <c r="AM64">
        <v>5.4438135968382182E-3</v>
      </c>
      <c r="AO64" t="s">
        <v>192</v>
      </c>
      <c r="AP64">
        <v>3.5867630359765739E-3</v>
      </c>
      <c r="AQ64">
        <v>1.097090659901637E-3</v>
      </c>
      <c r="AR64">
        <v>3.2693405997077361</v>
      </c>
      <c r="AS64">
        <v>2.2939456835954853E-3</v>
      </c>
      <c r="AT64">
        <v>1.3658191067893676E-3</v>
      </c>
      <c r="AU64">
        <v>5.8077069651637798E-3</v>
      </c>
      <c r="AV64">
        <v>1.3658191067893676E-3</v>
      </c>
      <c r="AW64">
        <v>5.8077069651637798E-3</v>
      </c>
    </row>
    <row r="65" spans="1:49" ht="15" thickBot="1">
      <c r="A65" s="65" t="s">
        <v>16</v>
      </c>
      <c r="B65" s="65">
        <v>7.8125527581452015E-3</v>
      </c>
      <c r="C65" s="65">
        <v>4.932262434631767E-3</v>
      </c>
      <c r="D65" s="65">
        <v>1.58396939775336</v>
      </c>
      <c r="E65" s="65">
        <v>0.12148886674563432</v>
      </c>
      <c r="F65" s="65">
        <v>-2.1722905294055926E-3</v>
      </c>
      <c r="G65" s="65">
        <v>1.7797396045695996E-2</v>
      </c>
      <c r="H65" s="65">
        <v>-2.1722905294055926E-3</v>
      </c>
      <c r="I65" s="65">
        <v>1.7797396045695996E-2</v>
      </c>
      <c r="K65" s="65" t="s">
        <v>16</v>
      </c>
      <c r="L65" s="65">
        <v>-3.3138283309350959E-2</v>
      </c>
      <c r="M65" s="65">
        <v>1.5514823975181677E-2</v>
      </c>
      <c r="N65" s="65">
        <v>-2.1359110075860794</v>
      </c>
      <c r="O65" s="65">
        <v>3.9190217907773509E-2</v>
      </c>
      <c r="P65" s="65">
        <v>-6.4546402418830251E-2</v>
      </c>
      <c r="Q65" s="65">
        <v>-1.7301641998716602E-3</v>
      </c>
      <c r="R65" s="65">
        <v>-6.4546402418830251E-2</v>
      </c>
      <c r="S65" s="65">
        <v>-1.7301641998716602E-3</v>
      </c>
      <c r="U65" s="65" t="s">
        <v>16</v>
      </c>
      <c r="V65" s="65">
        <v>7.0450296060631704E-2</v>
      </c>
      <c r="W65" s="65">
        <v>4.7668779655284078E-2</v>
      </c>
      <c r="X65" s="65">
        <v>1.4779127254796902</v>
      </c>
      <c r="Y65" s="65">
        <v>0.14767247105976469</v>
      </c>
      <c r="Z65" s="65">
        <v>-2.6050103274331049E-2</v>
      </c>
      <c r="AA65" s="65">
        <v>0.16695069539559446</v>
      </c>
      <c r="AB65" s="65">
        <v>-2.6050103274331049E-2</v>
      </c>
      <c r="AC65" s="65">
        <v>0.16695069539559446</v>
      </c>
      <c r="AE65" s="65" t="s">
        <v>16</v>
      </c>
      <c r="AF65" s="65">
        <v>0.16063167527065955</v>
      </c>
      <c r="AG65" s="65">
        <v>8.8522056141936936E-2</v>
      </c>
      <c r="AH65" s="65">
        <v>1.8145949413228892</v>
      </c>
      <c r="AI65" s="65">
        <v>7.7486530462292424E-2</v>
      </c>
      <c r="AJ65" s="65">
        <v>-1.8571858560565369E-2</v>
      </c>
      <c r="AK65" s="65">
        <v>0.33983520910188447</v>
      </c>
      <c r="AL65" s="65">
        <v>-1.8571858560565369E-2</v>
      </c>
      <c r="AM65" s="65">
        <v>0.33983520910188447</v>
      </c>
      <c r="AO65" s="65" t="s">
        <v>16</v>
      </c>
      <c r="AP65" s="65">
        <v>7.8463149666392284E-2</v>
      </c>
      <c r="AQ65" s="65">
        <v>5.4681591831439599E-2</v>
      </c>
      <c r="AR65" s="65">
        <v>1.4349097573505403</v>
      </c>
      <c r="AS65" s="65">
        <v>0.15949260509665031</v>
      </c>
      <c r="AT65" s="65">
        <v>-3.2233945710590503E-2</v>
      </c>
      <c r="AU65" s="65">
        <v>0.18916024504337509</v>
      </c>
      <c r="AV65" s="65">
        <v>-3.2233945710590503E-2</v>
      </c>
      <c r="AW65" s="65">
        <v>0.18916024504337509</v>
      </c>
    </row>
    <row r="68" spans="1:49" ht="14.5" customHeight="1">
      <c r="A68" s="203" t="s">
        <v>171</v>
      </c>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F68" s="203"/>
      <c r="AG68" s="203"/>
      <c r="AH68" s="203"/>
      <c r="AI68" s="203"/>
      <c r="AJ68" s="203"/>
      <c r="AK68" s="203"/>
      <c r="AL68" s="203"/>
      <c r="AM68" s="203"/>
      <c r="AN68" s="203"/>
      <c r="AO68" s="203"/>
      <c r="AP68" s="203"/>
      <c r="AQ68" s="203"/>
      <c r="AR68" s="203"/>
    </row>
    <row r="69" spans="1:49" ht="14.5" customHeight="1">
      <c r="A69" s="203"/>
      <c r="B69" s="203"/>
      <c r="C69" s="203"/>
      <c r="D69" s="203"/>
      <c r="E69" s="203"/>
      <c r="F69" s="203"/>
      <c r="G69" s="203"/>
      <c r="H69" s="203"/>
      <c r="I69" s="203"/>
      <c r="J69" s="203"/>
      <c r="K69" s="203"/>
      <c r="L69" s="203"/>
      <c r="M69" s="203"/>
      <c r="N69" s="203"/>
      <c r="O69" s="203"/>
      <c r="P69" s="203"/>
      <c r="Q69" s="203"/>
      <c r="R69" s="203"/>
      <c r="S69" s="203"/>
      <c r="T69" s="203"/>
      <c r="U69" s="203"/>
      <c r="V69" s="203"/>
      <c r="W69" s="203"/>
      <c r="X69" s="203"/>
      <c r="Y69" s="203"/>
      <c r="Z69" s="203"/>
      <c r="AA69" s="203"/>
      <c r="AB69" s="203"/>
      <c r="AC69" s="203"/>
      <c r="AD69" s="203"/>
      <c r="AE69" s="203"/>
      <c r="AF69" s="203"/>
      <c r="AG69" s="203"/>
      <c r="AH69" s="203"/>
      <c r="AI69" s="203"/>
      <c r="AJ69" s="203"/>
      <c r="AK69" s="203"/>
      <c r="AL69" s="203"/>
      <c r="AM69" s="203"/>
      <c r="AN69" s="203"/>
      <c r="AO69" s="203"/>
      <c r="AP69" s="203"/>
      <c r="AQ69" s="203"/>
      <c r="AR69" s="203"/>
    </row>
    <row r="70" spans="1:49" ht="14.5" customHeight="1">
      <c r="A70" s="203"/>
      <c r="B70" s="203"/>
      <c r="C70" s="203"/>
      <c r="D70" s="203"/>
      <c r="E70" s="203"/>
      <c r="F70" s="203"/>
      <c r="G70" s="203"/>
      <c r="H70" s="203"/>
      <c r="I70" s="203"/>
      <c r="J70" s="203"/>
      <c r="K70" s="203"/>
      <c r="L70" s="203"/>
      <c r="M70" s="203"/>
      <c r="N70" s="203"/>
      <c r="O70" s="203"/>
      <c r="P70" s="203"/>
      <c r="Q70" s="203"/>
      <c r="R70" s="203"/>
      <c r="S70" s="203"/>
      <c r="T70" s="203"/>
      <c r="U70" s="203"/>
      <c r="V70" s="203"/>
      <c r="W70" s="203"/>
      <c r="X70" s="203"/>
      <c r="Y70" s="203"/>
      <c r="Z70" s="203"/>
      <c r="AA70" s="203"/>
      <c r="AB70" s="203"/>
      <c r="AC70" s="203"/>
      <c r="AD70" s="203"/>
      <c r="AE70" s="203"/>
      <c r="AF70" s="203"/>
      <c r="AG70" s="203"/>
      <c r="AH70" s="203"/>
      <c r="AI70" s="203"/>
      <c r="AJ70" s="203"/>
      <c r="AK70" s="203"/>
      <c r="AL70" s="203"/>
      <c r="AM70" s="203"/>
      <c r="AN70" s="203"/>
      <c r="AO70" s="203"/>
      <c r="AP70" s="203"/>
      <c r="AQ70" s="203"/>
      <c r="AR70" s="203"/>
    </row>
    <row r="71" spans="1:49" ht="14.5" customHeight="1">
      <c r="A71" s="203"/>
      <c r="B71" s="203"/>
      <c r="C71" s="203"/>
      <c r="D71" s="203"/>
      <c r="E71" s="203"/>
      <c r="F71" s="203"/>
      <c r="G71" s="203"/>
      <c r="H71" s="203"/>
      <c r="I71" s="203"/>
      <c r="J71" s="203"/>
      <c r="K71" s="203"/>
      <c r="L71" s="203"/>
      <c r="M71" s="203"/>
      <c r="N71" s="203"/>
      <c r="O71" s="203"/>
      <c r="P71" s="203"/>
      <c r="Q71" s="203"/>
      <c r="R71" s="203"/>
      <c r="S71" s="203"/>
      <c r="T71" s="203"/>
      <c r="U71" s="203"/>
      <c r="V71" s="203"/>
      <c r="W71" s="203"/>
      <c r="X71" s="203"/>
      <c r="Y71" s="203"/>
      <c r="Z71" s="203"/>
      <c r="AA71" s="203"/>
      <c r="AB71" s="203"/>
      <c r="AC71" s="203"/>
      <c r="AD71" s="203"/>
      <c r="AE71" s="203"/>
      <c r="AF71" s="203"/>
      <c r="AG71" s="203"/>
      <c r="AH71" s="203"/>
      <c r="AI71" s="203"/>
      <c r="AJ71" s="203"/>
      <c r="AK71" s="203"/>
      <c r="AL71" s="203"/>
      <c r="AM71" s="203"/>
      <c r="AN71" s="203"/>
      <c r="AO71" s="203"/>
      <c r="AP71" s="203"/>
      <c r="AQ71" s="203"/>
      <c r="AR71" s="203"/>
    </row>
    <row r="72" spans="1:49" ht="14.5" customHeight="1">
      <c r="A72" s="203"/>
      <c r="B72" s="203"/>
      <c r="C72" s="203"/>
      <c r="D72" s="203"/>
      <c r="E72" s="203"/>
      <c r="F72" s="203"/>
      <c r="G72" s="203"/>
      <c r="H72" s="203"/>
      <c r="I72" s="203"/>
      <c r="J72" s="203"/>
      <c r="K72" s="203"/>
      <c r="L72" s="203"/>
      <c r="M72" s="203"/>
      <c r="N72" s="203"/>
      <c r="O72" s="203"/>
      <c r="P72" s="203"/>
      <c r="Q72" s="203"/>
      <c r="R72" s="203"/>
      <c r="S72" s="203"/>
      <c r="T72" s="203"/>
      <c r="U72" s="203"/>
      <c r="V72" s="203"/>
      <c r="W72" s="203"/>
      <c r="X72" s="203"/>
      <c r="Y72" s="203"/>
      <c r="Z72" s="203"/>
      <c r="AA72" s="203"/>
      <c r="AB72" s="203"/>
      <c r="AC72" s="203"/>
      <c r="AD72" s="203"/>
      <c r="AE72" s="203"/>
      <c r="AF72" s="203"/>
      <c r="AG72" s="203"/>
      <c r="AH72" s="203"/>
      <c r="AI72" s="203"/>
      <c r="AJ72" s="203"/>
      <c r="AK72" s="203"/>
      <c r="AL72" s="203"/>
      <c r="AM72" s="203"/>
      <c r="AN72" s="203"/>
      <c r="AO72" s="203"/>
      <c r="AP72" s="203"/>
      <c r="AQ72" s="203"/>
      <c r="AR72" s="203"/>
    </row>
    <row r="73" spans="1:49" ht="14.5" customHeight="1">
      <c r="A73" s="203"/>
      <c r="B73" s="203"/>
      <c r="C73" s="203"/>
      <c r="D73" s="203"/>
      <c r="E73" s="203"/>
      <c r="F73" s="203"/>
      <c r="G73" s="203"/>
      <c r="H73" s="203"/>
      <c r="I73" s="203"/>
      <c r="J73" s="203"/>
      <c r="K73" s="203"/>
      <c r="L73" s="203"/>
      <c r="M73" s="203"/>
      <c r="N73" s="203"/>
      <c r="O73" s="203"/>
      <c r="P73" s="203"/>
      <c r="Q73" s="203"/>
      <c r="R73" s="203"/>
      <c r="S73" s="203"/>
      <c r="T73" s="203"/>
      <c r="U73" s="203"/>
      <c r="V73" s="203"/>
      <c r="W73" s="203"/>
      <c r="X73" s="203"/>
      <c r="Y73" s="203"/>
      <c r="Z73" s="203"/>
      <c r="AA73" s="203"/>
      <c r="AB73" s="203"/>
      <c r="AC73" s="203"/>
      <c r="AD73" s="203"/>
      <c r="AE73" s="203"/>
      <c r="AF73" s="203"/>
      <c r="AG73" s="203"/>
      <c r="AH73" s="203"/>
      <c r="AI73" s="203"/>
      <c r="AJ73" s="203"/>
      <c r="AK73" s="203"/>
      <c r="AL73" s="203"/>
      <c r="AM73" s="203"/>
      <c r="AN73" s="203"/>
      <c r="AO73" s="203"/>
      <c r="AP73" s="203"/>
      <c r="AQ73" s="203"/>
      <c r="AR73" s="203"/>
    </row>
    <row r="74" spans="1:49" ht="14.5" customHeight="1">
      <c r="A74" s="203"/>
      <c r="B74" s="203"/>
      <c r="C74" s="203"/>
      <c r="D74" s="203"/>
      <c r="E74" s="203"/>
      <c r="F74" s="203"/>
      <c r="G74" s="203"/>
      <c r="H74" s="203"/>
      <c r="I74" s="203"/>
      <c r="J74" s="203"/>
      <c r="K74" s="203"/>
      <c r="L74" s="203"/>
      <c r="M74" s="203"/>
      <c r="N74" s="203"/>
      <c r="O74" s="203"/>
      <c r="P74" s="203"/>
      <c r="Q74" s="203"/>
      <c r="R74" s="203"/>
      <c r="S74" s="203"/>
      <c r="T74" s="203"/>
      <c r="U74" s="203"/>
      <c r="V74" s="203"/>
      <c r="W74" s="203"/>
      <c r="X74" s="203"/>
      <c r="Y74" s="203"/>
      <c r="Z74" s="203"/>
      <c r="AA74" s="203"/>
      <c r="AB74" s="203"/>
      <c r="AC74" s="203"/>
      <c r="AD74" s="203"/>
      <c r="AE74" s="203"/>
      <c r="AF74" s="203"/>
      <c r="AG74" s="203"/>
      <c r="AH74" s="203"/>
      <c r="AI74" s="203"/>
      <c r="AJ74" s="203"/>
      <c r="AK74" s="203"/>
      <c r="AL74" s="203"/>
      <c r="AM74" s="203"/>
      <c r="AN74" s="203"/>
      <c r="AO74" s="203"/>
      <c r="AP74" s="203"/>
      <c r="AQ74" s="203"/>
      <c r="AR74" s="203"/>
    </row>
    <row r="75" spans="1:49">
      <c r="A75" t="s">
        <v>183</v>
      </c>
      <c r="K75" t="s">
        <v>183</v>
      </c>
      <c r="U75" t="s">
        <v>183</v>
      </c>
      <c r="AE75" t="s">
        <v>183</v>
      </c>
      <c r="AO75" t="s">
        <v>183</v>
      </c>
    </row>
    <row r="76" spans="1:49" ht="15" thickBot="1">
      <c r="A76" s="204" t="s">
        <v>23</v>
      </c>
      <c r="B76" s="204"/>
      <c r="K76" s="204" t="s">
        <v>277</v>
      </c>
      <c r="L76" s="204"/>
      <c r="U76" s="204" t="s">
        <v>276</v>
      </c>
      <c r="V76" s="204"/>
      <c r="W76" s="144"/>
      <c r="AE76" s="204" t="s">
        <v>203</v>
      </c>
      <c r="AF76" s="204"/>
      <c r="AO76" s="204" t="s">
        <v>204</v>
      </c>
      <c r="AP76" s="204"/>
    </row>
    <row r="77" spans="1:49">
      <c r="A77" s="128" t="s">
        <v>184</v>
      </c>
      <c r="B77" s="128"/>
      <c r="K77" s="128" t="s">
        <v>184</v>
      </c>
      <c r="L77" s="128"/>
      <c r="U77" s="128" t="s">
        <v>184</v>
      </c>
      <c r="V77" s="128"/>
      <c r="AE77" s="128" t="s">
        <v>184</v>
      </c>
      <c r="AF77" s="128"/>
      <c r="AO77" s="128" t="s">
        <v>184</v>
      </c>
      <c r="AP77" s="128"/>
    </row>
    <row r="78" spans="1:49">
      <c r="A78" t="s">
        <v>185</v>
      </c>
      <c r="B78">
        <v>0.28458810096075743</v>
      </c>
      <c r="K78" t="s">
        <v>185</v>
      </c>
      <c r="L78">
        <v>0.19446634037078905</v>
      </c>
      <c r="U78" t="s">
        <v>185</v>
      </c>
      <c r="V78">
        <v>0.19649510964911568</v>
      </c>
      <c r="AE78" t="s">
        <v>185</v>
      </c>
      <c r="AF78">
        <v>0.14337652395391928</v>
      </c>
      <c r="AO78" t="s">
        <v>185</v>
      </c>
      <c r="AP78">
        <v>0.33724895196575166</v>
      </c>
    </row>
    <row r="79" spans="1:49">
      <c r="A79" t="s">
        <v>186</v>
      </c>
      <c r="B79">
        <v>8.0990387208450254E-2</v>
      </c>
      <c r="K79" t="s">
        <v>186</v>
      </c>
      <c r="L79">
        <v>3.7817157537207581E-2</v>
      </c>
      <c r="U79" t="s">
        <v>186</v>
      </c>
      <c r="V79">
        <v>3.8610328116017993E-2</v>
      </c>
      <c r="AE79" t="s">
        <v>186</v>
      </c>
      <c r="AF79">
        <v>2.0556827621108789E-2</v>
      </c>
      <c r="AO79" t="s">
        <v>186</v>
      </c>
      <c r="AP79">
        <v>0.11373685560199787</v>
      </c>
    </row>
    <row r="80" spans="1:49">
      <c r="A80" t="s">
        <v>187</v>
      </c>
      <c r="B80">
        <v>5.8575518603778312E-2</v>
      </c>
      <c r="K80" t="s">
        <v>187</v>
      </c>
      <c r="L80">
        <v>1.434928333079801E-2</v>
      </c>
      <c r="U80" t="s">
        <v>187</v>
      </c>
      <c r="V80">
        <v>1.5161799533481846E-2</v>
      </c>
      <c r="AE80" t="s">
        <v>187</v>
      </c>
      <c r="AF80">
        <v>-3.3320302417909971E-3</v>
      </c>
      <c r="AO80" t="s">
        <v>187</v>
      </c>
      <c r="AP80">
        <v>9.2120681348388064E-2</v>
      </c>
    </row>
    <row r="81" spans="1:49">
      <c r="A81" t="s">
        <v>188</v>
      </c>
      <c r="B81">
        <v>6.087101409726829E-3</v>
      </c>
      <c r="K81" t="s">
        <v>188</v>
      </c>
      <c r="L81">
        <v>6.228440416390914E-3</v>
      </c>
      <c r="U81" t="s">
        <v>188</v>
      </c>
      <c r="V81">
        <v>6.2258726953703224E-3</v>
      </c>
      <c r="AE81" t="s">
        <v>188</v>
      </c>
      <c r="AF81">
        <v>6.2840572300172093E-3</v>
      </c>
      <c r="AO81" t="s">
        <v>188</v>
      </c>
      <c r="AP81">
        <v>5.9776688817167536E-3</v>
      </c>
    </row>
    <row r="82" spans="1:49" ht="15" thickBot="1">
      <c r="A82" s="65" t="s">
        <v>118</v>
      </c>
      <c r="B82" s="65">
        <v>43</v>
      </c>
      <c r="K82" s="65" t="s">
        <v>118</v>
      </c>
      <c r="L82" s="65">
        <v>43</v>
      </c>
      <c r="U82" s="65" t="s">
        <v>118</v>
      </c>
      <c r="V82" s="65">
        <v>43</v>
      </c>
      <c r="AE82" s="65" t="s">
        <v>118</v>
      </c>
      <c r="AF82" s="65">
        <v>43</v>
      </c>
      <c r="AO82" s="65" t="s">
        <v>118</v>
      </c>
      <c r="AP82" s="65">
        <v>43</v>
      </c>
    </row>
    <row r="84" spans="1:49" ht="15" thickBot="1">
      <c r="A84" t="s">
        <v>189</v>
      </c>
      <c r="K84" t="s">
        <v>189</v>
      </c>
      <c r="U84" t="s">
        <v>189</v>
      </c>
      <c r="AE84" t="s">
        <v>189</v>
      </c>
      <c r="AO84" t="s">
        <v>189</v>
      </c>
    </row>
    <row r="85" spans="1:49">
      <c r="A85" s="67"/>
      <c r="B85" s="67" t="s">
        <v>120</v>
      </c>
      <c r="C85" s="67" t="s">
        <v>193</v>
      </c>
      <c r="D85" s="67" t="s">
        <v>194</v>
      </c>
      <c r="E85" s="67" t="s">
        <v>195</v>
      </c>
      <c r="F85" s="67" t="s">
        <v>196</v>
      </c>
      <c r="K85" s="67"/>
      <c r="L85" s="67" t="s">
        <v>120</v>
      </c>
      <c r="M85" s="67" t="s">
        <v>193</v>
      </c>
      <c r="N85" s="67" t="s">
        <v>194</v>
      </c>
      <c r="O85" s="67" t="s">
        <v>195</v>
      </c>
      <c r="P85" s="67" t="s">
        <v>196</v>
      </c>
      <c r="U85" s="67"/>
      <c r="V85" s="67" t="s">
        <v>120</v>
      </c>
      <c r="W85" s="67" t="s">
        <v>193</v>
      </c>
      <c r="X85" s="67" t="s">
        <v>194</v>
      </c>
      <c r="Y85" s="67" t="s">
        <v>195</v>
      </c>
      <c r="Z85" s="67" t="s">
        <v>196</v>
      </c>
      <c r="AE85" s="67"/>
      <c r="AF85" s="67" t="s">
        <v>120</v>
      </c>
      <c r="AG85" s="67" t="s">
        <v>193</v>
      </c>
      <c r="AH85" s="67" t="s">
        <v>194</v>
      </c>
      <c r="AI85" s="67" t="s">
        <v>195</v>
      </c>
      <c r="AJ85" s="67" t="s">
        <v>196</v>
      </c>
      <c r="AO85" s="67"/>
      <c r="AP85" s="67" t="s">
        <v>120</v>
      </c>
      <c r="AQ85" s="67" t="s">
        <v>193</v>
      </c>
      <c r="AR85" s="67" t="s">
        <v>194</v>
      </c>
      <c r="AS85" s="67" t="s">
        <v>195</v>
      </c>
      <c r="AT85" s="67" t="s">
        <v>196</v>
      </c>
    </row>
    <row r="86" spans="1:49">
      <c r="A86" t="s">
        <v>190</v>
      </c>
      <c r="B86">
        <v>1</v>
      </c>
      <c r="C86">
        <v>1.3388081640833749E-4</v>
      </c>
      <c r="D86">
        <v>1.3388081640833749E-4</v>
      </c>
      <c r="E86">
        <v>3.6132438979173576</v>
      </c>
      <c r="F86">
        <v>6.4366749689826419E-2</v>
      </c>
      <c r="K86" t="s">
        <v>190</v>
      </c>
      <c r="L86">
        <v>1</v>
      </c>
      <c r="M86">
        <v>6.2513492030765458E-5</v>
      </c>
      <c r="N86">
        <v>6.2513492030765458E-5</v>
      </c>
      <c r="O86">
        <v>1.6114436784768051</v>
      </c>
      <c r="P86">
        <v>0.21144755533877957</v>
      </c>
      <c r="U86" t="s">
        <v>190</v>
      </c>
      <c r="V86">
        <v>1</v>
      </c>
      <c r="W86">
        <v>6.3824639295303196E-5</v>
      </c>
      <c r="X86">
        <v>6.3824639295303196E-5</v>
      </c>
      <c r="Y86">
        <v>1.6465991876681745</v>
      </c>
      <c r="Z86">
        <v>0.20662852882909594</v>
      </c>
      <c r="AE86" t="s">
        <v>190</v>
      </c>
      <c r="AF86">
        <v>1</v>
      </c>
      <c r="AG86">
        <v>3.3981376797175694E-5</v>
      </c>
      <c r="AH86">
        <v>3.3981376797175694E-5</v>
      </c>
      <c r="AI86">
        <v>0.86051948314507931</v>
      </c>
      <c r="AJ86">
        <v>0.35902237949115201</v>
      </c>
      <c r="AO86" t="s">
        <v>190</v>
      </c>
      <c r="AP86">
        <v>1</v>
      </c>
      <c r="AQ86">
        <v>1.8801222723533188E-4</v>
      </c>
      <c r="AR86">
        <v>1.8801222723533188E-4</v>
      </c>
      <c r="AS86">
        <v>5.2616551970570971</v>
      </c>
      <c r="AT86">
        <v>2.6996965039347842E-2</v>
      </c>
    </row>
    <row r="87" spans="1:49">
      <c r="A87" t="s">
        <v>191</v>
      </c>
      <c r="B87">
        <v>41</v>
      </c>
      <c r="C87">
        <v>1.5191649464642324E-3</v>
      </c>
      <c r="D87">
        <v>3.7052803572298353E-5</v>
      </c>
      <c r="K87" t="s">
        <v>191</v>
      </c>
      <c r="L87">
        <v>41</v>
      </c>
      <c r="M87">
        <v>1.5905322708418045E-3</v>
      </c>
      <c r="N87">
        <v>3.879347002053182E-5</v>
      </c>
      <c r="U87" t="s">
        <v>191</v>
      </c>
      <c r="V87">
        <v>41</v>
      </c>
      <c r="W87">
        <v>1.5892211235772667E-3</v>
      </c>
      <c r="X87">
        <v>3.8761490818957726E-5</v>
      </c>
      <c r="AE87" t="s">
        <v>191</v>
      </c>
      <c r="AF87">
        <v>41</v>
      </c>
      <c r="AG87">
        <v>1.6190643860753942E-3</v>
      </c>
      <c r="AH87">
        <v>3.9489375270131567E-5</v>
      </c>
      <c r="AO87" t="s">
        <v>191</v>
      </c>
      <c r="AP87">
        <v>41</v>
      </c>
      <c r="AQ87">
        <v>1.465033535637238E-3</v>
      </c>
      <c r="AR87">
        <v>3.5732525259444829E-5</v>
      </c>
    </row>
    <row r="88" spans="1:49" ht="15" thickBot="1">
      <c r="A88" s="65" t="s">
        <v>167</v>
      </c>
      <c r="B88" s="65">
        <v>42</v>
      </c>
      <c r="C88" s="65">
        <v>1.6530457628725699E-3</v>
      </c>
      <c r="D88" s="65"/>
      <c r="E88" s="65"/>
      <c r="F88" s="65"/>
      <c r="K88" s="65" t="s">
        <v>167</v>
      </c>
      <c r="L88" s="65">
        <v>42</v>
      </c>
      <c r="M88" s="65">
        <v>1.6530457628725699E-3</v>
      </c>
      <c r="N88" s="65"/>
      <c r="O88" s="65"/>
      <c r="P88" s="65"/>
      <c r="U88" s="65" t="s">
        <v>167</v>
      </c>
      <c r="V88" s="65">
        <v>42</v>
      </c>
      <c r="W88" s="65">
        <v>1.6530457628725699E-3</v>
      </c>
      <c r="X88" s="65"/>
      <c r="Y88" s="65"/>
      <c r="Z88" s="65"/>
      <c r="AE88" s="65" t="s">
        <v>167</v>
      </c>
      <c r="AF88" s="65">
        <v>42</v>
      </c>
      <c r="AG88" s="65">
        <v>1.6530457628725699E-3</v>
      </c>
      <c r="AH88" s="65"/>
      <c r="AI88" s="65"/>
      <c r="AJ88" s="65"/>
      <c r="AO88" s="65" t="s">
        <v>167</v>
      </c>
      <c r="AP88" s="65">
        <v>42</v>
      </c>
      <c r="AQ88" s="65">
        <v>1.6530457628725699E-3</v>
      </c>
      <c r="AR88" s="65"/>
      <c r="AS88" s="65"/>
      <c r="AT88" s="65"/>
    </row>
    <row r="89" spans="1:49" ht="15" thickBot="1"/>
    <row r="90" spans="1:49">
      <c r="A90" s="67"/>
      <c r="B90" s="67" t="s">
        <v>197</v>
      </c>
      <c r="C90" s="67" t="s">
        <v>188</v>
      </c>
      <c r="D90" s="67" t="s">
        <v>121</v>
      </c>
      <c r="E90" s="67" t="s">
        <v>198</v>
      </c>
      <c r="F90" s="67" t="s">
        <v>199</v>
      </c>
      <c r="G90" s="67" t="s">
        <v>200</v>
      </c>
      <c r="H90" s="67" t="s">
        <v>201</v>
      </c>
      <c r="I90" s="67" t="s">
        <v>202</v>
      </c>
      <c r="K90" s="67"/>
      <c r="L90" s="67" t="s">
        <v>197</v>
      </c>
      <c r="M90" s="67" t="s">
        <v>188</v>
      </c>
      <c r="N90" s="67" t="s">
        <v>121</v>
      </c>
      <c r="O90" s="67" t="s">
        <v>198</v>
      </c>
      <c r="P90" s="67" t="s">
        <v>199</v>
      </c>
      <c r="Q90" s="67" t="s">
        <v>200</v>
      </c>
      <c r="R90" s="67" t="s">
        <v>201</v>
      </c>
      <c r="S90" s="67" t="s">
        <v>202</v>
      </c>
      <c r="U90" s="67"/>
      <c r="V90" s="67" t="s">
        <v>197</v>
      </c>
      <c r="W90" s="67" t="s">
        <v>188</v>
      </c>
      <c r="X90" s="67" t="s">
        <v>121</v>
      </c>
      <c r="Y90" s="67" t="s">
        <v>198</v>
      </c>
      <c r="Z90" s="67" t="s">
        <v>199</v>
      </c>
      <c r="AA90" s="67" t="s">
        <v>200</v>
      </c>
      <c r="AB90" s="67" t="s">
        <v>201</v>
      </c>
      <c r="AC90" s="67" t="s">
        <v>202</v>
      </c>
      <c r="AE90" s="67"/>
      <c r="AF90" s="67" t="s">
        <v>197</v>
      </c>
      <c r="AG90" s="67" t="s">
        <v>188</v>
      </c>
      <c r="AH90" s="67" t="s">
        <v>121</v>
      </c>
      <c r="AI90" s="67" t="s">
        <v>198</v>
      </c>
      <c r="AJ90" s="67" t="s">
        <v>199</v>
      </c>
      <c r="AK90" s="67" t="s">
        <v>200</v>
      </c>
      <c r="AL90" s="67" t="s">
        <v>201</v>
      </c>
      <c r="AM90" s="67" t="s">
        <v>202</v>
      </c>
      <c r="AO90" s="67"/>
      <c r="AP90" s="67" t="s">
        <v>197</v>
      </c>
      <c r="AQ90" s="67" t="s">
        <v>188</v>
      </c>
      <c r="AR90" s="67" t="s">
        <v>121</v>
      </c>
      <c r="AS90" s="67" t="s">
        <v>198</v>
      </c>
      <c r="AT90" s="67" t="s">
        <v>199</v>
      </c>
      <c r="AU90" s="67" t="s">
        <v>200</v>
      </c>
      <c r="AV90" s="67" t="s">
        <v>201</v>
      </c>
      <c r="AW90" s="67" t="s">
        <v>202</v>
      </c>
    </row>
    <row r="91" spans="1:49">
      <c r="A91" t="s">
        <v>192</v>
      </c>
      <c r="B91">
        <v>1.2950372494281695E-3</v>
      </c>
      <c r="C91">
        <v>9.3764534784845856E-4</v>
      </c>
      <c r="D91">
        <v>1.3811589343452619</v>
      </c>
      <c r="E91">
        <v>0.17471193005262678</v>
      </c>
      <c r="F91">
        <v>-5.9857594629554871E-4</v>
      </c>
      <c r="G91">
        <v>3.1886504451518879E-3</v>
      </c>
      <c r="H91">
        <v>-5.9857594629554871E-4</v>
      </c>
      <c r="I91">
        <v>3.1886504451518879E-3</v>
      </c>
      <c r="K91" t="s">
        <v>192</v>
      </c>
      <c r="L91">
        <v>1.0828812610462098E-3</v>
      </c>
      <c r="M91">
        <v>9.5033011320426973E-4</v>
      </c>
      <c r="N91">
        <v>1.1394790568037578</v>
      </c>
      <c r="O91">
        <v>0.26111703125167235</v>
      </c>
      <c r="P91">
        <v>-8.3634933801400449E-4</v>
      </c>
      <c r="Q91">
        <v>3.002111860106424E-3</v>
      </c>
      <c r="R91">
        <v>-8.3634933801400449E-4</v>
      </c>
      <c r="S91">
        <v>3.002111860106424E-3</v>
      </c>
      <c r="U91" t="s">
        <v>192</v>
      </c>
      <c r="V91">
        <v>1.1235747630500036E-3</v>
      </c>
      <c r="W91">
        <v>9.5147597039562846E-4</v>
      </c>
      <c r="X91">
        <v>1.1808756059102739</v>
      </c>
      <c r="Y91">
        <v>0.24445734367346925</v>
      </c>
      <c r="Z91">
        <v>-7.979699415544344E-4</v>
      </c>
      <c r="AA91">
        <v>3.0451194676544419E-3</v>
      </c>
      <c r="AB91">
        <v>-7.979699415544344E-4</v>
      </c>
      <c r="AC91">
        <v>3.0451194676544419E-3</v>
      </c>
      <c r="AE91" t="s">
        <v>192</v>
      </c>
      <c r="AF91">
        <v>8.8736325642632219E-4</v>
      </c>
      <c r="AG91">
        <v>9.7301253928817736E-4</v>
      </c>
      <c r="AH91">
        <v>0.911975149955916</v>
      </c>
      <c r="AI91">
        <v>0.36711311611176922</v>
      </c>
      <c r="AJ91">
        <v>-1.0776754314193516E-3</v>
      </c>
      <c r="AK91">
        <v>2.8524019442719957E-3</v>
      </c>
      <c r="AL91">
        <v>-1.0776754314193516E-3</v>
      </c>
      <c r="AM91">
        <v>2.8524019442719957E-3</v>
      </c>
      <c r="AO91" t="s">
        <v>192</v>
      </c>
      <c r="AP91">
        <v>7.3044847600275021E-4</v>
      </c>
      <c r="AQ91">
        <v>9.2175703692264294E-4</v>
      </c>
      <c r="AR91">
        <v>0.79245229137757267</v>
      </c>
      <c r="AS91">
        <v>0.43265858974898164</v>
      </c>
      <c r="AT91">
        <v>-1.1310776248551718E-3</v>
      </c>
      <c r="AU91">
        <v>2.5919745768606724E-3</v>
      </c>
      <c r="AV91">
        <v>-1.1310776248551718E-3</v>
      </c>
      <c r="AW91">
        <v>2.5919745768606724E-3</v>
      </c>
    </row>
    <row r="92" spans="1:49" ht="15" thickBot="1">
      <c r="A92" s="65" t="s">
        <v>16</v>
      </c>
      <c r="B92" s="65">
        <v>-2.4176246102082823E-2</v>
      </c>
      <c r="C92" s="65">
        <v>1.2718626942487345E-2</v>
      </c>
      <c r="D92" s="65">
        <v>-1.9008534656615019</v>
      </c>
      <c r="E92" s="65">
        <v>6.4366749689826988E-2</v>
      </c>
      <c r="F92" s="65">
        <v>-4.9862034300195555E-2</v>
      </c>
      <c r="G92" s="65">
        <v>1.5095420960299089E-3</v>
      </c>
      <c r="H92" s="65">
        <v>-4.9862034300195555E-2</v>
      </c>
      <c r="I92" s="65">
        <v>1.5095420960299089E-3</v>
      </c>
      <c r="K92" s="65" t="s">
        <v>16</v>
      </c>
      <c r="L92" s="65">
        <v>6.5975618689180587E-2</v>
      </c>
      <c r="M92" s="65">
        <v>5.1972775012220938E-2</v>
      </c>
      <c r="N92" s="65">
        <v>1.2694265155875746</v>
      </c>
      <c r="O92" s="65">
        <v>0.21144755533877896</v>
      </c>
      <c r="P92" s="65">
        <v>-3.8985529795531423E-2</v>
      </c>
      <c r="Q92" s="65">
        <v>0.17093676717389261</v>
      </c>
      <c r="R92" s="65">
        <v>-3.8985529795531423E-2</v>
      </c>
      <c r="S92" s="65">
        <v>0.17093676717389261</v>
      </c>
      <c r="U92" s="65" t="s">
        <v>16</v>
      </c>
      <c r="V92" s="65">
        <v>4.8536451744369838E-2</v>
      </c>
      <c r="W92" s="65">
        <v>3.7824576629375724E-2</v>
      </c>
      <c r="X92" s="65">
        <v>1.2831988106556873</v>
      </c>
      <c r="Y92" s="65">
        <v>0.20662852882909594</v>
      </c>
      <c r="Z92" s="65">
        <v>-2.7851830448253831E-2</v>
      </c>
      <c r="AA92" s="65">
        <v>0.12492473393699351</v>
      </c>
      <c r="AB92" s="65">
        <v>-2.7851830448253831E-2</v>
      </c>
      <c r="AC92" s="65">
        <v>0.12492473393699351</v>
      </c>
      <c r="AE92" s="65" t="s">
        <v>16</v>
      </c>
      <c r="AF92" s="65">
        <v>4.3491194110940393E-2</v>
      </c>
      <c r="AG92" s="65">
        <v>4.688360282271592E-2</v>
      </c>
      <c r="AH92" s="65">
        <v>0.92764189380659445</v>
      </c>
      <c r="AI92" s="65">
        <v>0.35902237949115035</v>
      </c>
      <c r="AJ92" s="65">
        <v>-5.1192162631435389E-2</v>
      </c>
      <c r="AK92" s="65">
        <v>0.13817455085331617</v>
      </c>
      <c r="AL92" s="65">
        <v>-5.1192162631435389E-2</v>
      </c>
      <c r="AM92" s="65">
        <v>0.13817455085331617</v>
      </c>
      <c r="AO92" s="65" t="s">
        <v>16</v>
      </c>
      <c r="AP92" s="65">
        <v>9.6421457068262897E-2</v>
      </c>
      <c r="AQ92" s="65">
        <v>4.2035139943525812E-2</v>
      </c>
      <c r="AR92" s="65">
        <v>2.2938298099591217</v>
      </c>
      <c r="AS92" s="65">
        <v>2.6996965039347842E-2</v>
      </c>
      <c r="AT92" s="65">
        <v>1.15297697540757E-2</v>
      </c>
      <c r="AU92" s="65">
        <v>0.18131314438245011</v>
      </c>
      <c r="AV92" s="65">
        <v>1.15297697540757E-2</v>
      </c>
      <c r="AW92" s="65">
        <v>0.18131314438245011</v>
      </c>
    </row>
    <row r="95" spans="1:49">
      <c r="B95" t="s">
        <v>183</v>
      </c>
      <c r="K95" t="s">
        <v>183</v>
      </c>
      <c r="U95" t="s">
        <v>183</v>
      </c>
      <c r="AE95" t="s">
        <v>183</v>
      </c>
      <c r="AO95" t="s">
        <v>183</v>
      </c>
    </row>
    <row r="96" spans="1:49" ht="15" thickBot="1">
      <c r="A96" s="204" t="s">
        <v>220</v>
      </c>
      <c r="B96" s="204"/>
      <c r="K96" s="204" t="s">
        <v>205</v>
      </c>
      <c r="L96" s="204"/>
      <c r="U96" s="204" t="s">
        <v>279</v>
      </c>
      <c r="V96" s="204"/>
      <c r="AE96" s="204" t="s">
        <v>206</v>
      </c>
      <c r="AF96" s="204"/>
      <c r="AO96" s="204" t="s">
        <v>207</v>
      </c>
      <c r="AP96" s="204"/>
    </row>
    <row r="97" spans="1:49">
      <c r="A97" s="128" t="s">
        <v>184</v>
      </c>
      <c r="B97" s="128"/>
      <c r="K97" s="128" t="s">
        <v>184</v>
      </c>
      <c r="L97" s="128"/>
      <c r="U97" s="128" t="s">
        <v>184</v>
      </c>
      <c r="V97" s="128"/>
      <c r="AE97" s="128" t="s">
        <v>184</v>
      </c>
      <c r="AF97" s="128"/>
      <c r="AO97" s="128" t="s">
        <v>184</v>
      </c>
      <c r="AP97" s="128"/>
    </row>
    <row r="98" spans="1:49">
      <c r="A98" t="s">
        <v>185</v>
      </c>
      <c r="B98">
        <v>0.18554156455240051</v>
      </c>
      <c r="K98" t="s">
        <v>185</v>
      </c>
      <c r="L98">
        <v>5.8331052983881769E-2</v>
      </c>
      <c r="U98" t="s">
        <v>185</v>
      </c>
      <c r="V98">
        <v>1.0738941815118853E-2</v>
      </c>
      <c r="AE98" t="s">
        <v>185</v>
      </c>
      <c r="AF98">
        <v>0.36299357083644307</v>
      </c>
      <c r="AO98" t="s">
        <v>185</v>
      </c>
      <c r="AP98">
        <v>9.1010807787371306E-2</v>
      </c>
    </row>
    <row r="99" spans="1:49">
      <c r="A99" t="s">
        <v>186</v>
      </c>
      <c r="B99">
        <v>3.4425672176552603E-2</v>
      </c>
      <c r="K99" t="s">
        <v>186</v>
      </c>
      <c r="L99">
        <v>3.4025117422084219E-3</v>
      </c>
      <c r="U99" t="s">
        <v>186</v>
      </c>
      <c r="V99">
        <v>1.1532487130850818E-4</v>
      </c>
      <c r="AE99" t="s">
        <v>186</v>
      </c>
      <c r="AF99">
        <v>0.13176433246859182</v>
      </c>
      <c r="AO99" t="s">
        <v>186</v>
      </c>
      <c r="AP99">
        <v>8.2829671341098452E-3</v>
      </c>
    </row>
    <row r="100" spans="1:49">
      <c r="A100" t="s">
        <v>187</v>
      </c>
      <c r="B100">
        <v>1.0875078815005108E-2</v>
      </c>
      <c r="K100" t="s">
        <v>187</v>
      </c>
      <c r="L100">
        <v>-2.0904744068957228E-2</v>
      </c>
      <c r="U100" t="s">
        <v>187</v>
      </c>
      <c r="V100">
        <v>-2.4272106229391285E-2</v>
      </c>
      <c r="AE100" t="s">
        <v>187</v>
      </c>
      <c r="AF100">
        <v>0.11058785277270382</v>
      </c>
      <c r="AO100" t="s">
        <v>187</v>
      </c>
      <c r="AP100">
        <v>-1.5905253179692352E-2</v>
      </c>
    </row>
    <row r="101" spans="1:49">
      <c r="A101" t="s">
        <v>188</v>
      </c>
      <c r="B101">
        <v>6.2394077098263875E-3</v>
      </c>
      <c r="K101" t="s">
        <v>188</v>
      </c>
      <c r="L101">
        <v>6.3388489669424239E-3</v>
      </c>
      <c r="U101" t="s">
        <v>188</v>
      </c>
      <c r="V101">
        <v>6.3492944213005683E-3</v>
      </c>
      <c r="AE101" t="s">
        <v>188</v>
      </c>
      <c r="AF101">
        <v>5.9165606591874533E-3</v>
      </c>
      <c r="AO101" t="s">
        <v>188</v>
      </c>
      <c r="AP101">
        <v>6.3233088728259154E-3</v>
      </c>
    </row>
    <row r="102" spans="1:49" ht="15" thickBot="1">
      <c r="A102" s="65" t="s">
        <v>118</v>
      </c>
      <c r="B102" s="65">
        <v>43</v>
      </c>
      <c r="K102" s="65" t="s">
        <v>118</v>
      </c>
      <c r="L102" s="65">
        <v>43</v>
      </c>
      <c r="U102" s="65" t="s">
        <v>118</v>
      </c>
      <c r="V102" s="65">
        <v>43</v>
      </c>
      <c r="AE102" s="65" t="s">
        <v>118</v>
      </c>
      <c r="AF102" s="65">
        <v>43</v>
      </c>
      <c r="AO102" s="65" t="s">
        <v>118</v>
      </c>
      <c r="AP102" s="65">
        <v>43</v>
      </c>
    </row>
    <row r="104" spans="1:49" ht="15" thickBot="1">
      <c r="A104" t="s">
        <v>189</v>
      </c>
      <c r="K104" t="s">
        <v>189</v>
      </c>
      <c r="U104" t="s">
        <v>189</v>
      </c>
      <c r="AE104" t="s">
        <v>189</v>
      </c>
      <c r="AO104" t="s">
        <v>189</v>
      </c>
    </row>
    <row r="105" spans="1:49">
      <c r="A105" s="67"/>
      <c r="B105" s="67" t="s">
        <v>120</v>
      </c>
      <c r="C105" s="67" t="s">
        <v>193</v>
      </c>
      <c r="D105" s="67" t="s">
        <v>194</v>
      </c>
      <c r="E105" s="67" t="s">
        <v>195</v>
      </c>
      <c r="F105" s="67" t="s">
        <v>196</v>
      </c>
      <c r="K105" s="67"/>
      <c r="L105" s="67" t="s">
        <v>120</v>
      </c>
      <c r="M105" s="67" t="s">
        <v>193</v>
      </c>
      <c r="N105" s="67" t="s">
        <v>194</v>
      </c>
      <c r="O105" s="67" t="s">
        <v>195</v>
      </c>
      <c r="P105" s="67" t="s">
        <v>196</v>
      </c>
      <c r="U105" s="67"/>
      <c r="V105" s="67" t="s">
        <v>120</v>
      </c>
      <c r="W105" s="67" t="s">
        <v>193</v>
      </c>
      <c r="X105" s="67" t="s">
        <v>194</v>
      </c>
      <c r="Y105" s="67" t="s">
        <v>195</v>
      </c>
      <c r="Z105" s="67" t="s">
        <v>196</v>
      </c>
      <c r="AE105" s="67"/>
      <c r="AF105" s="67" t="s">
        <v>120</v>
      </c>
      <c r="AG105" s="67" t="s">
        <v>193</v>
      </c>
      <c r="AH105" s="67" t="s">
        <v>194</v>
      </c>
      <c r="AI105" s="67" t="s">
        <v>195</v>
      </c>
      <c r="AJ105" s="67" t="s">
        <v>196</v>
      </c>
      <c r="AO105" s="67"/>
      <c r="AP105" s="67" t="s">
        <v>120</v>
      </c>
      <c r="AQ105" s="67" t="s">
        <v>193</v>
      </c>
      <c r="AR105" s="67" t="s">
        <v>194</v>
      </c>
      <c r="AS105" s="67" t="s">
        <v>195</v>
      </c>
      <c r="AT105" s="67" t="s">
        <v>196</v>
      </c>
    </row>
    <row r="106" spans="1:49">
      <c r="A106" t="s">
        <v>190</v>
      </c>
      <c r="B106">
        <v>1</v>
      </c>
      <c r="C106">
        <v>5.6907211525490404E-5</v>
      </c>
      <c r="D106">
        <v>5.6907211525490404E-5</v>
      </c>
      <c r="E106">
        <v>1.4617751513964619</v>
      </c>
      <c r="F106">
        <v>0.23357413779746344</v>
      </c>
      <c r="K106" t="s">
        <v>190</v>
      </c>
      <c r="L106">
        <v>1</v>
      </c>
      <c r="M106">
        <v>5.6245076185817977E-6</v>
      </c>
      <c r="N106">
        <v>5.6245076185817977E-6</v>
      </c>
      <c r="O106">
        <v>0.13997926251491796</v>
      </c>
      <c r="P106">
        <v>0.71022963381429483</v>
      </c>
      <c r="U106" t="s">
        <v>190</v>
      </c>
      <c r="V106">
        <v>1</v>
      </c>
      <c r="W106">
        <v>1.9063728987035386E-7</v>
      </c>
      <c r="X106">
        <v>1.9063728987035386E-7</v>
      </c>
      <c r="Y106">
        <v>4.7288650794055538E-3</v>
      </c>
      <c r="Z106">
        <v>0.94550958210419456</v>
      </c>
      <c r="AE106" t="s">
        <v>190</v>
      </c>
      <c r="AF106">
        <v>1</v>
      </c>
      <c r="AG106">
        <v>2.1781247148493828E-4</v>
      </c>
      <c r="AH106">
        <v>2.1781247148493828E-4</v>
      </c>
      <c r="AI106">
        <v>6.2222019127276136</v>
      </c>
      <c r="AJ106">
        <v>1.6738404798647032E-2</v>
      </c>
      <c r="AO106" t="s">
        <v>190</v>
      </c>
      <c r="AP106">
        <v>1</v>
      </c>
      <c r="AQ106">
        <v>1.3692123725053034E-5</v>
      </c>
      <c r="AR106">
        <v>1.3692123725053034E-5</v>
      </c>
      <c r="AS106">
        <v>0.3424380556589956</v>
      </c>
      <c r="AT106">
        <v>0.5616323741708299</v>
      </c>
    </row>
    <row r="107" spans="1:49">
      <c r="A107" t="s">
        <v>191</v>
      </c>
      <c r="B107">
        <v>41</v>
      </c>
      <c r="C107">
        <v>1.5961385513470795E-3</v>
      </c>
      <c r="D107">
        <v>3.8930208569440962E-5</v>
      </c>
      <c r="K107" t="s">
        <v>191</v>
      </c>
      <c r="L107">
        <v>41</v>
      </c>
      <c r="M107">
        <v>1.6474212552539881E-3</v>
      </c>
      <c r="N107">
        <v>4.018100622570703E-5</v>
      </c>
      <c r="U107" t="s">
        <v>191</v>
      </c>
      <c r="V107">
        <v>41</v>
      </c>
      <c r="W107">
        <v>1.6528551255826996E-3</v>
      </c>
      <c r="X107">
        <v>4.0313539648358523E-5</v>
      </c>
      <c r="AE107" t="s">
        <v>191</v>
      </c>
      <c r="AF107">
        <v>41</v>
      </c>
      <c r="AG107">
        <v>1.4352332913876316E-3</v>
      </c>
      <c r="AH107">
        <v>3.5005690033844674E-5</v>
      </c>
      <c r="AO107" t="s">
        <v>191</v>
      </c>
      <c r="AP107">
        <v>41</v>
      </c>
      <c r="AQ107">
        <v>1.6393536391475169E-3</v>
      </c>
      <c r="AR107">
        <v>3.9984235101158948E-5</v>
      </c>
    </row>
    <row r="108" spans="1:49" ht="15" thickBot="1">
      <c r="A108" s="65" t="s">
        <v>167</v>
      </c>
      <c r="B108" s="65">
        <v>42</v>
      </c>
      <c r="C108" s="65">
        <v>1.6530457628725699E-3</v>
      </c>
      <c r="D108" s="65"/>
      <c r="E108" s="65"/>
      <c r="F108" s="65"/>
      <c r="K108" s="65" t="s">
        <v>167</v>
      </c>
      <c r="L108" s="65">
        <v>42</v>
      </c>
      <c r="M108" s="65">
        <v>1.6530457628725699E-3</v>
      </c>
      <c r="N108" s="65"/>
      <c r="O108" s="65"/>
      <c r="P108" s="65"/>
      <c r="U108" s="65" t="s">
        <v>167</v>
      </c>
      <c r="V108" s="65">
        <v>42</v>
      </c>
      <c r="W108" s="65">
        <v>1.6530457628725699E-3</v>
      </c>
      <c r="X108" s="65"/>
      <c r="Y108" s="65"/>
      <c r="Z108" s="65"/>
      <c r="AE108" s="65" t="s">
        <v>167</v>
      </c>
      <c r="AF108" s="65">
        <v>42</v>
      </c>
      <c r="AG108" s="65">
        <v>1.6530457628725699E-3</v>
      </c>
      <c r="AH108" s="65"/>
      <c r="AI108" s="65"/>
      <c r="AJ108" s="65"/>
      <c r="AO108" s="65" t="s">
        <v>167</v>
      </c>
      <c r="AP108" s="65">
        <v>42</v>
      </c>
      <c r="AQ108" s="65">
        <v>1.6530457628725699E-3</v>
      </c>
      <c r="AR108" s="65"/>
      <c r="AS108" s="65"/>
      <c r="AT108" s="65"/>
    </row>
    <row r="109" spans="1:49" ht="15" thickBot="1"/>
    <row r="110" spans="1:49">
      <c r="A110" s="67"/>
      <c r="B110" s="67" t="s">
        <v>197</v>
      </c>
      <c r="C110" s="67" t="s">
        <v>188</v>
      </c>
      <c r="D110" s="67" t="s">
        <v>121</v>
      </c>
      <c r="E110" s="67" t="s">
        <v>198</v>
      </c>
      <c r="F110" s="67" t="s">
        <v>199</v>
      </c>
      <c r="G110" s="67" t="s">
        <v>200</v>
      </c>
      <c r="H110" s="67" t="s">
        <v>201</v>
      </c>
      <c r="I110" s="67" t="s">
        <v>202</v>
      </c>
      <c r="K110" s="67"/>
      <c r="L110" s="67" t="s">
        <v>197</v>
      </c>
      <c r="M110" s="67" t="s">
        <v>188</v>
      </c>
      <c r="N110" s="67" t="s">
        <v>121</v>
      </c>
      <c r="O110" s="67" t="s">
        <v>198</v>
      </c>
      <c r="P110" s="67" t="s">
        <v>199</v>
      </c>
      <c r="Q110" s="67" t="s">
        <v>200</v>
      </c>
      <c r="R110" s="67" t="s">
        <v>201</v>
      </c>
      <c r="S110" s="67" t="s">
        <v>202</v>
      </c>
      <c r="U110" s="67"/>
      <c r="V110" s="67" t="s">
        <v>197</v>
      </c>
      <c r="W110" s="67" t="s">
        <v>188</v>
      </c>
      <c r="X110" s="67" t="s">
        <v>121</v>
      </c>
      <c r="Y110" s="67" t="s">
        <v>198</v>
      </c>
      <c r="Z110" s="67" t="s">
        <v>199</v>
      </c>
      <c r="AA110" s="67" t="s">
        <v>200</v>
      </c>
      <c r="AB110" s="67" t="s">
        <v>201</v>
      </c>
      <c r="AC110" s="67" t="s">
        <v>202</v>
      </c>
      <c r="AE110" s="67"/>
      <c r="AF110" s="67" t="s">
        <v>197</v>
      </c>
      <c r="AG110" s="67" t="s">
        <v>188</v>
      </c>
      <c r="AH110" s="67" t="s">
        <v>121</v>
      </c>
      <c r="AI110" s="67" t="s">
        <v>198</v>
      </c>
      <c r="AJ110" s="67" t="s">
        <v>199</v>
      </c>
      <c r="AK110" s="67" t="s">
        <v>200</v>
      </c>
      <c r="AL110" s="67" t="s">
        <v>201</v>
      </c>
      <c r="AM110" s="67" t="s">
        <v>202</v>
      </c>
      <c r="AO110" s="67"/>
      <c r="AP110" s="67" t="s">
        <v>197</v>
      </c>
      <c r="AQ110" s="67" t="s">
        <v>188</v>
      </c>
      <c r="AR110" s="67" t="s">
        <v>121</v>
      </c>
      <c r="AS110" s="67" t="s">
        <v>198</v>
      </c>
      <c r="AT110" s="67" t="s">
        <v>199</v>
      </c>
      <c r="AU110" s="67" t="s">
        <v>200</v>
      </c>
      <c r="AV110" s="67" t="s">
        <v>201</v>
      </c>
      <c r="AW110" s="67" t="s">
        <v>202</v>
      </c>
    </row>
    <row r="111" spans="1:49">
      <c r="A111" t="s">
        <v>192</v>
      </c>
      <c r="B111">
        <v>1.1729698115949859E-3</v>
      </c>
      <c r="C111">
        <v>9.574909191816316E-4</v>
      </c>
      <c r="D111">
        <v>1.2250453639785162</v>
      </c>
      <c r="E111">
        <v>0.22754965834530982</v>
      </c>
      <c r="F111">
        <v>-7.6072232851789206E-4</v>
      </c>
      <c r="G111">
        <v>3.1066619517078637E-3</v>
      </c>
      <c r="H111">
        <v>-7.6072232851789206E-4</v>
      </c>
      <c r="I111">
        <v>3.1066619517078637E-3</v>
      </c>
      <c r="K111" t="s">
        <v>192</v>
      </c>
      <c r="L111">
        <v>1.0518949395703903E-3</v>
      </c>
      <c r="M111">
        <v>9.6691469187985661E-4</v>
      </c>
      <c r="N111">
        <v>1.0878880509358242</v>
      </c>
      <c r="O111">
        <v>0.28299848673579286</v>
      </c>
      <c r="P111">
        <v>-9.0082889560268013E-4</v>
      </c>
      <c r="Q111">
        <v>3.0046187747434609E-3</v>
      </c>
      <c r="R111">
        <v>-9.0082889560268013E-4</v>
      </c>
      <c r="S111">
        <v>3.0046187747434609E-3</v>
      </c>
      <c r="U111" t="s">
        <v>192</v>
      </c>
      <c r="V111">
        <v>1.0406020870060895E-3</v>
      </c>
      <c r="W111">
        <v>9.6929280960931412E-4</v>
      </c>
      <c r="X111">
        <v>1.0735683548767039</v>
      </c>
      <c r="Y111">
        <v>0.28929428004135099</v>
      </c>
      <c r="Z111">
        <v>-9.1692445435415343E-4</v>
      </c>
      <c r="AA111">
        <v>2.9981286283663321E-3</v>
      </c>
      <c r="AB111">
        <v>-9.1692445435415343E-4</v>
      </c>
      <c r="AC111">
        <v>2.9981286283663321E-3</v>
      </c>
      <c r="AE111" t="s">
        <v>192</v>
      </c>
      <c r="AF111">
        <v>1.046399194661382E-3</v>
      </c>
      <c r="AG111">
        <v>9.0226769995334322E-4</v>
      </c>
      <c r="AH111">
        <v>1.1597436046037024</v>
      </c>
      <c r="AI111">
        <v>0.25286258635317893</v>
      </c>
      <c r="AJ111">
        <v>-7.7576739170030166E-4</v>
      </c>
      <c r="AK111">
        <v>2.8685657810230657E-3</v>
      </c>
      <c r="AL111">
        <v>-7.7576739170030166E-4</v>
      </c>
      <c r="AM111">
        <v>2.8685657810230657E-3</v>
      </c>
      <c r="AO111" t="s">
        <v>192</v>
      </c>
      <c r="AP111">
        <v>1.0956704423665023E-3</v>
      </c>
      <c r="AQ111">
        <v>9.6837963065319341E-4</v>
      </c>
      <c r="AR111">
        <v>1.1314472214037055</v>
      </c>
      <c r="AS111">
        <v>0.2644415823059148</v>
      </c>
      <c r="AT111">
        <v>-8.6001189667851002E-4</v>
      </c>
      <c r="AU111">
        <v>3.0513527814115147E-3</v>
      </c>
      <c r="AV111">
        <v>-8.6001189667851002E-4</v>
      </c>
      <c r="AW111">
        <v>3.0513527814115147E-3</v>
      </c>
    </row>
    <row r="112" spans="1:49" ht="15" thickBot="1">
      <c r="A112" s="65" t="s">
        <v>16</v>
      </c>
      <c r="B112" s="65">
        <v>-5.9267373409007534E-2</v>
      </c>
      <c r="C112" s="65">
        <v>4.9020235486974817E-2</v>
      </c>
      <c r="D112" s="65">
        <v>-1.2090389370886536</v>
      </c>
      <c r="E112" s="65">
        <v>0.23357413779746344</v>
      </c>
      <c r="F112" s="65">
        <v>-0.15826574735563748</v>
      </c>
      <c r="G112" s="65">
        <v>3.9731000537622393E-2</v>
      </c>
      <c r="H112" s="65">
        <v>-0.15826574735563748</v>
      </c>
      <c r="I112" s="65">
        <v>3.9731000537622393E-2</v>
      </c>
      <c r="K112" s="65" t="s">
        <v>16</v>
      </c>
      <c r="L112" s="65">
        <v>1.6478704486457357E-2</v>
      </c>
      <c r="M112" s="65">
        <v>4.4044452422302101E-2</v>
      </c>
      <c r="N112" s="65">
        <v>0.37413802602103174</v>
      </c>
      <c r="O112" s="65">
        <v>0.71022963381429838</v>
      </c>
      <c r="P112" s="65">
        <v>-7.2470871701037679E-2</v>
      </c>
      <c r="Q112" s="65">
        <v>0.10542828067395239</v>
      </c>
      <c r="R112" s="65">
        <v>-7.2470871701037679E-2</v>
      </c>
      <c r="S112" s="65">
        <v>0.10542828067395239</v>
      </c>
      <c r="U112" s="65" t="s">
        <v>16</v>
      </c>
      <c r="V112" s="65">
        <v>-5.1611514673997076E-3</v>
      </c>
      <c r="W112" s="65">
        <v>7.5053014985281677E-2</v>
      </c>
      <c r="X112" s="65">
        <v>-6.8766743993053964E-2</v>
      </c>
      <c r="Y112" s="65">
        <v>0.94550958210419078</v>
      </c>
      <c r="Z112" s="65">
        <v>-0.15673379018532665</v>
      </c>
      <c r="AA112" s="65">
        <v>0.14641148725052724</v>
      </c>
      <c r="AB112" s="65">
        <v>-0.15673379018532665</v>
      </c>
      <c r="AC112" s="65">
        <v>0.14641148725052724</v>
      </c>
      <c r="AE112" s="65" t="s">
        <v>16</v>
      </c>
      <c r="AF112" s="65">
        <v>8.7424422379840716E-2</v>
      </c>
      <c r="AG112" s="65">
        <v>3.5047796746574031E-2</v>
      </c>
      <c r="AH112" s="65">
        <v>2.494434186890409</v>
      </c>
      <c r="AI112" s="65">
        <v>1.6738404798647077E-2</v>
      </c>
      <c r="AJ112" s="65">
        <v>1.6643960926432472E-2</v>
      </c>
      <c r="AK112" s="65">
        <v>0.15820488383324896</v>
      </c>
      <c r="AL112" s="65">
        <v>1.6643960926432472E-2</v>
      </c>
      <c r="AM112" s="65">
        <v>0.15820488383324896</v>
      </c>
      <c r="AO112" s="65" t="s">
        <v>16</v>
      </c>
      <c r="AP112" s="65">
        <v>2.3977140785969537E-2</v>
      </c>
      <c r="AQ112" s="65">
        <v>4.0973813098257129E-2</v>
      </c>
      <c r="AR112" s="65">
        <v>0.58518207052077942</v>
      </c>
      <c r="AS112" s="65">
        <v>0.56163237417083511</v>
      </c>
      <c r="AT112" s="65">
        <v>-5.8771153481168265E-2</v>
      </c>
      <c r="AU112" s="65">
        <v>0.10672543505310733</v>
      </c>
      <c r="AV112" s="65">
        <v>-5.8771153481168265E-2</v>
      </c>
      <c r="AW112" s="65">
        <v>0.10672543505310733</v>
      </c>
    </row>
    <row r="115" spans="1:46">
      <c r="A115" t="s">
        <v>183</v>
      </c>
      <c r="K115" t="s">
        <v>183</v>
      </c>
      <c r="U115" t="s">
        <v>183</v>
      </c>
      <c r="AE115" t="s">
        <v>183</v>
      </c>
      <c r="AO115" t="s">
        <v>183</v>
      </c>
    </row>
    <row r="116" spans="1:46" ht="15" thickBot="1">
      <c r="A116" s="204" t="s">
        <v>47</v>
      </c>
      <c r="B116" s="204"/>
      <c r="K116" s="204" t="s">
        <v>209</v>
      </c>
      <c r="L116" s="204"/>
      <c r="U116" s="204" t="s">
        <v>278</v>
      </c>
      <c r="V116" s="204"/>
      <c r="AE116" s="204" t="s">
        <v>55</v>
      </c>
      <c r="AF116" s="204"/>
      <c r="AO116" s="204" t="s">
        <v>57</v>
      </c>
      <c r="AP116" s="204"/>
    </row>
    <row r="117" spans="1:46">
      <c r="A117" s="128" t="s">
        <v>184</v>
      </c>
      <c r="B117" s="128"/>
      <c r="K117" s="128" t="s">
        <v>184</v>
      </c>
      <c r="L117" s="128"/>
      <c r="U117" s="128" t="s">
        <v>184</v>
      </c>
      <c r="V117" s="128"/>
      <c r="AE117" s="128" t="s">
        <v>184</v>
      </c>
      <c r="AF117" s="128"/>
      <c r="AO117" s="128" t="s">
        <v>184</v>
      </c>
      <c r="AP117" s="128"/>
    </row>
    <row r="118" spans="1:46">
      <c r="A118" t="s">
        <v>185</v>
      </c>
      <c r="B118">
        <v>8.5964902439351468E-2</v>
      </c>
      <c r="K118" t="s">
        <v>185</v>
      </c>
      <c r="L118">
        <v>7.9563351264759788E-2</v>
      </c>
      <c r="U118" t="s">
        <v>185</v>
      </c>
      <c r="V118">
        <v>7.5422146394653167E-2</v>
      </c>
      <c r="AE118" t="s">
        <v>185</v>
      </c>
      <c r="AF118">
        <v>0.27674360650042362</v>
      </c>
      <c r="AO118" t="s">
        <v>185</v>
      </c>
      <c r="AP118">
        <v>0.28028815579659094</v>
      </c>
    </row>
    <row r="119" spans="1:46">
      <c r="A119" t="s">
        <v>186</v>
      </c>
      <c r="B119">
        <v>7.389964451407216E-3</v>
      </c>
      <c r="K119" t="s">
        <v>186</v>
      </c>
      <c r="L119">
        <v>6.330326864479552E-3</v>
      </c>
      <c r="U119" t="s">
        <v>186</v>
      </c>
      <c r="V119">
        <v>5.6885001667764928E-3</v>
      </c>
      <c r="AE119" t="s">
        <v>186</v>
      </c>
      <c r="AF119">
        <v>7.658702373886131E-2</v>
      </c>
      <c r="AO119" t="s">
        <v>186</v>
      </c>
      <c r="AP119">
        <v>7.8561450279854034E-2</v>
      </c>
    </row>
    <row r="120" spans="1:46">
      <c r="A120" t="s">
        <v>187</v>
      </c>
      <c r="B120">
        <v>-1.6820036415631633E-2</v>
      </c>
      <c r="K120" t="s">
        <v>187</v>
      </c>
      <c r="L120">
        <v>-1.7905518821752654E-2</v>
      </c>
      <c r="U120" t="s">
        <v>187</v>
      </c>
      <c r="V120">
        <v>-1.8562999829155786E-2</v>
      </c>
      <c r="AE120" t="s">
        <v>187</v>
      </c>
      <c r="AF120">
        <v>5.4064756025175006E-2</v>
      </c>
      <c r="AO120" t="s">
        <v>187</v>
      </c>
      <c r="AP120">
        <v>5.6087339311069989E-2</v>
      </c>
    </row>
    <row r="121" spans="1:46">
      <c r="A121" t="s">
        <v>188</v>
      </c>
      <c r="B121">
        <v>6.326155179285425E-3</v>
      </c>
      <c r="K121" t="s">
        <v>188</v>
      </c>
      <c r="L121">
        <v>6.3295309479660181E-3</v>
      </c>
      <c r="U121" t="s">
        <v>188</v>
      </c>
      <c r="V121">
        <v>6.3315747892274008E-3</v>
      </c>
      <c r="AE121" t="s">
        <v>188</v>
      </c>
      <c r="AF121">
        <v>6.101666920964372E-3</v>
      </c>
      <c r="AO121" t="s">
        <v>188</v>
      </c>
      <c r="AP121">
        <v>6.0951401879921034E-3</v>
      </c>
    </row>
    <row r="122" spans="1:46" ht="15" thickBot="1">
      <c r="A122" s="65" t="s">
        <v>118</v>
      </c>
      <c r="B122" s="65">
        <v>43</v>
      </c>
      <c r="K122" s="65" t="s">
        <v>118</v>
      </c>
      <c r="L122" s="65">
        <v>43</v>
      </c>
      <c r="U122" s="65" t="s">
        <v>118</v>
      </c>
      <c r="V122" s="65">
        <v>43</v>
      </c>
      <c r="AE122" s="65" t="s">
        <v>118</v>
      </c>
      <c r="AF122" s="65">
        <v>43</v>
      </c>
      <c r="AO122" s="65" t="s">
        <v>118</v>
      </c>
      <c r="AP122" s="65">
        <v>43</v>
      </c>
    </row>
    <row r="124" spans="1:46" ht="15" thickBot="1">
      <c r="A124" t="s">
        <v>189</v>
      </c>
      <c r="K124" t="s">
        <v>189</v>
      </c>
      <c r="U124" t="s">
        <v>189</v>
      </c>
      <c r="AE124" t="s">
        <v>189</v>
      </c>
      <c r="AO124" t="s">
        <v>189</v>
      </c>
    </row>
    <row r="125" spans="1:46">
      <c r="A125" s="67"/>
      <c r="B125" s="67" t="s">
        <v>120</v>
      </c>
      <c r="C125" s="67" t="s">
        <v>193</v>
      </c>
      <c r="D125" s="67" t="s">
        <v>194</v>
      </c>
      <c r="E125" s="67" t="s">
        <v>195</v>
      </c>
      <c r="F125" s="67" t="s">
        <v>196</v>
      </c>
      <c r="K125" s="67"/>
      <c r="L125" s="67" t="s">
        <v>120</v>
      </c>
      <c r="M125" s="67" t="s">
        <v>193</v>
      </c>
      <c r="N125" s="67" t="s">
        <v>194</v>
      </c>
      <c r="O125" s="67" t="s">
        <v>195</v>
      </c>
      <c r="P125" s="67" t="s">
        <v>196</v>
      </c>
      <c r="U125" s="67"/>
      <c r="V125" s="67" t="s">
        <v>120</v>
      </c>
      <c r="W125" s="67" t="s">
        <v>193</v>
      </c>
      <c r="X125" s="67" t="s">
        <v>194</v>
      </c>
      <c r="Y125" s="67" t="s">
        <v>195</v>
      </c>
      <c r="Z125" s="67" t="s">
        <v>196</v>
      </c>
      <c r="AE125" s="67"/>
      <c r="AF125" s="67" t="s">
        <v>120</v>
      </c>
      <c r="AG125" s="67" t="s">
        <v>193</v>
      </c>
      <c r="AH125" s="67" t="s">
        <v>194</v>
      </c>
      <c r="AI125" s="67" t="s">
        <v>195</v>
      </c>
      <c r="AJ125" s="67" t="s">
        <v>196</v>
      </c>
      <c r="AO125" s="67"/>
      <c r="AP125" s="67" t="s">
        <v>120</v>
      </c>
      <c r="AQ125" s="67" t="s">
        <v>193</v>
      </c>
      <c r="AR125" s="67" t="s">
        <v>194</v>
      </c>
      <c r="AS125" s="67" t="s">
        <v>195</v>
      </c>
      <c r="AT125" s="67" t="s">
        <v>196</v>
      </c>
    </row>
    <row r="126" spans="1:46">
      <c r="A126" t="s">
        <v>190</v>
      </c>
      <c r="B126">
        <v>1</v>
      </c>
      <c r="C126">
        <v>1.2215949424177613E-5</v>
      </c>
      <c r="D126">
        <v>1.2215949424177613E-5</v>
      </c>
      <c r="E126">
        <v>0.30524428693715661</v>
      </c>
      <c r="F126">
        <v>0.58361291196931042</v>
      </c>
      <c r="K126" t="s">
        <v>190</v>
      </c>
      <c r="L126">
        <v>1</v>
      </c>
      <c r="M126">
        <v>1.0464320000926324E-5</v>
      </c>
      <c r="N126">
        <v>1.0464320000926324E-5</v>
      </c>
      <c r="O126">
        <v>0.26119686296218897</v>
      </c>
      <c r="P126">
        <v>0.61204036890837932</v>
      </c>
      <c r="U126" t="s">
        <v>190</v>
      </c>
      <c r="V126">
        <v>1</v>
      </c>
      <c r="W126">
        <v>9.4033510977897892E-6</v>
      </c>
      <c r="X126">
        <v>9.4033510977897892E-6</v>
      </c>
      <c r="Y126">
        <v>0.23456281746410032</v>
      </c>
      <c r="Z126">
        <v>0.63073824161163539</v>
      </c>
      <c r="AE126" t="s">
        <v>190</v>
      </c>
      <c r="AF126">
        <v>1</v>
      </c>
      <c r="AG126">
        <v>1.2660185508254563E-4</v>
      </c>
      <c r="AH126">
        <v>1.2660185508254563E-4</v>
      </c>
      <c r="AI126">
        <v>3.4005023256304243</v>
      </c>
      <c r="AJ126">
        <v>7.2411228986458048E-2</v>
      </c>
      <c r="AO126" t="s">
        <v>190</v>
      </c>
      <c r="AP126">
        <v>1</v>
      </c>
      <c r="AQ126">
        <v>1.2986567251023679E-4</v>
      </c>
      <c r="AR126">
        <v>1.2986567251023679E-4</v>
      </c>
      <c r="AS126">
        <v>3.4956421808619633</v>
      </c>
      <c r="AT126">
        <v>6.868339092039194E-2</v>
      </c>
    </row>
    <row r="127" spans="1:46">
      <c r="A127" t="s">
        <v>191</v>
      </c>
      <c r="B127">
        <v>41</v>
      </c>
      <c r="C127">
        <v>1.6408298134483923E-3</v>
      </c>
      <c r="D127">
        <v>4.0020239352399811E-5</v>
      </c>
      <c r="K127" t="s">
        <v>191</v>
      </c>
      <c r="L127">
        <v>41</v>
      </c>
      <c r="M127">
        <v>1.6425814428716436E-3</v>
      </c>
      <c r="N127">
        <v>4.0062962021259601E-5</v>
      </c>
      <c r="U127" t="s">
        <v>191</v>
      </c>
      <c r="V127">
        <v>41</v>
      </c>
      <c r="W127">
        <v>1.6436424117747801E-3</v>
      </c>
      <c r="X127">
        <v>4.008883931158E-5</v>
      </c>
      <c r="AE127" t="s">
        <v>191</v>
      </c>
      <c r="AF127">
        <v>41</v>
      </c>
      <c r="AG127">
        <v>1.5264439077900243E-3</v>
      </c>
      <c r="AH127">
        <v>3.7230339214390837E-5</v>
      </c>
      <c r="AO127" t="s">
        <v>191</v>
      </c>
      <c r="AP127">
        <v>41</v>
      </c>
      <c r="AQ127">
        <v>1.5231800903623331E-3</v>
      </c>
      <c r="AR127">
        <v>3.7150733911276419E-5</v>
      </c>
    </row>
    <row r="128" spans="1:46" ht="15" thickBot="1">
      <c r="A128" s="65" t="s">
        <v>167</v>
      </c>
      <c r="B128" s="65">
        <v>42</v>
      </c>
      <c r="C128" s="65">
        <v>1.6530457628725699E-3</v>
      </c>
      <c r="D128" s="65"/>
      <c r="E128" s="65"/>
      <c r="F128" s="65"/>
      <c r="K128" s="65" t="s">
        <v>167</v>
      </c>
      <c r="L128" s="65">
        <v>42</v>
      </c>
      <c r="M128" s="65">
        <v>1.6530457628725699E-3</v>
      </c>
      <c r="N128" s="65"/>
      <c r="O128" s="65"/>
      <c r="P128" s="65"/>
      <c r="U128" s="65" t="s">
        <v>167</v>
      </c>
      <c r="V128" s="65">
        <v>42</v>
      </c>
      <c r="W128" s="65">
        <v>1.6530457628725699E-3</v>
      </c>
      <c r="X128" s="65"/>
      <c r="Y128" s="65"/>
      <c r="Z128" s="65"/>
      <c r="AE128" s="65" t="s">
        <v>167</v>
      </c>
      <c r="AF128" s="65">
        <v>42</v>
      </c>
      <c r="AG128" s="65">
        <v>1.6530457628725699E-3</v>
      </c>
      <c r="AH128" s="65"/>
      <c r="AI128" s="65"/>
      <c r="AJ128" s="65"/>
      <c r="AO128" s="65" t="s">
        <v>167</v>
      </c>
      <c r="AP128" s="65">
        <v>42</v>
      </c>
      <c r="AQ128" s="65">
        <v>1.6530457628725699E-3</v>
      </c>
      <c r="AR128" s="65"/>
      <c r="AS128" s="65"/>
      <c r="AT128" s="65"/>
    </row>
    <row r="129" spans="1:49" ht="15" thickBot="1"/>
    <row r="130" spans="1:49">
      <c r="A130" s="67"/>
      <c r="B130" s="67" t="s">
        <v>197</v>
      </c>
      <c r="C130" s="67" t="s">
        <v>188</v>
      </c>
      <c r="D130" s="67" t="s">
        <v>121</v>
      </c>
      <c r="E130" s="67" t="s">
        <v>198</v>
      </c>
      <c r="F130" s="67" t="s">
        <v>199</v>
      </c>
      <c r="G130" s="67" t="s">
        <v>200</v>
      </c>
      <c r="H130" s="67" t="s">
        <v>201</v>
      </c>
      <c r="I130" s="67" t="s">
        <v>202</v>
      </c>
      <c r="K130" s="67"/>
      <c r="L130" s="67" t="s">
        <v>197</v>
      </c>
      <c r="M130" s="67" t="s">
        <v>188</v>
      </c>
      <c r="N130" s="67" t="s">
        <v>121</v>
      </c>
      <c r="O130" s="67" t="s">
        <v>198</v>
      </c>
      <c r="P130" s="67" t="s">
        <v>199</v>
      </c>
      <c r="Q130" s="67" t="s">
        <v>200</v>
      </c>
      <c r="R130" s="67" t="s">
        <v>201</v>
      </c>
      <c r="S130" s="67" t="s">
        <v>202</v>
      </c>
      <c r="U130" s="67"/>
      <c r="V130" s="67" t="s">
        <v>197</v>
      </c>
      <c r="W130" s="67" t="s">
        <v>188</v>
      </c>
      <c r="X130" s="67" t="s">
        <v>121</v>
      </c>
      <c r="Y130" s="67" t="s">
        <v>198</v>
      </c>
      <c r="Z130" s="67" t="s">
        <v>199</v>
      </c>
      <c r="AA130" s="67" t="s">
        <v>200</v>
      </c>
      <c r="AB130" s="67" t="s">
        <v>201</v>
      </c>
      <c r="AC130" s="67" t="s">
        <v>202</v>
      </c>
      <c r="AE130" s="67"/>
      <c r="AF130" s="67" t="s">
        <v>197</v>
      </c>
      <c r="AG130" s="67" t="s">
        <v>188</v>
      </c>
      <c r="AH130" s="67" t="s">
        <v>121</v>
      </c>
      <c r="AI130" s="67" t="s">
        <v>198</v>
      </c>
      <c r="AJ130" s="67" t="s">
        <v>199</v>
      </c>
      <c r="AK130" s="67" t="s">
        <v>200</v>
      </c>
      <c r="AL130" s="67" t="s">
        <v>201</v>
      </c>
      <c r="AM130" s="67" t="s">
        <v>202</v>
      </c>
      <c r="AO130" s="67"/>
      <c r="AP130" s="67" t="s">
        <v>197</v>
      </c>
      <c r="AQ130" s="67" t="s">
        <v>188</v>
      </c>
      <c r="AR130" s="67" t="s">
        <v>121</v>
      </c>
      <c r="AS130" s="67" t="s">
        <v>198</v>
      </c>
      <c r="AT130" s="67" t="s">
        <v>199</v>
      </c>
      <c r="AU130" s="67" t="s">
        <v>200</v>
      </c>
      <c r="AV130" s="67" t="s">
        <v>201</v>
      </c>
      <c r="AW130" s="67" t="s">
        <v>202</v>
      </c>
    </row>
    <row r="131" spans="1:49">
      <c r="A131" t="s">
        <v>192</v>
      </c>
      <c r="B131">
        <v>1.0919529305896125E-3</v>
      </c>
      <c r="C131">
        <v>9.6867802967450076E-4</v>
      </c>
      <c r="D131">
        <v>1.1272609650871663</v>
      </c>
      <c r="E131">
        <v>0.2661863117422727</v>
      </c>
      <c r="F131">
        <v>-8.6433203750446936E-4</v>
      </c>
      <c r="G131">
        <v>3.0482378986836944E-3</v>
      </c>
      <c r="H131">
        <v>-8.6433203750446936E-4</v>
      </c>
      <c r="I131">
        <v>3.0482378986836944E-3</v>
      </c>
      <c r="K131" t="s">
        <v>192</v>
      </c>
      <c r="L131">
        <v>1.1736831142055062E-3</v>
      </c>
      <c r="M131">
        <v>9.9819900852048658E-4</v>
      </c>
      <c r="N131">
        <v>1.1758007212861483</v>
      </c>
      <c r="O131">
        <v>0.24645708886761106</v>
      </c>
      <c r="P131">
        <v>-8.4222068015557712E-4</v>
      </c>
      <c r="Q131">
        <v>3.1895869085665895E-3</v>
      </c>
      <c r="R131">
        <v>-8.4222068015557712E-4</v>
      </c>
      <c r="S131">
        <v>3.1895869085665895E-3</v>
      </c>
      <c r="U131" t="s">
        <v>192</v>
      </c>
      <c r="V131">
        <v>1.0347496510264629E-3</v>
      </c>
      <c r="W131">
        <v>9.6573218223245738E-4</v>
      </c>
      <c r="X131">
        <v>1.0714664687206132</v>
      </c>
      <c r="Y131">
        <v>0.29022656719173584</v>
      </c>
      <c r="Z131">
        <v>-9.1558605746574259E-4</v>
      </c>
      <c r="AA131">
        <v>2.9850853595186685E-3</v>
      </c>
      <c r="AB131">
        <v>-9.1558605746574259E-4</v>
      </c>
      <c r="AC131">
        <v>2.9850853595186685E-3</v>
      </c>
      <c r="AE131" t="s">
        <v>192</v>
      </c>
      <c r="AF131">
        <v>7.3912356645220974E-4</v>
      </c>
      <c r="AG131">
        <v>9.4503900692754518E-4</v>
      </c>
      <c r="AH131">
        <v>0.7821090569109993</v>
      </c>
      <c r="AI131">
        <v>0.43864417646459841</v>
      </c>
      <c r="AJ131">
        <v>-1.1694214267031998E-3</v>
      </c>
      <c r="AK131">
        <v>2.6476685596076195E-3</v>
      </c>
      <c r="AL131">
        <v>-1.1694214267031998E-3</v>
      </c>
      <c r="AM131">
        <v>2.6476685596076195E-3</v>
      </c>
      <c r="AO131" t="s">
        <v>192</v>
      </c>
      <c r="AP131">
        <v>9.6393447082677953E-4</v>
      </c>
      <c r="AQ131">
        <v>9.3047827173594201E-4</v>
      </c>
      <c r="AR131">
        <v>1.035955916550765</v>
      </c>
      <c r="AS131">
        <v>0.30629441194343926</v>
      </c>
      <c r="AT131">
        <v>-9.152045210494399E-4</v>
      </c>
      <c r="AU131">
        <v>2.843073462702999E-3</v>
      </c>
      <c r="AV131">
        <v>-9.152045210494399E-4</v>
      </c>
      <c r="AW131">
        <v>2.843073462702999E-3</v>
      </c>
    </row>
    <row r="132" spans="1:49" ht="15" thickBot="1">
      <c r="A132" s="65" t="s">
        <v>16</v>
      </c>
      <c r="B132" s="65">
        <v>-1.7211374857697144E-2</v>
      </c>
      <c r="C132" s="65">
        <v>3.1152420138434975E-2</v>
      </c>
      <c r="D132" s="65">
        <v>-0.55248917359271987</v>
      </c>
      <c r="E132" s="65">
        <v>0.5836129119693042</v>
      </c>
      <c r="F132" s="65">
        <v>-8.0124963655669595E-2</v>
      </c>
      <c r="G132" s="65">
        <v>4.5702213940275314E-2</v>
      </c>
      <c r="H132" s="65">
        <v>-8.0124963655669595E-2</v>
      </c>
      <c r="I132" s="65">
        <v>4.5702213940275314E-2</v>
      </c>
      <c r="K132" s="65" t="s">
        <v>16</v>
      </c>
      <c r="L132" s="65">
        <v>-6.5140711499171184E-3</v>
      </c>
      <c r="M132" s="65">
        <v>1.2745841675182439E-2</v>
      </c>
      <c r="N132" s="65">
        <v>-0.51107422451361018</v>
      </c>
      <c r="O132" s="65">
        <v>0.61204036890837998</v>
      </c>
      <c r="P132" s="65">
        <v>-3.2254820615707204E-2</v>
      </c>
      <c r="Q132" s="65">
        <v>1.9226678315872964E-2</v>
      </c>
      <c r="R132" s="65">
        <v>-3.2254820615707204E-2</v>
      </c>
      <c r="S132" s="65">
        <v>1.9226678315872964E-2</v>
      </c>
      <c r="U132" s="65" t="s">
        <v>16</v>
      </c>
      <c r="V132" s="65">
        <v>1.3661471641062583E-2</v>
      </c>
      <c r="W132" s="65">
        <v>2.8207714553949312E-2</v>
      </c>
      <c r="X132" s="65">
        <v>0.48431685647321843</v>
      </c>
      <c r="Y132" s="65">
        <v>0.63073824161163561</v>
      </c>
      <c r="Z132" s="65">
        <v>-4.3305163583153561E-2</v>
      </c>
      <c r="AA132" s="65">
        <v>7.062810686527872E-2</v>
      </c>
      <c r="AB132" s="65">
        <v>-4.3305163583153561E-2</v>
      </c>
      <c r="AC132" s="65">
        <v>7.062810686527872E-2</v>
      </c>
      <c r="AE132" s="65" t="s">
        <v>16</v>
      </c>
      <c r="AF132" s="65">
        <v>0.19232535723716065</v>
      </c>
      <c r="AG132" s="65">
        <v>0.10429536532718886</v>
      </c>
      <c r="AH132" s="65">
        <v>1.8440450985890853</v>
      </c>
      <c r="AI132" s="65">
        <v>7.2411228986457854E-2</v>
      </c>
      <c r="AJ132" s="65">
        <v>-1.8303406068248235E-2</v>
      </c>
      <c r="AK132" s="65">
        <v>0.40295412054256952</v>
      </c>
      <c r="AL132" s="65">
        <v>-1.8303406068248235E-2</v>
      </c>
      <c r="AM132" s="65">
        <v>0.40295412054256952</v>
      </c>
      <c r="AO132" s="65" t="s">
        <v>16</v>
      </c>
      <c r="AP132" s="65">
        <v>-7.4937344441090445E-2</v>
      </c>
      <c r="AQ132" s="65">
        <v>4.0080655288859117E-2</v>
      </c>
      <c r="AR132" s="65">
        <v>-1.8696636544742358</v>
      </c>
      <c r="AS132" s="65">
        <v>6.8683390920392204E-2</v>
      </c>
      <c r="AT132" s="65">
        <v>-0.15588186991907926</v>
      </c>
      <c r="AU132" s="65">
        <v>6.0071810368983874E-3</v>
      </c>
      <c r="AV132" s="65">
        <v>-0.15588186991907926</v>
      </c>
      <c r="AW132" s="65">
        <v>6.0071810368983874E-3</v>
      </c>
    </row>
    <row r="222" spans="21:22">
      <c r="U222" t="s">
        <v>183</v>
      </c>
    </row>
    <row r="223" spans="21:22" ht="15" thickBot="1"/>
    <row r="224" spans="21:22">
      <c r="U224" s="128" t="s">
        <v>184</v>
      </c>
      <c r="V224" s="128"/>
    </row>
    <row r="225" spans="21:29">
      <c r="U225" t="s">
        <v>185</v>
      </c>
      <c r="V225">
        <v>4.142544307884747E-3</v>
      </c>
    </row>
    <row r="226" spans="21:29">
      <c r="U226" t="s">
        <v>186</v>
      </c>
      <c r="V226">
        <v>1.7160673342788317E-5</v>
      </c>
    </row>
    <row r="227" spans="21:29">
      <c r="U227" t="s">
        <v>187</v>
      </c>
      <c r="V227">
        <v>-2.6298177203674507E-2</v>
      </c>
    </row>
    <row r="228" spans="21:29">
      <c r="U228" t="s">
        <v>188</v>
      </c>
      <c r="V228">
        <v>7.0934965363268427E-3</v>
      </c>
    </row>
    <row r="229" spans="21:29" ht="15" thickBot="1">
      <c r="U229" s="65" t="s">
        <v>118</v>
      </c>
      <c r="V229" s="65">
        <v>40</v>
      </c>
    </row>
    <row r="231" spans="21:29" ht="15" thickBot="1">
      <c r="U231" t="s">
        <v>189</v>
      </c>
    </row>
    <row r="232" spans="21:29">
      <c r="U232" s="67"/>
      <c r="V232" s="67" t="s">
        <v>120</v>
      </c>
      <c r="W232" s="67" t="s">
        <v>193</v>
      </c>
      <c r="X232" s="67" t="s">
        <v>194</v>
      </c>
      <c r="Y232" s="67" t="s">
        <v>195</v>
      </c>
      <c r="Z232" s="67" t="s">
        <v>196</v>
      </c>
    </row>
    <row r="233" spans="21:29">
      <c r="U233" t="s">
        <v>190</v>
      </c>
      <c r="V233">
        <v>1</v>
      </c>
      <c r="W233">
        <v>3.2813011897241465E-8</v>
      </c>
      <c r="X233">
        <v>3.2813011897241465E-8</v>
      </c>
      <c r="Y233">
        <v>6.5211677778896106E-4</v>
      </c>
      <c r="Z233">
        <v>0.97976060921473807</v>
      </c>
    </row>
    <row r="234" spans="21:29">
      <c r="U234" t="s">
        <v>191</v>
      </c>
      <c r="V234">
        <v>38</v>
      </c>
      <c r="W234">
        <v>1.9120723382134747E-3</v>
      </c>
      <c r="X234">
        <v>5.0317693110880911E-5</v>
      </c>
    </row>
    <row r="235" spans="21:29" ht="15" thickBot="1">
      <c r="U235" s="65" t="s">
        <v>167</v>
      </c>
      <c r="V235" s="65">
        <v>39</v>
      </c>
      <c r="W235" s="65">
        <v>1.9121051512253719E-3</v>
      </c>
      <c r="X235" s="65"/>
      <c r="Y235" s="65"/>
      <c r="Z235" s="65"/>
    </row>
    <row r="236" spans="21:29" ht="15" thickBot="1"/>
    <row r="237" spans="21:29">
      <c r="U237" s="67"/>
      <c r="V237" s="67" t="s">
        <v>197</v>
      </c>
      <c r="W237" s="67" t="s">
        <v>188</v>
      </c>
      <c r="X237" s="67" t="s">
        <v>121</v>
      </c>
      <c r="Y237" s="67" t="s">
        <v>198</v>
      </c>
      <c r="Z237" s="67" t="s">
        <v>199</v>
      </c>
      <c r="AA237" s="67" t="s">
        <v>200</v>
      </c>
      <c r="AB237" s="67" t="s">
        <v>201</v>
      </c>
      <c r="AC237" s="67" t="s">
        <v>202</v>
      </c>
    </row>
    <row r="238" spans="21:29">
      <c r="U238" t="s">
        <v>192</v>
      </c>
      <c r="V238">
        <v>3.7362212670414051E-3</v>
      </c>
      <c r="W238">
        <v>1.1315199102595189E-3</v>
      </c>
      <c r="X238">
        <v>3.3019492040440426</v>
      </c>
      <c r="Y238">
        <v>2.0967394665086818E-3</v>
      </c>
      <c r="Z238">
        <v>1.445578964361839E-3</v>
      </c>
      <c r="AA238">
        <v>6.0268635697209713E-3</v>
      </c>
      <c r="AB238">
        <v>1.445578964361839E-3</v>
      </c>
      <c r="AC238">
        <v>6.0268635697209713E-3</v>
      </c>
    </row>
    <row r="239" spans="21:29" ht="15" thickBot="1">
      <c r="U239" s="65" t="s">
        <v>16</v>
      </c>
      <c r="V239" s="65">
        <v>-4.1056719649085259E-4</v>
      </c>
      <c r="W239" s="65">
        <v>1.6077612611383841E-2</v>
      </c>
      <c r="X239" s="65">
        <v>-2.5536577252778702E-2</v>
      </c>
      <c r="Y239" s="65">
        <v>0.97976060921476638</v>
      </c>
      <c r="Z239" s="65">
        <v>-3.2957992336613791E-2</v>
      </c>
      <c r="AA239" s="65">
        <v>3.2136857943632087E-2</v>
      </c>
      <c r="AB239" s="65">
        <v>-3.2957992336613791E-2</v>
      </c>
      <c r="AC239" s="65">
        <v>3.2136857943632087E-2</v>
      </c>
    </row>
  </sheetData>
  <mergeCells count="32">
    <mergeCell ref="U9:V9"/>
    <mergeCell ref="U76:V76"/>
    <mergeCell ref="AE9:AF9"/>
    <mergeCell ref="AE29:AF29"/>
    <mergeCell ref="AE49:AF49"/>
    <mergeCell ref="AO49:AP49"/>
    <mergeCell ref="A116:B116"/>
    <mergeCell ref="K116:L116"/>
    <mergeCell ref="U116:V116"/>
    <mergeCell ref="AE116:AF116"/>
    <mergeCell ref="AO116:AP116"/>
    <mergeCell ref="A96:B96"/>
    <mergeCell ref="K96:L96"/>
    <mergeCell ref="U96:V96"/>
    <mergeCell ref="AE96:AF96"/>
    <mergeCell ref="AO96:AP96"/>
    <mergeCell ref="A1:AR7"/>
    <mergeCell ref="A68:AR74"/>
    <mergeCell ref="A76:B76"/>
    <mergeCell ref="K76:L76"/>
    <mergeCell ref="AE76:AF76"/>
    <mergeCell ref="AO76:AP76"/>
    <mergeCell ref="A9:B9"/>
    <mergeCell ref="A29:B29"/>
    <mergeCell ref="A49:B49"/>
    <mergeCell ref="K9:L9"/>
    <mergeCell ref="K29:L29"/>
    <mergeCell ref="K49:L49"/>
    <mergeCell ref="U29:V29"/>
    <mergeCell ref="U49:V49"/>
    <mergeCell ref="AO9:AP9"/>
    <mergeCell ref="AO29:AP2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48"/>
  <sheetViews>
    <sheetView topLeftCell="A8" zoomScale="80" workbookViewId="0">
      <selection activeCell="H38" sqref="H38"/>
    </sheetView>
  </sheetViews>
  <sheetFormatPr defaultColWidth="8.81640625" defaultRowHeight="14.5"/>
  <cols>
    <col min="1" max="1" width="8.81640625" bestFit="1" customWidth="1"/>
    <col min="2" max="2" width="24.453125" customWidth="1"/>
    <col min="3" max="5" width="8.81640625" bestFit="1" customWidth="1"/>
    <col min="6" max="6" width="9.81640625" bestFit="1" customWidth="1"/>
    <col min="7" max="7" width="8.81640625" bestFit="1" customWidth="1"/>
    <col min="8" max="8" width="11.81640625" bestFit="1" customWidth="1"/>
    <col min="9" max="9" width="12.1796875" bestFit="1" customWidth="1"/>
    <col min="10" max="11" width="8.81640625" bestFit="1" customWidth="1"/>
  </cols>
  <sheetData>
    <row r="1" spans="1:20" ht="15" thickBot="1">
      <c r="A1" t="s">
        <v>132</v>
      </c>
    </row>
    <row r="2" spans="1:20" ht="15" thickBot="1">
      <c r="B2" s="154" t="s">
        <v>133</v>
      </c>
      <c r="C2" s="155" t="s">
        <v>137</v>
      </c>
      <c r="D2" s="155" t="s">
        <v>211</v>
      </c>
      <c r="E2" s="155" t="s">
        <v>212</v>
      </c>
      <c r="F2" s="155" t="s">
        <v>213</v>
      </c>
      <c r="G2" s="155" t="s">
        <v>214</v>
      </c>
      <c r="H2" s="155" t="s">
        <v>215</v>
      </c>
      <c r="I2" s="155" t="s">
        <v>216</v>
      </c>
      <c r="J2" s="155" t="s">
        <v>217</v>
      </c>
      <c r="K2" s="155" t="s">
        <v>218</v>
      </c>
      <c r="O2" t="s">
        <v>183</v>
      </c>
    </row>
    <row r="3" spans="1:20" ht="15" thickBot="1">
      <c r="A3" s="133">
        <v>1</v>
      </c>
      <c r="B3" s="156" t="str">
        <f>'[1]Pre-Period'!AB8</f>
        <v>Kohinoor</v>
      </c>
      <c r="C3">
        <f>'Pre-Period'!AF8</f>
        <v>4.3994955290974902</v>
      </c>
      <c r="D3">
        <v>0</v>
      </c>
      <c r="E3">
        <f>LN(AVERAGE('Pre-Period'!B3:B42)*'Pre-Period'!L3)</f>
        <v>18.121274207804024</v>
      </c>
      <c r="F3">
        <f>IF('Pre-Period'!T3&lt;0,0,LN('Pre-Period'!T3*1000))</f>
        <v>24.090561666932885</v>
      </c>
      <c r="G3">
        <f>(('Pre-Period'!R3-'Pre-Period'!S3)*1000/('Pre-Period'!L3*AVERAGE('Pre-Period'!B3:B42)))</f>
        <v>-1985.8133065680231</v>
      </c>
      <c r="H3">
        <f>'Pre-Period'!U3/'Pre-Period'!R3</f>
        <v>6.2291350531107736E-2</v>
      </c>
      <c r="I3">
        <f>AVERAGE('Pre-Period'!K3:K42)/'Pre-Period'!L3</f>
        <v>1.4077380952380952E-2</v>
      </c>
      <c r="J3">
        <f>'Pre-Period'!X3</f>
        <v>6.4871016691957509E-2</v>
      </c>
      <c r="K3">
        <f>_xlfn.STDEV.S('Pre-Period'!C3:C42)</f>
        <v>4.4477100704339412E-2</v>
      </c>
      <c r="L3" s="205" t="s">
        <v>210</v>
      </c>
      <c r="M3" s="206"/>
    </row>
    <row r="4" spans="1:20">
      <c r="A4" s="133">
        <v>2</v>
      </c>
      <c r="B4" s="156" t="str">
        <f>'[1]Pre-Period'!AB9</f>
        <v xml:space="preserve">Kot addu </v>
      </c>
      <c r="C4">
        <f>'Pre-Period'!AF9</f>
        <v>4.064056227828269</v>
      </c>
      <c r="D4">
        <v>0</v>
      </c>
      <c r="E4">
        <f>LN(AVERAGE('Pre-Period'!B48:B87)*'Pre-Period'!L48)</f>
        <v>23.976317208916786</v>
      </c>
      <c r="F4">
        <f>IF('Pre-Period'!T48&lt;0,0,LN('Pre-Period'!T48*1000))</f>
        <v>26.473613780749933</v>
      </c>
      <c r="G4">
        <f>(('Pre-Period'!R48-'Pre-Period'!S48)*1000/('Pre-Period'!L48*AVERAGE('Pre-Period'!B48:B487)))</f>
        <v>2123.426519310749</v>
      </c>
      <c r="H4">
        <f>'Pre-Period'!U48/'Pre-Period'!R48</f>
        <v>1.8495581299510049E-2</v>
      </c>
      <c r="I4">
        <f>AVERAGE('Pre-Period'!K48:K87)/'Pre-Period'!L48</f>
        <v>2.4565080370328295E-3</v>
      </c>
      <c r="J4">
        <f>'Pre-Period'!X48</f>
        <v>0.16326090938229773</v>
      </c>
      <c r="K4">
        <f>_xlfn.STDEV.S('Pre-Period'!C48:C87)</f>
        <v>2.0931556354623407E-2</v>
      </c>
      <c r="L4" s="207"/>
      <c r="M4" s="208"/>
      <c r="O4" s="128" t="s">
        <v>184</v>
      </c>
      <c r="P4" s="128"/>
    </row>
    <row r="5" spans="1:20">
      <c r="A5" s="133">
        <v>3</v>
      </c>
      <c r="B5" s="156" t="str">
        <f>'[1]Pre-Period'!AB10</f>
        <v xml:space="preserve">Lalpir </v>
      </c>
      <c r="C5">
        <f>'Pre-Period'!AF10</f>
        <v>3.6983783253251628</v>
      </c>
      <c r="D5">
        <v>0</v>
      </c>
      <c r="E5">
        <f>LN(AVERAGE('Pre-Period'!B93:B132)*'Pre-Period'!L93)</f>
        <v>22.845697684659093</v>
      </c>
      <c r="F5">
        <f>IF('Pre-Period'!T93&lt;0,0,LN('Pre-Period'!T93*1000))</f>
        <v>28.365468576611953</v>
      </c>
      <c r="G5">
        <f>(('Pre-Period'!R93-'Pre-Period'!S93)*1000/('Pre-Period'!L93*AVERAGE('Pre-Period'!B93:B132)))</f>
        <v>2069.8965500750273</v>
      </c>
      <c r="H5">
        <f>'Pre-Period'!U93/'Pre-Period'!R93</f>
        <v>3.4527439024390242E-4</v>
      </c>
      <c r="I5">
        <f>AVERAGE('Pre-Period'!K93:K132)/'Pre-Period'!L93</f>
        <v>5.3919790021063714E-3</v>
      </c>
      <c r="J5">
        <f>'Pre-Period'!X93</f>
        <v>0.30566882621951219</v>
      </c>
      <c r="K5">
        <f>_xlfn.STDEV.S('Pre-Period'!C93:C132)</f>
        <v>3.2320119294099343E-2</v>
      </c>
      <c r="L5" s="207"/>
      <c r="M5" s="208"/>
      <c r="O5" t="s">
        <v>185</v>
      </c>
      <c r="P5">
        <v>6.3778015501139262E-2</v>
      </c>
    </row>
    <row r="6" spans="1:20">
      <c r="A6" s="133">
        <v>4</v>
      </c>
      <c r="B6" s="156" t="str">
        <f>'[1]Pre-Period'!AB11</f>
        <v xml:space="preserve">Nishat chunian </v>
      </c>
      <c r="C6">
        <f>'Pre-Period'!AF11</f>
        <v>1.83392815972434</v>
      </c>
      <c r="D6">
        <v>0</v>
      </c>
      <c r="E6">
        <f>LN(AVERAGE('Pre-Period'!B138:B177)*'Pre-Period'!L138)</f>
        <v>23.040420085009178</v>
      </c>
      <c r="F6">
        <f>IF('Pre-Period'!T138&lt;0,0,LN('Pre-Period'!T138*1000))</f>
        <v>28.097342975771657</v>
      </c>
      <c r="G6">
        <f>(('Pre-Period'!R138-'Pre-Period'!S138)*1000/('Pre-Period'!L138*AVERAGE('Pre-Period'!B45:B177)))</f>
        <v>2905.9661187222787</v>
      </c>
      <c r="H6">
        <f>'Pre-Period'!U138/'Pre-Period'!R138</f>
        <v>3.7418477310851198E-2</v>
      </c>
      <c r="I6">
        <f>AVERAGE('Pre-Period'!K138:K177)/'Pre-Period'!L138</f>
        <v>5.3709456240642441E-3</v>
      </c>
      <c r="J6">
        <f>'Pre-Period'!X138</f>
        <v>1.0575604440401612E-2</v>
      </c>
      <c r="K6">
        <f>_xlfn.STDEV.S('Pre-Period'!C138:C177)</f>
        <v>2.3612852209094821E-2</v>
      </c>
      <c r="L6" s="207"/>
      <c r="M6" s="208"/>
      <c r="O6" t="s">
        <v>186</v>
      </c>
      <c r="P6">
        <v>4.0676352612635603E-3</v>
      </c>
    </row>
    <row r="7" spans="1:20">
      <c r="A7" s="133">
        <v>5</v>
      </c>
      <c r="B7" s="156" t="str">
        <f>'[1]Pre-Period'!AB12</f>
        <v>Nishat Power ltd</v>
      </c>
      <c r="C7">
        <f>'Pre-Period'!AF12</f>
        <v>2.6557630948021895</v>
      </c>
      <c r="D7">
        <v>0</v>
      </c>
      <c r="E7">
        <f>LN(AVERAGE('Pre-Period'!B183:B222)*'Pre-Period'!L83)</f>
        <v>24.089922037413533</v>
      </c>
      <c r="F7">
        <f>IF('Pre-Period'!T183&lt;0,0,LN('Pre-Period'!T183*1000))</f>
        <v>28.230862606351749</v>
      </c>
      <c r="G7">
        <f>(('Pre-Period'!R183-'Pre-Period'!S183)*1000/('Pre-Period'!L183*AVERAGE('Pre-Period'!B183:B222)))</f>
        <v>2727.2798622014566</v>
      </c>
      <c r="H7">
        <f>'Pre-Period'!U183/'Pre-Period'!R183</f>
        <v>3.4426475693651391E-2</v>
      </c>
      <c r="I7">
        <f>AVERAGE('Pre-Period'!K183:K222)/'Pre-Period'!L183</f>
        <v>3.8712284306249823E-3</v>
      </c>
      <c r="J7">
        <f>'Pre-Period'!X183</f>
        <v>7.3230241099244447E-2</v>
      </c>
      <c r="K7">
        <f>_xlfn.STDEV.S('Pre-Period'!C188:C222)</f>
        <v>2.1888622339710003E-2</v>
      </c>
      <c r="L7" s="207"/>
      <c r="M7" s="208"/>
      <c r="O7" t="s">
        <v>187</v>
      </c>
      <c r="P7">
        <v>-3.1501377765119888E-2</v>
      </c>
    </row>
    <row r="8" spans="1:20">
      <c r="A8" s="133">
        <v>6</v>
      </c>
      <c r="B8" s="156" t="str">
        <f>'[1]Pre-Period'!AB13</f>
        <v>Pakgen</v>
      </c>
      <c r="C8">
        <f>'Pre-Period'!AF13</f>
        <v>3.9584675827771787</v>
      </c>
      <c r="D8">
        <v>0</v>
      </c>
      <c r="E8">
        <f>LN(AVERAGE('Pre-Period'!B228:B267)*'Pre-Period'!L228)</f>
        <v>23.69892650173195</v>
      </c>
      <c r="F8">
        <f>IF('Pre-Period'!T228&lt;0,0,LN('Pre-Period'!T228*1000))</f>
        <v>28.401166373975805</v>
      </c>
      <c r="G8">
        <f>(('Pre-Period'!R228-'Pre-Period'!S228)*1000/('Pre-Period'!L228*AVERAGE('Pre-Period'!B228:B267)))</f>
        <v>1353.9643223408614</v>
      </c>
      <c r="H8">
        <f>'Pre-Period'!U228/'Pre-Period'!R228</f>
        <v>6.5807891110739843E-3</v>
      </c>
      <c r="I8">
        <f>AVERAGE('Pre-Period'!K228:K267)/'Pre-Period'!L228</f>
        <v>7.5991722210277365E-5</v>
      </c>
      <c r="J8">
        <f>'Pre-Period'!X228</f>
        <v>0.12121196573577243</v>
      </c>
      <c r="K8">
        <f>_xlfn.STDEV.S('Pre-Period'!C228:C267)</f>
        <v>0.16305596417137128</v>
      </c>
      <c r="L8" s="207"/>
      <c r="M8" s="208"/>
      <c r="O8" t="s">
        <v>188</v>
      </c>
      <c r="P8">
        <v>2.0541918571179454</v>
      </c>
    </row>
    <row r="9" spans="1:20" ht="15" thickBot="1">
      <c r="A9" s="133">
        <v>7</v>
      </c>
      <c r="B9" s="156" t="str">
        <f>'[1]Pre-Period'!AB14</f>
        <v xml:space="preserve">Faysal bank </v>
      </c>
      <c r="C9">
        <f>'Pre-Period'!AF14</f>
        <v>2.2096641226366067</v>
      </c>
      <c r="D9">
        <v>0</v>
      </c>
      <c r="E9">
        <f>LN(AVERAGE('Pre-Period'!B272:B311)*'Pre-Period'!L272)</f>
        <v>24.775522821942378</v>
      </c>
      <c r="F9">
        <f>IF('Pre-Period'!T272&lt;0,0,LN('Pre-Period'!T272*1000))</f>
        <v>23.340431424297932</v>
      </c>
      <c r="G9">
        <f>(('Pre-Period'!R272-'Pre-Period'!S272)*1000/('Pre-Period'!L272*AVERAGE('Pre-Period'!B272:B311)))</f>
        <v>1582.1907273536413</v>
      </c>
      <c r="H9">
        <f>'Pre-Period'!U272/'Pre-Period'!R272</f>
        <v>6.6545463034525538E-5</v>
      </c>
      <c r="I9">
        <f>AVERAGE('Pre-Period'!K272:K311)/'Pre-Period'!L272</f>
        <v>3.0228583721486364E-3</v>
      </c>
      <c r="J9">
        <f>'Pre-Period'!X272</f>
        <v>1.7494199702599E-4</v>
      </c>
      <c r="K9">
        <f>_xlfn.STDEV.S('Pre-Period'!C272:C311)</f>
        <v>2.7465550941985366E-2</v>
      </c>
      <c r="L9" s="207"/>
      <c r="M9" s="208"/>
      <c r="O9" s="65" t="s">
        <v>118</v>
      </c>
      <c r="P9" s="65">
        <v>30</v>
      </c>
    </row>
    <row r="10" spans="1:20">
      <c r="A10" s="133">
        <v>8</v>
      </c>
      <c r="B10" s="156" t="str">
        <f>'[1]Pre-Period'!AB15</f>
        <v>Saif power</v>
      </c>
      <c r="C10">
        <f>'Pre-Period'!AF15</f>
        <v>10.972873064763474</v>
      </c>
      <c r="D10">
        <v>0</v>
      </c>
      <c r="E10">
        <f>LN(AVERAGE('Pre-Period'!B316:B355)*'Pre-Period'!L316)</f>
        <v>22.360235255326447</v>
      </c>
      <c r="F10">
        <f>IF('Pre-Period'!T316&lt;0,0,LN('Pre-Period'!T316*1000))</f>
        <v>26.759990515459258</v>
      </c>
      <c r="G10">
        <f>(('Pre-Period'!R316-'Pre-Period'!S355)*1000/('Pre-Period'!L316*AVERAGE('Pre-Period'!B316:B355)))</f>
        <v>383.98543068778105</v>
      </c>
      <c r="H10">
        <f>'Pre-Period'!U316/'Pre-Period'!R316</f>
        <v>6.6217629955707723E-3</v>
      </c>
      <c r="I10">
        <f>AVERAGE('Pre-Period'!K316:K355)/'Pre-Period'!L316</f>
        <v>1.5220271641791046E-3</v>
      </c>
      <c r="J10">
        <f>'Pre-Period'!X316</f>
        <v>4.2974545528654115E-4</v>
      </c>
      <c r="K10">
        <f>_xlfn.STDEV.S('Pre-Period'!C311:C355)</f>
        <v>6.9775518688711971E-2</v>
      </c>
      <c r="L10" s="207"/>
      <c r="M10" s="208"/>
    </row>
    <row r="11" spans="1:20" ht="15" thickBot="1">
      <c r="A11" s="133">
        <v>9</v>
      </c>
      <c r="B11" s="156" t="str">
        <f>'[1]Pre-Period'!AB16</f>
        <v xml:space="preserve">Mughal iron and steel </v>
      </c>
      <c r="C11">
        <f>'Pre-Period'!AF16</f>
        <v>5.1013878638584265</v>
      </c>
      <c r="D11">
        <v>0</v>
      </c>
      <c r="E11">
        <f>LN(AVERAGE('Pre-Period'!B360:B399)*'Pre-Period'!L360)</f>
        <v>23.753702111175251</v>
      </c>
      <c r="F11">
        <f>IF('Pre-Period'!T360&lt;0,0,LN('Pre-Period'!T360*1000))</f>
        <v>21.030501012918844</v>
      </c>
      <c r="G11">
        <f>(('Pre-Period'!R360-'Pre-Period'!S360)*1000/('Pre-Period'!L360*AVERAGE('Pre-Period'!B360:B399)))</f>
        <v>1240.6821798668516</v>
      </c>
      <c r="H11">
        <f>'Pre-Period'!U360/'Pre-Period'!R360</f>
        <v>1.4623786379176968E-3</v>
      </c>
      <c r="I11">
        <f>AVERAGE('Pre-Period'!K360:K399)/'Pre-Period'!L360</f>
        <v>3.0824804147559183E-3</v>
      </c>
      <c r="J11">
        <f>'Pre-Period'!X360</f>
        <v>3.8444610294880201E-3</v>
      </c>
      <c r="K11">
        <f>_xlfn.STDEV.S('Pre-Period'!C360:C399)</f>
        <v>8.883510346974724E-2</v>
      </c>
      <c r="L11" s="207"/>
      <c r="M11" s="208"/>
      <c r="O11" t="s">
        <v>189</v>
      </c>
    </row>
    <row r="12" spans="1:20">
      <c r="A12" s="133">
        <v>10</v>
      </c>
      <c r="B12" s="156" t="str">
        <f>'[1]Pre-Period'!AB17</f>
        <v>Tri star</v>
      </c>
      <c r="C12">
        <f>'Pre-Period'!AF17</f>
        <v>3.8668982039418083</v>
      </c>
      <c r="D12">
        <v>0</v>
      </c>
      <c r="E12">
        <f>LN(AVERAGE('Pre-Period'!B404:B443)*'Pre-Period'!L404)</f>
        <v>18.78854782164521</v>
      </c>
      <c r="F12">
        <f>IF('Pre-Period'!T404&lt;0,0,LN('Pre-Period'!T404*1000))</f>
        <v>24.386827483076058</v>
      </c>
      <c r="G12">
        <f>(('Pre-Period'!R404-'Pre-Period'!S404)*1000/('Pre-Period'!L404*AVERAGE('Pre-Period'!B404:B443)))</f>
        <v>1274.2186688817362</v>
      </c>
      <c r="H12">
        <f>'Pre-Period'!U404/'Pre-Period'!R404</f>
        <v>0.20064568977979089</v>
      </c>
      <c r="I12">
        <f>AVERAGE('Pre-Period'!K404:K443)/'Pre-Period'!L404</f>
        <v>1.5073873873873874E-2</v>
      </c>
      <c r="J12">
        <f>'Pre-Period'!X404</f>
        <v>0.20064568977979089</v>
      </c>
      <c r="K12">
        <f>_xlfn.STDEV.S('Pre-Period'!C404:C443)</f>
        <v>2.672059092276197E-2</v>
      </c>
      <c r="L12" s="207"/>
      <c r="M12" s="208"/>
      <c r="O12" s="67"/>
      <c r="P12" s="67" t="s">
        <v>120</v>
      </c>
      <c r="Q12" s="67" t="s">
        <v>193</v>
      </c>
      <c r="R12" s="67" t="s">
        <v>194</v>
      </c>
      <c r="S12" s="67" t="s">
        <v>195</v>
      </c>
      <c r="T12" s="67" t="s">
        <v>196</v>
      </c>
    </row>
    <row r="13" spans="1:20">
      <c r="A13" s="133">
        <v>11</v>
      </c>
      <c r="B13" s="156" t="str">
        <f>'[1]Pre-Period'!AB18</f>
        <v>Javedan</v>
      </c>
      <c r="C13">
        <f>'Pre-Period'!AF18</f>
        <v>2.717718212515472</v>
      </c>
      <c r="D13">
        <v>0</v>
      </c>
      <c r="E13">
        <f>LN(AVERAGE('Pre-Period'!B448:B487)*'Pre-Period'!L448)</f>
        <v>23.301264785434299</v>
      </c>
      <c r="F13">
        <f>IF('Pre-Period'!T448&lt;0,0,LN('Pre-Period'!T448*1000))</f>
        <v>26.688591726444699</v>
      </c>
      <c r="G13">
        <f>(('Pre-Period'!R448-'Pre-Period'!S448)*1000/('Pre-Period'!L448*AVERAGE('Pre-Period'!B448:B487)))</f>
        <v>1884.3260953204563</v>
      </c>
      <c r="H13">
        <f>'Pre-Period'!U448/'Pre-Period'!R448</f>
        <v>1.2006117395737244E-2</v>
      </c>
      <c r="I13">
        <f>AVERAGE('Pre-Period'!K448:K487)/'Pre-Period'!L448</f>
        <v>5.1836433971601754E-5</v>
      </c>
      <c r="J13">
        <f>'Pre-Period'!X448</f>
        <v>0.24536146040685536</v>
      </c>
      <c r="K13">
        <f>_xlfn.STDEV.S('Pre-Period'!C448:C487)</f>
        <v>0.22304981335270066</v>
      </c>
      <c r="L13" s="207"/>
      <c r="M13" s="208"/>
      <c r="O13" t="s">
        <v>190</v>
      </c>
      <c r="P13">
        <v>1</v>
      </c>
      <c r="Q13">
        <v>0.48256097310689938</v>
      </c>
      <c r="R13">
        <v>0.48256097310689938</v>
      </c>
      <c r="S13">
        <v>0.11435895784475034</v>
      </c>
      <c r="T13">
        <v>0.7377576462751414</v>
      </c>
    </row>
    <row r="14" spans="1:20">
      <c r="A14" s="133">
        <v>12</v>
      </c>
      <c r="B14" s="156" t="str">
        <f>'[1]Pre-Period'!AB19</f>
        <v>Pace pak</v>
      </c>
      <c r="C14">
        <f>'Pre-Period'!AF19</f>
        <v>2.1197996454966153</v>
      </c>
      <c r="D14">
        <v>0</v>
      </c>
      <c r="E14">
        <f>LN(AVERAGE('Pre-Period'!B492:B531)*'Pre-Period'!L492)</f>
        <v>20.543319840273856</v>
      </c>
      <c r="F14">
        <f>IF('Pre-Period'!T492&lt;0,0,LN('Pre-Period'!T492*1000))</f>
        <v>26.996689863661082</v>
      </c>
      <c r="G14">
        <f>(('Pre-Period'!R492-'Pre-Period'!S492)*1000/('Pre-Period'!L492*AVERAGE('Pre-Period'!B491:B531)))</f>
        <v>-1125.9101533059384</v>
      </c>
      <c r="H14">
        <f>'Pre-Period'!U492/'Pre-Period'!R492</f>
        <v>5.8686328102853357E-3</v>
      </c>
      <c r="I14">
        <f>AVERAGE('Pre-Period'!K492:K531)/'Pre-Period'!L492</f>
        <v>1.8169060169248422E-2</v>
      </c>
      <c r="J14">
        <f>'Pre-Period'!X492</f>
        <v>0.77787930209285128</v>
      </c>
      <c r="K14">
        <f>_xlfn.STDEV.S('Pre-Period'!C492:C531)</f>
        <v>6.9177541721040597E-2</v>
      </c>
      <c r="L14" s="207"/>
      <c r="M14" s="208"/>
      <c r="O14" t="s">
        <v>191</v>
      </c>
      <c r="P14">
        <v>28</v>
      </c>
      <c r="Q14">
        <v>118.15171720379087</v>
      </c>
      <c r="R14">
        <v>4.2197041858496736</v>
      </c>
    </row>
    <row r="15" spans="1:20" ht="15" thickBot="1">
      <c r="A15" s="133">
        <v>13</v>
      </c>
      <c r="B15" s="156" t="str">
        <f>'[1]Pre-Period'!AB20</f>
        <v xml:space="preserve">TPL prop </v>
      </c>
      <c r="C15">
        <f>'Pre-Period'!AF20</f>
        <v>2.8563246162943292</v>
      </c>
      <c r="D15">
        <v>0</v>
      </c>
      <c r="E15">
        <f>LN(AVERAGE('Pre-Period'!B536:B575)*'Pre-Period'!L536)</f>
        <v>22.564781750963423</v>
      </c>
      <c r="F15">
        <f>IF('Pre-Period'!T536&lt;0,0,LN('Pre-Period'!T536*1000))</f>
        <v>0</v>
      </c>
      <c r="G15">
        <f>(('Pre-Period'!R536-'Pre-Period'!S536)*1000/('Pre-Period'!L536*AVERAGE('Pre-Period'!B536:B575)))</f>
        <v>1788.550288346559</v>
      </c>
      <c r="H15">
        <f>'Pre-Period'!U536/'Pre-Period'!R536</f>
        <v>3.1107860832762804E-2</v>
      </c>
      <c r="I15">
        <f>AVERAGE('Pre-Period'!K536:K575)/'Pre-Period'!L536</f>
        <v>9.5511228590778666E-3</v>
      </c>
      <c r="J15">
        <f>'Pre-Period'!X536</f>
        <v>0.16884421485031431</v>
      </c>
      <c r="K15">
        <f>_xlfn.STDEV.S('Pre-Period'!C536:C575)</f>
        <v>2.3171905268777052E-2</v>
      </c>
      <c r="L15" s="207"/>
      <c r="M15" s="208"/>
      <c r="O15" s="65" t="s">
        <v>167</v>
      </c>
      <c r="P15" s="65">
        <v>29</v>
      </c>
      <c r="Q15" s="65">
        <v>118.63427817689777</v>
      </c>
      <c r="R15" s="65"/>
      <c r="S15" s="65"/>
      <c r="T15" s="65"/>
    </row>
    <row r="16" spans="1:20" ht="15" thickBot="1">
      <c r="A16" s="133">
        <v>14</v>
      </c>
      <c r="B16" s="156" t="str">
        <f>'[1]Pre-Period'!AB21</f>
        <v>Dolmen</v>
      </c>
      <c r="C16">
        <f>'Pre-Period'!AF21</f>
        <v>2.4458616197559877</v>
      </c>
      <c r="D16">
        <v>0</v>
      </c>
      <c r="E16">
        <f>LN(AVERAGE('Pre-Period'!B580:B619)*'Pre-Period'!L580)</f>
        <v>24.217932386608325</v>
      </c>
      <c r="F16">
        <f>IF('Pre-Period'!T580&lt;0,0,LN('Pre-Period'!T580*1000))</f>
        <v>27.655030568388899</v>
      </c>
      <c r="G16">
        <f>(('Pre-Period'!R580-'Pre-Period'!S580)*1000/('Pre-Period'!L580*AVERAGE('Pre-Period'!B580:B619)))</f>
        <v>2199.3923520390267</v>
      </c>
      <c r="H16">
        <f>'Pre-Period'!U580/'Pre-Period'!R580</f>
        <v>2.5668298192771083E-2</v>
      </c>
      <c r="I16">
        <f>AVERAGE('Pre-Period'!K580:K619)/'Pre-Period'!L580</f>
        <v>1.6544646873594242E-4</v>
      </c>
      <c r="J16">
        <f>'Pre-Period'!X580</f>
        <v>0</v>
      </c>
      <c r="K16">
        <f>_xlfn.STDEV.S('Pre-Period'!C580:C619)</f>
        <v>1.2309351139198234E-2</v>
      </c>
      <c r="L16" s="207"/>
      <c r="M16" s="208"/>
    </row>
    <row r="17" spans="1:23" ht="15" thickBot="1">
      <c r="A17" s="134">
        <v>15</v>
      </c>
      <c r="B17" s="157" t="str">
        <f>'[1]Pre-Period'!AB22</f>
        <v>Globe</v>
      </c>
      <c r="C17" s="65">
        <f>'Pre-Period'!AF22</f>
        <v>2.9153822389856026</v>
      </c>
      <c r="D17" s="65">
        <v>0</v>
      </c>
      <c r="E17" s="65">
        <f>LN(AVERAGE('Pre-Period'!B624:B663)*'Pre-Period'!L624)</f>
        <v>21.352668847455075</v>
      </c>
      <c r="F17" s="65">
        <f>IF('Pre-Period'!T624&lt;0,0,LN('Pre-Period'!T624*1000))</f>
        <v>26.971888813955882</v>
      </c>
      <c r="G17" s="65">
        <f>(('Pre-Period'!R624-'Pre-Period'!S624)*1000/('Pre-Period'!L624*AVERAGE('Pre-Period'!B624:B663)))</f>
        <v>891.33968206598468</v>
      </c>
      <c r="H17" s="65">
        <f>'Pre-Period'!U624/'Pre-Period'!R624</f>
        <v>4.5094100474506165E-3</v>
      </c>
      <c r="I17" s="65">
        <f>AVERAGE('Pre-Period'!K624:K663)/'Pre-Period'!L624</f>
        <v>5.7857142857142855E-5</v>
      </c>
      <c r="J17" s="65">
        <f>'Pre-Period'!X624</f>
        <v>0.30123820026264853</v>
      </c>
      <c r="K17" s="66">
        <f>_xlfn.STDEV.S('Pre-Period'!C624:C663)</f>
        <v>2.0231708816028929E-2</v>
      </c>
      <c r="L17" s="209"/>
      <c r="M17" s="210"/>
      <c r="O17" s="67"/>
      <c r="P17" s="67" t="s">
        <v>197</v>
      </c>
      <c r="Q17" s="67" t="s">
        <v>188</v>
      </c>
      <c r="R17" s="67" t="s">
        <v>121</v>
      </c>
      <c r="S17" s="67" t="s">
        <v>198</v>
      </c>
      <c r="T17" s="67" t="s">
        <v>199</v>
      </c>
      <c r="U17" s="67" t="s">
        <v>200</v>
      </c>
      <c r="V17" s="67" t="s">
        <v>201</v>
      </c>
      <c r="W17" s="67" t="s">
        <v>202</v>
      </c>
    </row>
    <row r="18" spans="1:23">
      <c r="A18" s="133">
        <v>16</v>
      </c>
      <c r="B18" s="156" t="str">
        <f t="shared" ref="B18:B32" si="0">B3</f>
        <v>Kohinoor</v>
      </c>
      <c r="C18">
        <f>'Post-Period'!AF8</f>
        <v>2.4289661111661269</v>
      </c>
      <c r="D18">
        <v>1</v>
      </c>
      <c r="E18">
        <f>LN(AVERAGE('Post-Period'!B3:B46)*'Post-Period'!L4)</f>
        <v>18.281234216944828</v>
      </c>
      <c r="F18">
        <f>IF('Post-Period'!T3&lt;0,0,LN('Post-Period'!T3*1000))</f>
        <v>0</v>
      </c>
      <c r="G18">
        <f>(('Post-Period'!R3-'Post-Period'!S3)*1000/('Post-Period'!L3*AVERAGE('Post-Period'!B3:B42)))</f>
        <v>-2883.2394957652077</v>
      </c>
      <c r="H18">
        <f>'Post-Period'!U3/'Post-Period'!R3</f>
        <v>8.3986074847693645E-2</v>
      </c>
      <c r="I18">
        <f>AVERAGE('Post-Period'!K3:K42)/'Post-Period'!L3</f>
        <v>4.1449343253968249E-2</v>
      </c>
      <c r="J18">
        <f>'Post-Period'!X3</f>
        <v>8.7119234116623145E-2</v>
      </c>
      <c r="K18">
        <f>_xlfn.STDEV.S('Post-Period'!C3:C42)</f>
        <v>7.5237828934906395E-2</v>
      </c>
      <c r="L18" s="205" t="s">
        <v>221</v>
      </c>
      <c r="M18" s="206"/>
      <c r="O18" t="s">
        <v>192</v>
      </c>
      <c r="P18">
        <v>3.7210665671868601</v>
      </c>
      <c r="Q18">
        <v>0.53039005683551244</v>
      </c>
      <c r="R18">
        <v>7.0157170543279301</v>
      </c>
      <c r="S18" s="136">
        <v>1.24838923471143E-7</v>
      </c>
      <c r="T18">
        <v>2.6346117868278149</v>
      </c>
      <c r="U18">
        <v>4.8075213475459142</v>
      </c>
      <c r="V18">
        <v>2.6346117868278149</v>
      </c>
      <c r="W18">
        <v>4.8075213475459142</v>
      </c>
    </row>
    <row r="19" spans="1:23" ht="15" thickBot="1">
      <c r="A19" s="133">
        <v>17</v>
      </c>
      <c r="B19" s="156" t="str">
        <f t="shared" si="0"/>
        <v xml:space="preserve">Kot addu </v>
      </c>
      <c r="C19">
        <f>'Post-Period'!AF9</f>
        <v>3.2364415947923728</v>
      </c>
      <c r="D19">
        <v>1</v>
      </c>
      <c r="E19">
        <f>LN(AVERAGE('Post-Period'!B48:B90)*'Post-Period'!L48)</f>
        <v>24.040104437076717</v>
      </c>
      <c r="F19">
        <f>IF('Post-Period'!T48&lt;0,0,LN('Post-Period'!T48*1000))</f>
        <v>0</v>
      </c>
      <c r="G19">
        <f>(('Post-Period'!R48-'Post-Period'!S48)*1000/('Post-Period'!L48*AVERAGE('Post-Period'!B48:B90)))</f>
        <v>2247.1585573512684</v>
      </c>
      <c r="H19">
        <f>'Post-Period'!U48/'Post-Period'!R48</f>
        <v>3.4141825360817155E-2</v>
      </c>
      <c r="I19">
        <f>AVERAGE('Post-Period'!K48:K90)/'Post-Period'!L48</f>
        <v>1.3271345656475462E-3</v>
      </c>
      <c r="J19">
        <f>'Post-Period'!X8</f>
        <v>8.7119234116623145E-2</v>
      </c>
      <c r="K19">
        <f>_xlfn.STDEV.S('Post-Period'!C48:C90)</f>
        <v>1.8491781919715032E-2</v>
      </c>
      <c r="L19" s="207"/>
      <c r="M19" s="208"/>
      <c r="O19" s="65" t="s">
        <v>211</v>
      </c>
      <c r="P19" s="65">
        <v>0.25365619070096601</v>
      </c>
      <c r="Q19" s="65">
        <v>0.75008481172461849</v>
      </c>
      <c r="R19" s="65">
        <v>0.33817001322524037</v>
      </c>
      <c r="S19" s="65">
        <v>0.73775764627513196</v>
      </c>
      <c r="T19" s="65">
        <v>-1.2828228945878837</v>
      </c>
      <c r="U19" s="65">
        <v>1.7901352759898161</v>
      </c>
      <c r="V19" s="65">
        <v>-1.2828228945878837</v>
      </c>
      <c r="W19" s="65">
        <v>1.7901352759898161</v>
      </c>
    </row>
    <row r="20" spans="1:23">
      <c r="A20" s="133">
        <v>18</v>
      </c>
      <c r="B20" s="156" t="str">
        <f t="shared" si="0"/>
        <v xml:space="preserve">Lalpir </v>
      </c>
      <c r="C20">
        <f>'Post-Period'!AF10</f>
        <v>3.2148600041611366</v>
      </c>
      <c r="D20">
        <v>1</v>
      </c>
      <c r="E20">
        <f>LN(AVERAGE('Post-Period'!B93:B135)*'Post-Period'!L93)</f>
        <v>22.884788140435084</v>
      </c>
      <c r="F20">
        <f>IF('Post-Period'!T93&lt;0,0,LN('Post-Period'!T93*1000))</f>
        <v>28.460476455326891</v>
      </c>
      <c r="G20">
        <f>(('Post-Period'!R93-'Post-Period'!S93)*1000/('Post-Period'!L93*AVERAGE('Post-Period'!B93:B135)))</f>
        <v>2087.8021457026257</v>
      </c>
      <c r="H20">
        <f>'Post-Period'!U93/'Post-Period'!R93</f>
        <v>5.3995651195921118E-2</v>
      </c>
      <c r="I20">
        <f>AVERAGE('Post-Period'!K93:K135)/'Post-Period'!L93</f>
        <v>2.4934351004812817E-3</v>
      </c>
      <c r="J20">
        <f>'Post-Period'!X93</f>
        <v>0.24589000524855664</v>
      </c>
      <c r="K20">
        <f>_xlfn.STDEV.S('Post-Period'!C93:C135)</f>
        <v>2.5398116752140237E-2</v>
      </c>
      <c r="L20" s="207"/>
      <c r="M20" s="208"/>
    </row>
    <row r="21" spans="1:23">
      <c r="A21" s="133">
        <v>19</v>
      </c>
      <c r="B21" s="156" t="str">
        <f t="shared" si="0"/>
        <v xml:space="preserve">Nishat chunian </v>
      </c>
      <c r="C21">
        <f>'Post-Period'!AF11</f>
        <v>3.8637910886350628</v>
      </c>
      <c r="D21">
        <v>1</v>
      </c>
      <c r="E21">
        <f>LN(AVERAGE('Post-Period'!B138:B180)*'Post-Period'!L138)</f>
        <v>23.078755164555126</v>
      </c>
      <c r="F21">
        <f>IF('Post-Period'!T138&lt;0,0,LN('Post-Period'!T138*1000))</f>
        <v>27.866867641737436</v>
      </c>
      <c r="G21">
        <f>(('Post-Period'!R138-'Post-Period'!S138)*1000/('Post-Period'!L138*AVERAGE('Post-Period'!B138:B180)))</f>
        <v>2767.1039185611708</v>
      </c>
      <c r="H21">
        <f>'Post-Period'!U138/'Post-Period'!R138</f>
        <v>5.3656692830674257E-2</v>
      </c>
      <c r="I21">
        <f>AVERAGE('Post-Period'!K138:K180)/'Post-Period'!L138</f>
        <v>4.7127242570136202E-3</v>
      </c>
      <c r="J21">
        <f>'Post-Period'!X138</f>
        <v>3.8541030659940117E-3</v>
      </c>
      <c r="K21">
        <f>_xlfn.STDEV.S('Post-Period'!C138:C180)</f>
        <v>2.0682094027879322E-2</v>
      </c>
      <c r="L21" s="207"/>
      <c r="M21" s="208"/>
    </row>
    <row r="22" spans="1:23">
      <c r="A22" s="133">
        <v>20</v>
      </c>
      <c r="B22" s="156" t="str">
        <f t="shared" si="0"/>
        <v>Nishat Power ltd</v>
      </c>
      <c r="C22">
        <f>'Post-Period'!AF12</f>
        <v>2.0531264132082789</v>
      </c>
      <c r="D22">
        <v>1</v>
      </c>
      <c r="E22">
        <f>LN(AVERAGE('Post-Period'!B183:B225)*'Post-Period'!L183)</f>
        <v>23.319423549122337</v>
      </c>
      <c r="F22">
        <f>IF('Post-Period'!T183&lt;0,0,LN('Post-Period'!T183*1000))</f>
        <v>28.274841488351441</v>
      </c>
      <c r="G22">
        <f>(('Post-Period'!R183-'Post-Period'!S183)*1000/('Post-Period'!L183*AVERAGE('Post-Period'!B183:B225)))</f>
        <v>2431.902241507551</v>
      </c>
      <c r="H22">
        <f>'Post-Period'!U183/'Post-Period'!R183</f>
        <v>0.16614960467648859</v>
      </c>
      <c r="I22">
        <f>AVERAGE('Post-Period'!K183:K225)/'Post-Period'!L183</f>
        <v>2.5443204887471127E-3</v>
      </c>
      <c r="J22">
        <f>'Post-Period'!X183</f>
        <v>7.8105518643917529E-2</v>
      </c>
      <c r="K22">
        <f>_xlfn.STDEV.S('Post-Period'!C183:C225)</f>
        <v>2.1942934760113955E-2</v>
      </c>
      <c r="L22" s="207"/>
      <c r="M22" s="208"/>
    </row>
    <row r="23" spans="1:23">
      <c r="A23" s="133">
        <v>21</v>
      </c>
      <c r="B23" s="156" t="str">
        <f t="shared" si="0"/>
        <v>Pakgen</v>
      </c>
      <c r="C23">
        <f>'Post-Period'!AF13</f>
        <v>3.3339205124188762</v>
      </c>
      <c r="D23">
        <v>1</v>
      </c>
      <c r="E23">
        <f>LN(AVERAGE('Post-Period'!B228:B270)*'Post-Period'!L228)</f>
        <v>24.217666666081222</v>
      </c>
      <c r="F23">
        <f>IF('Post-Period'!T228&lt;0,0,LN('Post-Period'!T228*1000))</f>
        <v>28.547055815029111</v>
      </c>
      <c r="G23">
        <f>(('Post-Period'!R228-'Post-Period'!S228)*1000/('Post-Period'!L228*AVERAGE('Post-Period'!B228:B270)))</f>
        <v>848.5685522893167</v>
      </c>
      <c r="H23">
        <f>'Post-Period'!U228/'Post-Period'!R228</f>
        <v>0.10969389039674907</v>
      </c>
      <c r="I23">
        <f>AVERAGE('Post-Period'!K228:K270)/'Post-Period'!L228</f>
        <v>5.7270191956718484E-5</v>
      </c>
      <c r="J23">
        <f>'Post-Period'!X228</f>
        <v>8.4974180342315034E-2</v>
      </c>
      <c r="K23">
        <f>_xlfn.STDEV.S('Post-Period'!C228:C270)</f>
        <v>1.9640083362335768E-2</v>
      </c>
      <c r="L23" s="207"/>
      <c r="M23" s="208"/>
    </row>
    <row r="24" spans="1:23">
      <c r="A24" s="133">
        <v>22</v>
      </c>
      <c r="B24" s="156" t="str">
        <f t="shared" si="0"/>
        <v xml:space="preserve">Faysal bank </v>
      </c>
      <c r="C24">
        <f>'Post-Period'!AF14</f>
        <v>5.6798330589421591</v>
      </c>
      <c r="D24">
        <v>1</v>
      </c>
      <c r="E24">
        <f>LN(AVERAGE('Post-Period'!B273:B315)*'Post-Period'!L273)</f>
        <v>25.026654210764011</v>
      </c>
      <c r="F24">
        <f>IF('Post-Period'!T273&lt;0,0,LN('Post-Period'!T273*1000))</f>
        <v>23.433477566927646</v>
      </c>
      <c r="G24">
        <f>(('Post-Period'!R273-'Post-Period'!S273)*1000/('Post-Period'!L273*AVERAGE('Post-Period'!B273:B315)))</f>
        <v>1275.3904651627834</v>
      </c>
      <c r="H24">
        <f>'Post-Period'!U273/'Post-Period'!R273</f>
        <v>6.7609454836470241E-5</v>
      </c>
      <c r="I24">
        <f>AVERAGE('Post-Period'!K273:K315)/'Post-Period'!L273</f>
        <v>1.6035737912027238E-3</v>
      </c>
      <c r="J24">
        <f>'Post-Period'!X273</f>
        <v>1.3341271251523807E-4</v>
      </c>
      <c r="K24">
        <f>_xlfn.STDEV.S('Post-Period'!C273:C315)</f>
        <v>2.2207237840643327E-2</v>
      </c>
      <c r="L24" s="207"/>
      <c r="M24" s="208"/>
      <c r="O24" t="s">
        <v>183</v>
      </c>
    </row>
    <row r="25" spans="1:23" ht="15" thickBot="1">
      <c r="A25" s="133">
        <v>23</v>
      </c>
      <c r="B25" s="156" t="str">
        <f t="shared" si="0"/>
        <v>Saif power</v>
      </c>
      <c r="C25">
        <f>'Post-Period'!AF15</f>
        <v>9.0676421129020923</v>
      </c>
      <c r="D25">
        <v>1</v>
      </c>
      <c r="E25">
        <f>LN(AVERAGE('Post-Period'!B318:B360)*'Post-Period'!L318)</f>
        <v>22.264983054214397</v>
      </c>
      <c r="F25">
        <f>IF('Post-Period'!T318&lt;0,0,LN('Post-Period'!T318*1000))</f>
        <v>20.796432652065047</v>
      </c>
      <c r="G25">
        <f>(('Post-Period'!R318-'Post-Period'!S318)*1000/('Post-Period'!L318*AVERAGE('Post-Period'!B318:B360)))</f>
        <v>524.95959099573975</v>
      </c>
      <c r="H25">
        <f>'Post-Period'!U318/'Post-Period'!R318</f>
        <v>1.2243163969816164E-5</v>
      </c>
      <c r="I25">
        <f>AVERAGE('Post-Period'!K318:K360)/'Post-Period'!L318</f>
        <v>1.2623832465579082E-3</v>
      </c>
      <c r="J25">
        <f>'Post-Period'!X318</f>
        <v>4.0463152249400799E-4</v>
      </c>
      <c r="K25">
        <f>_xlfn.STDEV.S('Post-Period'!C318:C360)</f>
        <v>1.3053671452031974E-2</v>
      </c>
      <c r="L25" s="207"/>
      <c r="M25" s="208"/>
    </row>
    <row r="26" spans="1:23">
      <c r="A26" s="133">
        <v>24</v>
      </c>
      <c r="B26" s="156" t="str">
        <f t="shared" si="0"/>
        <v xml:space="preserve">Mughal iron and steel </v>
      </c>
      <c r="C26">
        <f>'Post-Period'!AF16</f>
        <v>1.8854482173366243</v>
      </c>
      <c r="D26">
        <v>1</v>
      </c>
      <c r="E26">
        <f>LN(AVERAGE('Post-Period'!B363:B405)*'Post-Period'!L363)</f>
        <v>24.051027677682036</v>
      </c>
      <c r="F26">
        <f>IF('Post-Period'!T363&lt;0,0,LN('Post-Period'!T363*1000))</f>
        <v>20.985044453032284</v>
      </c>
      <c r="G26">
        <f>(('Post-Period'!R363-'Post-Period'!S363)*1000/('Post-Period'!L363*AVERAGE('Post-Period'!B363:B405)))</f>
        <v>945.39061419936229</v>
      </c>
      <c r="H26">
        <f>'Post-Period'!U363/'Post-Period'!R363</f>
        <v>5.3769451069623757E-5</v>
      </c>
      <c r="I26">
        <f>AVERAGE('Post-Period'!K363:K405)/'Post-Period'!L363</f>
        <v>1.7435425592430426E-3</v>
      </c>
      <c r="J26">
        <f>'Post-Period'!X363</f>
        <v>5.0394656948876378E-4</v>
      </c>
      <c r="K26">
        <f>_xlfn.STDEV.S('Post-Period'!C363:C405)</f>
        <v>2.6048574082072319E-2</v>
      </c>
      <c r="L26" s="207"/>
      <c r="M26" s="208"/>
      <c r="O26" s="128" t="s">
        <v>184</v>
      </c>
      <c r="P26" s="128"/>
    </row>
    <row r="27" spans="1:23">
      <c r="A27" s="133">
        <v>25</v>
      </c>
      <c r="B27" s="156" t="str">
        <f t="shared" si="0"/>
        <v>Tri star</v>
      </c>
      <c r="C27">
        <f>'Post-Period'!AF17</f>
        <v>4.7852365637309902</v>
      </c>
      <c r="D27">
        <v>1</v>
      </c>
      <c r="E27">
        <f>LN(AVERAGE('Post-Period'!B408:B450)*'Post-Period'!L408)</f>
        <v>18.537222699710075</v>
      </c>
      <c r="F27">
        <f>IF('Post-Period'!T408&lt;0,0,LN('Post-Period'!T408*1000))</f>
        <v>0</v>
      </c>
      <c r="G27">
        <f>(('Post-Period'!R408-'Post-Period'!S408)*1000/('Post-Period'!L408*AVERAGE('Post-Period'!B408:B450)))</f>
        <v>1656.2765186794988</v>
      </c>
      <c r="H27">
        <f>'Post-Period'!U408/'Post-Period'!R408</f>
        <v>0.19946177704798396</v>
      </c>
      <c r="I27">
        <f>AVERAGE('Post-Period'!K408:K450)/'Post-Period'!L408</f>
        <v>1.4986015503875968E-3</v>
      </c>
      <c r="J27">
        <f>'Post-Period'!X408</f>
        <v>0.19946177704798396</v>
      </c>
      <c r="K27">
        <f>_xlfn.STDEV.S('Post-Period'!C408:C450)</f>
        <v>2.3812959257227661E-2</v>
      </c>
      <c r="L27" s="207"/>
      <c r="M27" s="208"/>
      <c r="O27" t="s">
        <v>185</v>
      </c>
      <c r="P27">
        <v>0.43862698022478097</v>
      </c>
    </row>
    <row r="28" spans="1:23">
      <c r="A28" s="133">
        <v>26</v>
      </c>
      <c r="B28" s="156" t="str">
        <f t="shared" si="0"/>
        <v>Javedan</v>
      </c>
      <c r="C28">
        <f>'Post-Period'!AF18</f>
        <v>4.9002149488833684</v>
      </c>
      <c r="D28">
        <v>1</v>
      </c>
      <c r="E28">
        <f>LN(AVERAGE('Post-Period'!B453:B495)*'Post-Period'!L453)</f>
        <v>23.462351812099282</v>
      </c>
      <c r="F28">
        <f>IF('Post-Period'!T453&lt;0,0,LN('Post-Period'!T453*1000))</f>
        <v>26.799071532488146</v>
      </c>
      <c r="G28">
        <f>(('Post-Period'!R453-'Post-Period'!S453)*1000/('Post-Period'!L453*AVERAGE('Post-Period'!B453:B495)))</f>
        <v>1636.8292068880878</v>
      </c>
      <c r="H28">
        <f>'Post-Period'!U453/'Post-Period'!R453</f>
        <v>6.9616838075190948E-3</v>
      </c>
      <c r="I28">
        <f>AVERAGE('Post-Period'!K453:K495)/'Post-Period'!L453</f>
        <v>7.0896954139285749E-5</v>
      </c>
      <c r="J28">
        <f>'Post-Period'!X453</f>
        <v>0.20900733681870354</v>
      </c>
      <c r="K28">
        <f>_xlfn.STDEV.S('Post-Period'!C453:C495)</f>
        <v>3.1334545830018413E-2</v>
      </c>
      <c r="L28" s="207"/>
      <c r="M28" s="208"/>
      <c r="O28" t="s">
        <v>186</v>
      </c>
      <c r="P28">
        <v>0.19239362778110999</v>
      </c>
    </row>
    <row r="29" spans="1:23">
      <c r="A29" s="133">
        <v>27</v>
      </c>
      <c r="B29" s="156" t="str">
        <f t="shared" si="0"/>
        <v>Pace pak</v>
      </c>
      <c r="C29">
        <f>'Post-Period'!AF19</f>
        <v>5.0560529584551075</v>
      </c>
      <c r="D29">
        <v>1</v>
      </c>
      <c r="E29">
        <f>LN(AVERAGE('Post-Period'!B498:B540)*'Post-Period'!L498)</f>
        <v>20.880046877595305</v>
      </c>
      <c r="F29">
        <f>IF('Post-Period'!T498&lt;0,0,LN('Post-Period'!T498*1000))</f>
        <v>0</v>
      </c>
      <c r="G29">
        <f>(('Post-Period'!R498-'Post-Period'!S498)*1000/('Post-Period'!L498*AVERAGE('Post-Period'!B498:B540)))</f>
        <v>2382.8383107565705</v>
      </c>
      <c r="H29">
        <f>'Post-Period'!U498/'Post-Period'!R498</f>
        <v>2.6397212029576089E-3</v>
      </c>
      <c r="I29">
        <f>AVERAGE('Post-Period'!K498:K540)/'Post-Period'!L498</f>
        <v>4.5682875105071442E-2</v>
      </c>
      <c r="J29">
        <f>'Post-Period'!X498</f>
        <v>0.44699426548411486</v>
      </c>
      <c r="K29">
        <f>_xlfn.STDEV.S('Post-Period'!C498:C540)</f>
        <v>7.6626389519773505E-2</v>
      </c>
      <c r="L29" s="207"/>
      <c r="M29" s="208"/>
      <c r="O29" t="s">
        <v>187</v>
      </c>
      <c r="P29">
        <v>-0.11526594258799039</v>
      </c>
    </row>
    <row r="30" spans="1:23">
      <c r="A30" s="133">
        <v>28</v>
      </c>
      <c r="B30" s="156" t="str">
        <f t="shared" si="0"/>
        <v xml:space="preserve">TPL prop </v>
      </c>
      <c r="C30">
        <f>'Post-Period'!AF20</f>
        <v>5.1636039153613709</v>
      </c>
      <c r="D30">
        <v>1</v>
      </c>
      <c r="E30">
        <f>LN(AVERAGE('Post-Period'!B543:B585)*'Post-Period'!L543)</f>
        <v>22.259066312232338</v>
      </c>
      <c r="F30">
        <f>IF('Post-Period'!T543&lt;0,0,LN('Post-Period'!T543*1000))</f>
        <v>0</v>
      </c>
      <c r="G30">
        <f>(('Post-Period'!R543-'Post-Period'!S543)*1000/('Post-Period'!L543*AVERAGE('Post-Period'!B543:B585)))</f>
        <v>2559.1680923252038</v>
      </c>
      <c r="H30">
        <f>'Post-Period'!U543/'Post-Period'!R543</f>
        <v>3.1453744493392069E-2</v>
      </c>
      <c r="I30">
        <f>AVERAGE('Post-Period'!K543:K585)/'Post-Period'!L543</f>
        <v>1.0318793569161686E-2</v>
      </c>
      <c r="J30">
        <f>'Post-Period'!X543</f>
        <v>0.14550031466331026</v>
      </c>
      <c r="K30">
        <f>_xlfn.STDEV.S('Post-Period'!C543:C585)</f>
        <v>3.4635319307587377E-2</v>
      </c>
      <c r="L30" s="207"/>
      <c r="M30" s="208"/>
      <c r="O30" t="s">
        <v>188</v>
      </c>
      <c r="P30">
        <v>2.1359708288900143</v>
      </c>
    </row>
    <row r="31" spans="1:23" ht="15" thickBot="1">
      <c r="A31" s="133">
        <v>29</v>
      </c>
      <c r="B31" s="156" t="str">
        <f t="shared" si="0"/>
        <v>Dolmen</v>
      </c>
      <c r="C31">
        <f>'Post-Period'!AF21</f>
        <v>2.4896489031626121</v>
      </c>
      <c r="D31">
        <v>1</v>
      </c>
      <c r="E31">
        <f>LN(AVERAGE('Post-Period'!B588:B630)*'Post-Period'!L588)</f>
        <v>24.335287646671613</v>
      </c>
      <c r="F31">
        <f>IF('Post-Period'!T588&lt;0,0,LN('Post-Period'!T588*1000))</f>
        <v>27.655050093727908</v>
      </c>
      <c r="G31">
        <f>(('Post-Period'!R588-'Post-Period'!S588)*1000/('Post-Period'!L588*AVERAGE('Post-Period'!B588:B630)))</f>
        <v>1955.8516408466944</v>
      </c>
      <c r="H31">
        <f>'Post-Period'!U588/'Post-Period'!R588</f>
        <v>1.4204373772859614E-2</v>
      </c>
      <c r="I31">
        <f>AVERAGE('Post-Period'!K588:K630)/'Post-Period'!L588</f>
        <v>1.5784559938905105E-4</v>
      </c>
      <c r="J31">
        <f>'Post-Period'!X588</f>
        <v>0</v>
      </c>
      <c r="K31">
        <f>_xlfn.STDEV.S('Post-Period'!C588:C630)</f>
        <v>9.0273200856437561E-3</v>
      </c>
      <c r="L31" s="207"/>
      <c r="M31" s="208"/>
      <c r="O31" s="65" t="s">
        <v>118</v>
      </c>
      <c r="P31" s="65">
        <v>30</v>
      </c>
    </row>
    <row r="32" spans="1:23" ht="15" thickBot="1">
      <c r="A32" s="133">
        <v>30</v>
      </c>
      <c r="B32" s="156" t="str">
        <f t="shared" si="0"/>
        <v>Globe</v>
      </c>
      <c r="C32">
        <f>'Post-Period'!AF22</f>
        <v>2.4620549651612653</v>
      </c>
      <c r="D32">
        <v>1</v>
      </c>
      <c r="E32">
        <f>LN(AVERAGE('Post-Period'!B633:B675)*'Post-Period'!L633)</f>
        <v>21.389560341098857</v>
      </c>
      <c r="F32">
        <f>IF('Post-Period'!T633&lt;0,0,LN('Post-Period'!T633*1000))</f>
        <v>25.211902206678552</v>
      </c>
      <c r="G32">
        <f>(('Post-Period'!R633-'Post-Period'!S633)*1000/('Post-Period'!L633*AVERAGE('Post-Period'!B633:B675)))</f>
        <v>859.05598807473416</v>
      </c>
      <c r="H32">
        <f>'Post-Period'!U633/'Post-Period'!R633</f>
        <v>3.2533643264712206E-3</v>
      </c>
      <c r="I32">
        <f>AVERAGE('Post-Period'!K633:K675)/'Post-Period'!L633</f>
        <v>9.6688704318936879E-5</v>
      </c>
      <c r="J32">
        <f>'Post-Period'!X633</f>
        <v>0.26310611641644893</v>
      </c>
      <c r="K32">
        <f>_xlfn.STDEV.S('Post-Period'!C633:C675)</f>
        <v>2.3465198927453142E-2</v>
      </c>
      <c r="L32" s="209"/>
      <c r="M32" s="210"/>
    </row>
    <row r="33" spans="15:23" ht="15" thickBot="1">
      <c r="O33" t="s">
        <v>189</v>
      </c>
    </row>
    <row r="34" spans="15:23">
      <c r="O34" s="67"/>
      <c r="P34" s="67" t="s">
        <v>120</v>
      </c>
      <c r="Q34" s="67" t="s">
        <v>193</v>
      </c>
      <c r="R34" s="67" t="s">
        <v>194</v>
      </c>
      <c r="S34" s="67" t="s">
        <v>195</v>
      </c>
      <c r="T34" s="67" t="s">
        <v>196</v>
      </c>
    </row>
    <row r="35" spans="15:23">
      <c r="O35" t="s">
        <v>190</v>
      </c>
      <c r="P35">
        <v>8</v>
      </c>
      <c r="Q35">
        <v>22.824479157646778</v>
      </c>
      <c r="R35">
        <v>2.8530598947058472</v>
      </c>
      <c r="S35">
        <v>0.6253458247708491</v>
      </c>
      <c r="T35">
        <v>0.74742361069013019</v>
      </c>
    </row>
    <row r="36" spans="15:23">
      <c r="O36" t="s">
        <v>191</v>
      </c>
      <c r="P36">
        <v>21</v>
      </c>
      <c r="Q36">
        <v>95.809799019250988</v>
      </c>
      <c r="R36">
        <v>4.5623713818690943</v>
      </c>
    </row>
    <row r="37" spans="15:23" ht="15" thickBot="1">
      <c r="O37" s="65" t="s">
        <v>167</v>
      </c>
      <c r="P37" s="65">
        <v>29</v>
      </c>
      <c r="Q37" s="65">
        <v>118.63427817689777</v>
      </c>
      <c r="R37" s="65"/>
      <c r="S37" s="65"/>
      <c r="T37" s="65"/>
    </row>
    <row r="38" spans="15:23" ht="15" thickBot="1"/>
    <row r="39" spans="15:23">
      <c r="O39" s="67"/>
      <c r="P39" s="67" t="s">
        <v>197</v>
      </c>
      <c r="Q39" s="67" t="s">
        <v>188</v>
      </c>
      <c r="R39" s="67" t="s">
        <v>121</v>
      </c>
      <c r="S39" s="67" t="s">
        <v>198</v>
      </c>
      <c r="T39" s="67" t="s">
        <v>199</v>
      </c>
      <c r="U39" s="67" t="s">
        <v>200</v>
      </c>
      <c r="V39" s="67" t="s">
        <v>201</v>
      </c>
      <c r="W39" s="67" t="s">
        <v>202</v>
      </c>
    </row>
    <row r="40" spans="15:23">
      <c r="O40" t="s">
        <v>192</v>
      </c>
      <c r="P40">
        <v>19.105610011324735</v>
      </c>
      <c r="Q40">
        <v>9.1615760327538318</v>
      </c>
      <c r="R40">
        <v>2.0854064784290043</v>
      </c>
      <c r="S40">
        <v>4.9420860441448687E-2</v>
      </c>
      <c r="T40">
        <v>5.306965408457387E-2</v>
      </c>
      <c r="U40">
        <v>38.158150368564897</v>
      </c>
      <c r="V40">
        <v>5.306965408457387E-2</v>
      </c>
      <c r="W40">
        <v>38.158150368564897</v>
      </c>
    </row>
    <row r="41" spans="15:23">
      <c r="O41" t="s">
        <v>211</v>
      </c>
      <c r="P41">
        <v>0.58413396607724477</v>
      </c>
      <c r="Q41">
        <v>0.91181610270232138</v>
      </c>
      <c r="R41">
        <v>0.64062694697545353</v>
      </c>
      <c r="S41">
        <v>0.52869440944681312</v>
      </c>
      <c r="T41">
        <v>-1.312091424948139</v>
      </c>
      <c r="U41">
        <v>2.4803593571026283</v>
      </c>
      <c r="V41">
        <v>-1.312091424948139</v>
      </c>
      <c r="W41">
        <v>2.4803593571026283</v>
      </c>
    </row>
    <row r="42" spans="15:23">
      <c r="O42" t="s">
        <v>212</v>
      </c>
      <c r="P42">
        <v>-0.63709187615570739</v>
      </c>
      <c r="Q42">
        <v>0.41384531248254541</v>
      </c>
      <c r="R42">
        <v>-1.5394444661798066</v>
      </c>
      <c r="S42">
        <v>0.13862922382637408</v>
      </c>
      <c r="T42">
        <v>-1.4977303175700618</v>
      </c>
      <c r="U42">
        <v>0.22354656525864702</v>
      </c>
      <c r="V42">
        <v>-1.4977303175700618</v>
      </c>
      <c r="W42">
        <v>0.22354656525864702</v>
      </c>
    </row>
    <row r="43" spans="15:23">
      <c r="O43" t="s">
        <v>213</v>
      </c>
      <c r="P43">
        <v>-6.2472221889240962E-3</v>
      </c>
      <c r="Q43">
        <v>4.8952790130779883E-2</v>
      </c>
      <c r="R43">
        <v>-0.1276172853934234</v>
      </c>
      <c r="S43">
        <v>0.89966601467553931</v>
      </c>
      <c r="T43">
        <v>-0.10805012228294247</v>
      </c>
      <c r="U43">
        <v>9.5555677905094283E-2</v>
      </c>
      <c r="V43">
        <v>-0.10805012228294247</v>
      </c>
      <c r="W43">
        <v>9.5555677905094283E-2</v>
      </c>
    </row>
    <row r="44" spans="15:23">
      <c r="O44" t="s">
        <v>214</v>
      </c>
      <c r="P44">
        <v>1.6588985373488236E-4</v>
      </c>
      <c r="Q44">
        <v>4.3115310347255137E-4</v>
      </c>
      <c r="R44">
        <v>0.38475857508339484</v>
      </c>
      <c r="S44">
        <v>0.70428529898084991</v>
      </c>
      <c r="T44">
        <v>-7.3074210944394137E-4</v>
      </c>
      <c r="U44">
        <v>1.062521816913706E-3</v>
      </c>
      <c r="V44">
        <v>-7.3074210944394137E-4</v>
      </c>
      <c r="W44">
        <v>1.062521816913706E-3</v>
      </c>
    </row>
    <row r="45" spans="15:23">
      <c r="O45" t="s">
        <v>215</v>
      </c>
      <c r="P45">
        <v>-15.272237179298765</v>
      </c>
      <c r="Q45">
        <v>9.631941864200833</v>
      </c>
      <c r="R45">
        <v>-1.5855823669431905</v>
      </c>
      <c r="S45">
        <v>0.12777828550338954</v>
      </c>
      <c r="T45">
        <v>-35.302956831702957</v>
      </c>
      <c r="U45">
        <v>4.7584824731054258</v>
      </c>
      <c r="V45">
        <v>-35.302956831702957</v>
      </c>
      <c r="W45">
        <v>4.7584824731054258</v>
      </c>
    </row>
    <row r="46" spans="15:23">
      <c r="O46" t="s">
        <v>216</v>
      </c>
      <c r="P46">
        <v>-42.055008278590009</v>
      </c>
      <c r="Q46">
        <v>51.850010073594838</v>
      </c>
      <c r="R46">
        <v>-0.81108968385730296</v>
      </c>
      <c r="S46">
        <v>0.42641178952234249</v>
      </c>
      <c r="T46">
        <v>-149.88300707690752</v>
      </c>
      <c r="U46">
        <v>65.772990519727486</v>
      </c>
      <c r="V46">
        <v>-149.88300707690752</v>
      </c>
      <c r="W46">
        <v>65.772990519727486</v>
      </c>
    </row>
    <row r="47" spans="15:23">
      <c r="O47" t="s">
        <v>217</v>
      </c>
      <c r="P47">
        <v>-4.2245022826726171</v>
      </c>
      <c r="Q47">
        <v>2.8786071971470126</v>
      </c>
      <c r="R47">
        <v>-1.4675507956971416</v>
      </c>
      <c r="S47">
        <v>0.1570446594108246</v>
      </c>
      <c r="T47">
        <v>-10.210893663392287</v>
      </c>
      <c r="U47">
        <v>1.7618890980470523</v>
      </c>
      <c r="V47">
        <v>-10.210893663392287</v>
      </c>
      <c r="W47">
        <v>1.7618890980470523</v>
      </c>
    </row>
    <row r="48" spans="15:23" ht="15" thickBot="1">
      <c r="O48" s="65" t="s">
        <v>218</v>
      </c>
      <c r="P48" s="65">
        <v>4.4689063990331741</v>
      </c>
      <c r="Q48" s="65">
        <v>9.4357459096657905</v>
      </c>
      <c r="R48" s="65">
        <v>0.47361453369100531</v>
      </c>
      <c r="S48" s="65">
        <v>0.64066140537341398</v>
      </c>
      <c r="T48" s="65">
        <v>-15.153801430040382</v>
      </c>
      <c r="U48" s="65">
        <v>24.091614228106728</v>
      </c>
      <c r="V48" s="65">
        <v>-15.153801430040382</v>
      </c>
      <c r="W48" s="65">
        <v>24.091614228106728</v>
      </c>
    </row>
  </sheetData>
  <mergeCells count="2">
    <mergeCell ref="L3:M17"/>
    <mergeCell ref="L18:M32"/>
  </mergeCells>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59F4E-7205-4635-9B1C-8AF1CCAF3C00}">
  <dimension ref="C3:R26"/>
  <sheetViews>
    <sheetView topLeftCell="A4" zoomScale="71" workbookViewId="0">
      <selection activeCell="D11" sqref="D11:D12"/>
    </sheetView>
  </sheetViews>
  <sheetFormatPr defaultColWidth="8.81640625" defaultRowHeight="14.5"/>
  <cols>
    <col min="3" max="4" width="23.453125" customWidth="1"/>
    <col min="5" max="6" width="19.36328125" customWidth="1"/>
    <col min="7" max="7" width="23.453125" customWidth="1"/>
  </cols>
  <sheetData>
    <row r="3" spans="3:18" ht="15" thickBot="1"/>
    <row r="4" spans="3:18" ht="15" thickBot="1">
      <c r="C4" s="141" t="s">
        <v>233</v>
      </c>
      <c r="D4" s="213" t="s">
        <v>264</v>
      </c>
      <c r="E4" s="214"/>
      <c r="F4" s="213" t="s">
        <v>265</v>
      </c>
      <c r="G4" s="214"/>
    </row>
    <row r="5" spans="3:18">
      <c r="C5" s="211" t="s">
        <v>211</v>
      </c>
      <c r="D5" s="232" t="s">
        <v>242</v>
      </c>
      <c r="E5" s="232" t="s">
        <v>243</v>
      </c>
      <c r="F5" s="232" t="s">
        <v>245</v>
      </c>
      <c r="G5" s="232" t="s">
        <v>253</v>
      </c>
    </row>
    <row r="6" spans="3:18" ht="15" thickBot="1">
      <c r="C6" s="212"/>
      <c r="D6" s="233"/>
      <c r="E6" s="233"/>
      <c r="F6" s="233"/>
      <c r="G6" s="233"/>
      <c r="J6" s="231" t="s">
        <v>127</v>
      </c>
      <c r="K6" s="231"/>
      <c r="L6" s="231"/>
      <c r="M6" s="231"/>
      <c r="N6" s="231"/>
      <c r="O6" s="231"/>
      <c r="P6" s="231"/>
      <c r="Q6" s="231"/>
      <c r="R6" s="231"/>
    </row>
    <row r="7" spans="3:18" ht="14.5" customHeight="1">
      <c r="C7" s="211" t="s">
        <v>234</v>
      </c>
      <c r="D7" s="232"/>
      <c r="E7" s="232"/>
      <c r="F7" s="232" t="s">
        <v>246</v>
      </c>
      <c r="G7" s="232" t="s">
        <v>254</v>
      </c>
      <c r="J7" s="231"/>
      <c r="K7" s="231"/>
      <c r="L7" s="231"/>
      <c r="M7" s="231"/>
      <c r="N7" s="231"/>
      <c r="O7" s="231"/>
      <c r="P7" s="231"/>
      <c r="Q7" s="231"/>
      <c r="R7" s="231"/>
    </row>
    <row r="8" spans="3:18" ht="15" customHeight="1" thickBot="1">
      <c r="C8" s="212"/>
      <c r="D8" s="233"/>
      <c r="E8" s="233"/>
      <c r="F8" s="233"/>
      <c r="G8" s="233"/>
      <c r="J8" s="230" t="s">
        <v>280</v>
      </c>
      <c r="K8" s="230"/>
      <c r="L8" s="230"/>
      <c r="M8" s="230"/>
      <c r="N8" s="230"/>
      <c r="O8" s="230"/>
      <c r="P8" s="230"/>
      <c r="Q8" s="230"/>
      <c r="R8" s="230"/>
    </row>
    <row r="9" spans="3:18" ht="14.5" customHeight="1">
      <c r="C9" s="211" t="s">
        <v>9</v>
      </c>
      <c r="D9" s="232"/>
      <c r="E9" s="232"/>
      <c r="F9" s="232" t="s">
        <v>247</v>
      </c>
      <c r="G9" s="232" t="s">
        <v>255</v>
      </c>
      <c r="J9" s="230"/>
      <c r="K9" s="230"/>
      <c r="L9" s="230"/>
      <c r="M9" s="230"/>
      <c r="N9" s="230"/>
      <c r="O9" s="230"/>
      <c r="P9" s="230"/>
      <c r="Q9" s="230"/>
      <c r="R9" s="230"/>
    </row>
    <row r="10" spans="3:18" ht="15" customHeight="1" thickBot="1">
      <c r="C10" s="212"/>
      <c r="D10" s="233"/>
      <c r="E10" s="233"/>
      <c r="F10" s="233"/>
      <c r="G10" s="233"/>
      <c r="J10" s="230"/>
      <c r="K10" s="230"/>
      <c r="L10" s="230"/>
      <c r="M10" s="230"/>
      <c r="N10" s="230"/>
      <c r="O10" s="230"/>
      <c r="P10" s="230"/>
      <c r="Q10" s="230"/>
      <c r="R10" s="230"/>
    </row>
    <row r="11" spans="3:18" ht="14.5" customHeight="1">
      <c r="C11" s="211" t="s">
        <v>235</v>
      </c>
      <c r="D11" s="232"/>
      <c r="E11" s="232"/>
      <c r="F11" s="232" t="s">
        <v>248</v>
      </c>
      <c r="G11" s="232" t="s">
        <v>256</v>
      </c>
      <c r="J11" s="230"/>
      <c r="K11" s="230"/>
      <c r="L11" s="230"/>
      <c r="M11" s="230"/>
      <c r="N11" s="230"/>
      <c r="O11" s="230"/>
      <c r="P11" s="230"/>
      <c r="Q11" s="230"/>
      <c r="R11" s="230"/>
    </row>
    <row r="12" spans="3:18" ht="15" thickBot="1">
      <c r="C12" s="212"/>
      <c r="D12" s="233"/>
      <c r="E12" s="233"/>
      <c r="F12" s="233"/>
      <c r="G12" s="233"/>
      <c r="J12" s="230"/>
      <c r="K12" s="230"/>
      <c r="L12" s="230"/>
      <c r="M12" s="230"/>
      <c r="N12" s="230"/>
      <c r="O12" s="230"/>
      <c r="P12" s="230"/>
      <c r="Q12" s="230"/>
      <c r="R12" s="230"/>
    </row>
    <row r="13" spans="3:18" ht="14.5" customHeight="1">
      <c r="C13" s="211" t="s">
        <v>236</v>
      </c>
      <c r="D13" s="232"/>
      <c r="E13" s="232"/>
      <c r="F13" s="232" t="s">
        <v>249</v>
      </c>
      <c r="G13" s="232" t="s">
        <v>257</v>
      </c>
      <c r="J13" s="230"/>
      <c r="K13" s="230"/>
      <c r="L13" s="230"/>
      <c r="M13" s="230"/>
      <c r="N13" s="230"/>
      <c r="O13" s="230"/>
      <c r="P13" s="230"/>
      <c r="Q13" s="230"/>
      <c r="R13" s="230"/>
    </row>
    <row r="14" spans="3:18" ht="15" thickBot="1">
      <c r="C14" s="212"/>
      <c r="D14" s="233"/>
      <c r="E14" s="233"/>
      <c r="F14" s="233"/>
      <c r="G14" s="233"/>
      <c r="J14" s="230"/>
      <c r="K14" s="230"/>
      <c r="L14" s="230"/>
      <c r="M14" s="230"/>
      <c r="N14" s="230"/>
      <c r="O14" s="230"/>
      <c r="P14" s="230"/>
      <c r="Q14" s="230"/>
      <c r="R14" s="230"/>
    </row>
    <row r="15" spans="3:18" ht="15" customHeight="1">
      <c r="C15" s="211" t="s">
        <v>21</v>
      </c>
      <c r="D15" s="232"/>
      <c r="E15" s="232"/>
      <c r="F15" s="232" t="s">
        <v>250</v>
      </c>
      <c r="G15" s="232" t="s">
        <v>258</v>
      </c>
      <c r="J15" s="230"/>
      <c r="K15" s="230"/>
      <c r="L15" s="230"/>
      <c r="M15" s="230"/>
      <c r="N15" s="230"/>
      <c r="O15" s="230"/>
      <c r="P15" s="230"/>
      <c r="Q15" s="230"/>
      <c r="R15" s="230"/>
    </row>
    <row r="16" spans="3:18" ht="15" thickBot="1">
      <c r="C16" s="212"/>
      <c r="D16" s="233"/>
      <c r="E16" s="233"/>
      <c r="F16" s="233"/>
      <c r="G16" s="233"/>
      <c r="J16" s="230"/>
      <c r="K16" s="230"/>
      <c r="L16" s="230"/>
      <c r="M16" s="230"/>
      <c r="N16" s="230"/>
      <c r="O16" s="230"/>
      <c r="P16" s="230"/>
      <c r="Q16" s="230"/>
      <c r="R16" s="230"/>
    </row>
    <row r="17" spans="3:18" ht="14.5" customHeight="1">
      <c r="C17" s="211" t="s">
        <v>237</v>
      </c>
      <c r="D17" s="232"/>
      <c r="E17" s="232"/>
      <c r="F17" s="232" t="s">
        <v>251</v>
      </c>
      <c r="G17" s="232" t="s">
        <v>259</v>
      </c>
      <c r="J17" s="230"/>
      <c r="K17" s="230"/>
      <c r="L17" s="230"/>
      <c r="M17" s="230"/>
      <c r="N17" s="230"/>
      <c r="O17" s="230"/>
      <c r="P17" s="230"/>
      <c r="Q17" s="230"/>
      <c r="R17" s="230"/>
    </row>
    <row r="18" spans="3:18" ht="15" thickBot="1">
      <c r="C18" s="212"/>
      <c r="D18" s="233"/>
      <c r="E18" s="233"/>
      <c r="F18" s="233"/>
      <c r="G18" s="233"/>
      <c r="J18" s="230"/>
      <c r="K18" s="230"/>
      <c r="L18" s="230"/>
      <c r="M18" s="230"/>
      <c r="N18" s="230"/>
      <c r="O18" s="230"/>
      <c r="P18" s="230"/>
      <c r="Q18" s="230"/>
      <c r="R18" s="230"/>
    </row>
    <row r="19" spans="3:18" ht="14.5" customHeight="1">
      <c r="C19" s="211" t="s">
        <v>238</v>
      </c>
      <c r="D19" s="232"/>
      <c r="E19" s="232"/>
      <c r="F19" s="232" t="s">
        <v>252</v>
      </c>
      <c r="G19" s="232" t="s">
        <v>260</v>
      </c>
      <c r="J19" s="230"/>
      <c r="K19" s="230"/>
      <c r="L19" s="230"/>
      <c r="M19" s="230"/>
      <c r="N19" s="230"/>
      <c r="O19" s="230"/>
      <c r="P19" s="230"/>
      <c r="Q19" s="230"/>
      <c r="R19" s="230"/>
    </row>
    <row r="20" spans="3:18" ht="15" customHeight="1" thickBot="1">
      <c r="C20" s="212"/>
      <c r="D20" s="233"/>
      <c r="E20" s="233"/>
      <c r="F20" s="233"/>
      <c r="G20" s="233"/>
      <c r="J20" s="230"/>
      <c r="K20" s="230"/>
      <c r="L20" s="230"/>
      <c r="M20" s="230"/>
      <c r="N20" s="230"/>
      <c r="O20" s="230"/>
      <c r="P20" s="230"/>
      <c r="Q20" s="230"/>
      <c r="R20" s="230"/>
    </row>
    <row r="21" spans="3:18" ht="14.5" customHeight="1">
      <c r="C21" s="211" t="s">
        <v>239</v>
      </c>
      <c r="D21" s="232" t="s">
        <v>263</v>
      </c>
      <c r="E21" s="232" t="s">
        <v>262</v>
      </c>
      <c r="F21" s="232" t="s">
        <v>244</v>
      </c>
      <c r="G21" s="232" t="s">
        <v>261</v>
      </c>
      <c r="J21" s="137"/>
    </row>
    <row r="22" spans="3:18" ht="15" thickBot="1">
      <c r="C22" s="212"/>
      <c r="D22" s="233"/>
      <c r="E22" s="233"/>
      <c r="F22" s="233"/>
      <c r="G22" s="233"/>
    </row>
    <row r="23" spans="3:18">
      <c r="C23" s="211" t="s">
        <v>240</v>
      </c>
      <c r="D23" s="234">
        <v>30</v>
      </c>
      <c r="E23" s="235"/>
      <c r="F23" s="234">
        <v>30</v>
      </c>
      <c r="G23" s="235"/>
    </row>
    <row r="24" spans="3:18" ht="15" thickBot="1">
      <c r="C24" s="212"/>
      <c r="D24" s="236"/>
      <c r="E24" s="237"/>
      <c r="F24" s="236"/>
      <c r="G24" s="237"/>
    </row>
    <row r="25" spans="3:18">
      <c r="C25" s="211" t="s">
        <v>241</v>
      </c>
      <c r="D25" s="234">
        <v>4.0676352612635603E-3</v>
      </c>
      <c r="E25" s="235"/>
      <c r="F25" s="234">
        <v>0.19239362778110999</v>
      </c>
      <c r="G25" s="235"/>
    </row>
    <row r="26" spans="3:18" ht="15" thickBot="1">
      <c r="C26" s="212"/>
      <c r="D26" s="236"/>
      <c r="E26" s="237"/>
      <c r="F26" s="236"/>
      <c r="G26" s="237"/>
    </row>
  </sheetData>
  <mergeCells count="55">
    <mergeCell ref="C7:C8"/>
    <mergeCell ref="E7:E8"/>
    <mergeCell ref="C9:C10"/>
    <mergeCell ref="E9:E10"/>
    <mergeCell ref="D11:D12"/>
    <mergeCell ref="C21:C22"/>
    <mergeCell ref="C23:C24"/>
    <mergeCell ref="D4:E4"/>
    <mergeCell ref="F4:G4"/>
    <mergeCell ref="D5:D6"/>
    <mergeCell ref="D7:D8"/>
    <mergeCell ref="D9:D10"/>
    <mergeCell ref="E5:E6"/>
    <mergeCell ref="G5:G6"/>
    <mergeCell ref="F5:F6"/>
    <mergeCell ref="G7:G8"/>
    <mergeCell ref="F9:F10"/>
    <mergeCell ref="G9:G10"/>
    <mergeCell ref="C11:C12"/>
    <mergeCell ref="E11:E12"/>
    <mergeCell ref="C5:C6"/>
    <mergeCell ref="C13:C14"/>
    <mergeCell ref="E13:E14"/>
    <mergeCell ref="C15:C16"/>
    <mergeCell ref="E15:E16"/>
    <mergeCell ref="C17:C18"/>
    <mergeCell ref="E17:E18"/>
    <mergeCell ref="D13:D14"/>
    <mergeCell ref="D15:D16"/>
    <mergeCell ref="D17:D18"/>
    <mergeCell ref="C25:C26"/>
    <mergeCell ref="F17:F18"/>
    <mergeCell ref="G17:G18"/>
    <mergeCell ref="F19:F20"/>
    <mergeCell ref="G19:G20"/>
    <mergeCell ref="G21:G22"/>
    <mergeCell ref="F21:F22"/>
    <mergeCell ref="D19:D20"/>
    <mergeCell ref="D21:D22"/>
    <mergeCell ref="F23:G24"/>
    <mergeCell ref="D25:E26"/>
    <mergeCell ref="F25:G26"/>
    <mergeCell ref="E21:E22"/>
    <mergeCell ref="D23:E24"/>
    <mergeCell ref="C19:C20"/>
    <mergeCell ref="E19:E20"/>
    <mergeCell ref="F7:F8"/>
    <mergeCell ref="F11:F12"/>
    <mergeCell ref="G11:G12"/>
    <mergeCell ref="F13:F14"/>
    <mergeCell ref="G13:G14"/>
    <mergeCell ref="F15:F16"/>
    <mergeCell ref="G15:G16"/>
    <mergeCell ref="J6:R7"/>
    <mergeCell ref="J8:R20"/>
  </mergeCells>
  <phoneticPr fontId="2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 page</vt:lpstr>
      <vt:lpstr>Contribution</vt:lpstr>
      <vt:lpstr>Pre-Period</vt:lpstr>
      <vt:lpstr>Post-Period</vt:lpstr>
      <vt:lpstr>T-Test</vt:lpstr>
      <vt:lpstr>Regression 1 Result</vt:lpstr>
      <vt:lpstr>Regressions(RSQ)</vt:lpstr>
      <vt:lpstr>Regresion 2</vt:lpstr>
      <vt:lpstr>Regression 2 Results</vt:lpstr>
      <vt:lpstr>comment on overall project</vt:lpstr>
      <vt:lpstr>3-month t bill</vt:lpstr>
      <vt:lpstr>Pre-period(stats)</vt:lpstr>
      <vt:lpstr>Post-period(stats) </vt:lpstr>
      <vt:lpstr>KSE 100</vt:lpstr>
      <vt:lpstr>Rough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dc:creator>
  <cp:lastModifiedBy>ABDUL RAHIM SHAIKH - 26570</cp:lastModifiedBy>
  <dcterms:created xsi:type="dcterms:W3CDTF">2024-10-21T15:25:48Z</dcterms:created>
  <dcterms:modified xsi:type="dcterms:W3CDTF">2024-12-06T18:34:30Z</dcterms:modified>
</cp:coreProperties>
</file>