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202300"/>
  <mc:AlternateContent xmlns:mc="http://schemas.openxmlformats.org/markup-compatibility/2006">
    <mc:Choice Requires="x15">
      <x15ac:absPath xmlns:x15ac="http://schemas.microsoft.com/office/spreadsheetml/2010/11/ac" url="C:\Users\Zainab\Desktop\FMod\"/>
    </mc:Choice>
  </mc:AlternateContent>
  <xr:revisionPtr revIDLastSave="0" documentId="13_ncr:1_{169DF1B1-7468-4FE2-8E45-737D96DAAA26}" xr6:coauthVersionLast="47" xr6:coauthVersionMax="47" xr10:uidLastSave="{00000000-0000-0000-0000-000000000000}"/>
  <bookViews>
    <workbookView xWindow="-110" yWindow="-110" windowWidth="19420" windowHeight="10300" activeTab="2" xr2:uid="{0AB419E0-13C4-453C-946A-B8C7ACE75668}"/>
  </bookViews>
  <sheets>
    <sheet name="Control Sheet" sheetId="6" r:id="rId1"/>
    <sheet name="Assumptions" sheetId="1" r:id="rId2"/>
    <sheet name="Valuation" sheetId="5" r:id="rId3"/>
    <sheet name="PnL" sheetId="2" r:id="rId4"/>
    <sheet name="CFS" sheetId="4" r:id="rId5"/>
    <sheet name="Balance Sheet" sheetId="3" r:id="rId6"/>
    <sheet name="Private Equity"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5" l="1"/>
  <c r="C20" i="7"/>
  <c r="G14" i="7"/>
  <c r="H14" i="7" s="1"/>
  <c r="F14" i="7"/>
  <c r="E14" i="7"/>
  <c r="M2" i="7"/>
  <c r="D16" i="7"/>
  <c r="D17" i="7" s="1"/>
  <c r="D66" i="6"/>
  <c r="C14" i="7"/>
  <c r="B16" i="7"/>
  <c r="F5" i="7"/>
  <c r="C249" i="1"/>
  <c r="C251" i="1"/>
  <c r="C250" i="1"/>
  <c r="D9" i="5" s="1"/>
  <c r="D226" i="1"/>
  <c r="D225" i="1"/>
  <c r="D10" i="5" s="1"/>
  <c r="D70" i="1"/>
  <c r="D69" i="1"/>
  <c r="D68" i="1"/>
  <c r="D40" i="1"/>
  <c r="D39" i="1"/>
  <c r="D30" i="1"/>
  <c r="D29" i="1"/>
  <c r="O29" i="5"/>
  <c r="O30" i="5" s="1"/>
  <c r="P29" i="5"/>
  <c r="P30" i="5" s="1"/>
  <c r="Q29" i="5"/>
  <c r="Q30" i="5" s="1"/>
  <c r="H26" i="5"/>
  <c r="H29" i="5" s="1"/>
  <c r="H30" i="5" s="1"/>
  <c r="I26" i="5"/>
  <c r="I29" i="5" s="1"/>
  <c r="I30" i="5" s="1"/>
  <c r="E16" i="7" l="1"/>
  <c r="E23" i="7" s="1"/>
  <c r="S21" i="5"/>
  <c r="G21" i="5"/>
  <c r="F21" i="5"/>
  <c r="T21" i="5"/>
  <c r="M21" i="5"/>
  <c r="N21" i="5"/>
  <c r="L21" i="5"/>
  <c r="C21" i="5"/>
  <c r="V21" i="5"/>
  <c r="K21" i="5"/>
  <c r="D21" i="5"/>
  <c r="U21" i="5"/>
  <c r="J21" i="5"/>
  <c r="R21" i="5"/>
  <c r="E21" i="5"/>
  <c r="AD59" i="3" l="1"/>
  <c r="AE59" i="3"/>
  <c r="AF59" i="3"/>
  <c r="AD8" i="4"/>
  <c r="AE8" i="4"/>
  <c r="AF8" i="4"/>
  <c r="W55" i="3"/>
  <c r="X55" i="3"/>
  <c r="AD43" i="3"/>
  <c r="AE43" i="3"/>
  <c r="AF43" i="3"/>
  <c r="AH274" i="1"/>
  <c r="AH40" i="3" s="1"/>
  <c r="AI274" i="1"/>
  <c r="AI40" i="3" s="1"/>
  <c r="AJ274" i="1"/>
  <c r="AJ40" i="3" s="1"/>
  <c r="AK274" i="1"/>
  <c r="AK40" i="3" s="1"/>
  <c r="AG274" i="1"/>
  <c r="G40" i="3"/>
  <c r="H40" i="3"/>
  <c r="I40" i="3"/>
  <c r="J40" i="3"/>
  <c r="K40" i="3"/>
  <c r="L40" i="3"/>
  <c r="M40" i="3"/>
  <c r="N40" i="3"/>
  <c r="O40" i="3"/>
  <c r="P40" i="3"/>
  <c r="Q40" i="3"/>
  <c r="R40" i="3"/>
  <c r="S40" i="3"/>
  <c r="U40" i="3"/>
  <c r="V40" i="3"/>
  <c r="W40" i="3"/>
  <c r="W43" i="3" s="1"/>
  <c r="X40" i="3"/>
  <c r="X43" i="3" s="1"/>
  <c r="X57" i="3" s="1"/>
  <c r="X59" i="3" s="1"/>
  <c r="Y40" i="3"/>
  <c r="Z40" i="3"/>
  <c r="AA40" i="3"/>
  <c r="AB40" i="3"/>
  <c r="AC40" i="3"/>
  <c r="F40" i="3"/>
  <c r="G52" i="3"/>
  <c r="H52" i="3"/>
  <c r="I52" i="3"/>
  <c r="J52" i="3"/>
  <c r="K52" i="3"/>
  <c r="L52" i="3"/>
  <c r="M52" i="3"/>
  <c r="N52" i="3"/>
  <c r="O52" i="3"/>
  <c r="P52" i="3"/>
  <c r="Q52" i="3"/>
  <c r="R52" i="3"/>
  <c r="S52" i="3"/>
  <c r="T52" i="3"/>
  <c r="V52" i="3"/>
  <c r="Y52" i="3"/>
  <c r="Z52" i="3"/>
  <c r="AA52" i="3"/>
  <c r="AB52" i="3"/>
  <c r="AC52" i="3"/>
  <c r="F52" i="3"/>
  <c r="Q47" i="3"/>
  <c r="U47" i="3"/>
  <c r="AA47" i="3"/>
  <c r="AB47" i="3"/>
  <c r="AC47" i="3"/>
  <c r="AI270" i="1"/>
  <c r="AI47" i="3" s="1"/>
  <c r="AJ270" i="1"/>
  <c r="AJ47" i="3" s="1"/>
  <c r="AK270" i="1"/>
  <c r="AK47" i="3" s="1"/>
  <c r="U270" i="1"/>
  <c r="V270" i="1"/>
  <c r="V47" i="3" s="1"/>
  <c r="Y270" i="1"/>
  <c r="Y47" i="3" s="1"/>
  <c r="Z270" i="1"/>
  <c r="Z47" i="3" s="1"/>
  <c r="T270" i="1"/>
  <c r="T47" i="3" s="1"/>
  <c r="S270" i="1"/>
  <c r="S47" i="3" s="1"/>
  <c r="R270" i="1"/>
  <c r="R47" i="3" s="1"/>
  <c r="H270" i="1"/>
  <c r="H47" i="3" s="1"/>
  <c r="I270" i="1"/>
  <c r="I47" i="3" s="1"/>
  <c r="J270" i="1"/>
  <c r="J47" i="3" s="1"/>
  <c r="K270" i="1"/>
  <c r="K47" i="3" s="1"/>
  <c r="L270" i="1"/>
  <c r="L47" i="3" s="1"/>
  <c r="M270" i="1"/>
  <c r="M47" i="3" s="1"/>
  <c r="N270" i="1"/>
  <c r="N47" i="3" s="1"/>
  <c r="O270" i="1"/>
  <c r="O47" i="3" s="1"/>
  <c r="P270" i="1"/>
  <c r="P47" i="3" s="1"/>
  <c r="Q270" i="1"/>
  <c r="G270" i="1"/>
  <c r="G47" i="3" s="1"/>
  <c r="F270" i="1"/>
  <c r="G46" i="3"/>
  <c r="H46" i="3"/>
  <c r="I46" i="3"/>
  <c r="J46" i="3"/>
  <c r="K46" i="3"/>
  <c r="L46" i="3"/>
  <c r="M46" i="3"/>
  <c r="N46" i="3"/>
  <c r="O46" i="3"/>
  <c r="P46" i="3"/>
  <c r="Q46" i="3"/>
  <c r="R46" i="3"/>
  <c r="S46" i="3"/>
  <c r="T46" i="3"/>
  <c r="U46" i="3"/>
  <c r="Y46" i="3"/>
  <c r="Z46" i="3"/>
  <c r="AA46" i="3"/>
  <c r="AB46" i="3"/>
  <c r="AC46" i="3"/>
  <c r="F46" i="3"/>
  <c r="U240" i="1"/>
  <c r="U52" i="3" s="1"/>
  <c r="D258" i="1"/>
  <c r="C254" i="1"/>
  <c r="F261" i="1" l="1"/>
  <c r="O259" i="1"/>
  <c r="J262" i="1"/>
  <c r="K258" i="1" s="1"/>
  <c r="J261" i="1"/>
  <c r="L262" i="1"/>
  <c r="M258" i="1" s="1"/>
  <c r="N259" i="1"/>
  <c r="J259" i="1"/>
  <c r="K261" i="1"/>
  <c r="K260" i="1" s="1"/>
  <c r="M262" i="1"/>
  <c r="N258" i="1" s="1"/>
  <c r="M261" i="1"/>
  <c r="O262" i="1"/>
  <c r="M259" i="1"/>
  <c r="O261" i="1"/>
  <c r="K259" i="1"/>
  <c r="L261" i="1"/>
  <c r="N262" i="1"/>
  <c r="O258" i="1" s="1"/>
  <c r="L259" i="1"/>
  <c r="N261" i="1"/>
  <c r="K262" i="1"/>
  <c r="L258" i="1" s="1"/>
  <c r="AH270" i="1"/>
  <c r="AH47" i="3" s="1"/>
  <c r="AG270" i="1"/>
  <c r="AG47" i="3" s="1"/>
  <c r="M21" i="4"/>
  <c r="U21" i="4"/>
  <c r="N21" i="4"/>
  <c r="O21" i="4"/>
  <c r="T21" i="4"/>
  <c r="L21" i="4"/>
  <c r="S21" i="4"/>
  <c r="K21" i="4"/>
  <c r="Z21" i="4"/>
  <c r="R21" i="4"/>
  <c r="J21" i="4"/>
  <c r="AB21" i="4"/>
  <c r="Q21" i="4"/>
  <c r="I21" i="4"/>
  <c r="W57" i="3"/>
  <c r="W59" i="3" s="1"/>
  <c r="AA21" i="4"/>
  <c r="P21" i="4"/>
  <c r="H21" i="4"/>
  <c r="AC21" i="4"/>
  <c r="AG40" i="3"/>
  <c r="C274" i="1"/>
  <c r="S48" i="3"/>
  <c r="K48" i="3"/>
  <c r="AA48" i="3"/>
  <c r="L16" i="5" s="1"/>
  <c r="N48" i="3"/>
  <c r="J48" i="3"/>
  <c r="P48" i="3"/>
  <c r="H48" i="3"/>
  <c r="Z48" i="3"/>
  <c r="K16" i="5" s="1"/>
  <c r="AC48" i="3"/>
  <c r="N16" i="5" s="1"/>
  <c r="M48" i="3"/>
  <c r="U48" i="3"/>
  <c r="F16" i="5" s="1"/>
  <c r="T48" i="3"/>
  <c r="E16" i="5" s="1"/>
  <c r="L48" i="3"/>
  <c r="R48" i="3"/>
  <c r="D16" i="5" s="1"/>
  <c r="AB48" i="3"/>
  <c r="M16" i="5" s="1"/>
  <c r="Q48" i="3"/>
  <c r="I48" i="3"/>
  <c r="O48" i="3"/>
  <c r="G48" i="3"/>
  <c r="Y48" i="3"/>
  <c r="J16" i="5" s="1"/>
  <c r="I259" i="1"/>
  <c r="E261" i="1"/>
  <c r="I261" i="1"/>
  <c r="I262" i="1"/>
  <c r="J258" i="1" s="1"/>
  <c r="H262" i="1"/>
  <c r="I258" i="1" s="1"/>
  <c r="D259" i="1"/>
  <c r="H261" i="1"/>
  <c r="D261" i="1"/>
  <c r="G261" i="1"/>
  <c r="M260" i="1" l="1"/>
  <c r="L260" i="1"/>
  <c r="N260" i="1"/>
  <c r="O260" i="1"/>
  <c r="J260" i="1"/>
  <c r="I260" i="1"/>
  <c r="AJ242" i="1" s="1"/>
  <c r="AJ46" i="3" s="1"/>
  <c r="G37" i="5"/>
  <c r="T40" i="3"/>
  <c r="AK242" i="1" l="1"/>
  <c r="AK46" i="3" s="1"/>
  <c r="AK48" i="3" s="1"/>
  <c r="V16" i="5" s="1"/>
  <c r="AK240" i="1"/>
  <c r="AK52" i="3" s="1"/>
  <c r="AJ48" i="3"/>
  <c r="U16" i="5" s="1"/>
  <c r="AK21" i="4" l="1"/>
  <c r="E17" i="7" l="1"/>
  <c r="E24" i="7" s="1"/>
  <c r="F16" i="7" l="1"/>
  <c r="F23" i="7" s="1"/>
  <c r="F17" i="7"/>
  <c r="F24" i="7" s="1"/>
  <c r="G17" i="7" l="1"/>
  <c r="G24" i="7" s="1"/>
  <c r="G16" i="7"/>
  <c r="G23" i="7" s="1"/>
  <c r="H16" i="7"/>
  <c r="H23" i="7" s="1"/>
  <c r="H17" i="7"/>
  <c r="H24" i="7" s="1"/>
  <c r="G25" i="3" l="1"/>
  <c r="H25" i="3"/>
  <c r="I25" i="3"/>
  <c r="J25" i="3"/>
  <c r="K25" i="3"/>
  <c r="L25" i="3"/>
  <c r="M25" i="3"/>
  <c r="N25" i="3"/>
  <c r="O25" i="3"/>
  <c r="P25" i="3"/>
  <c r="Q25" i="3"/>
  <c r="R25" i="3"/>
  <c r="S25" i="3"/>
  <c r="T25" i="3"/>
  <c r="U25" i="3"/>
  <c r="V25" i="3"/>
  <c r="Y25" i="3"/>
  <c r="Z25" i="3"/>
  <c r="AA25" i="3"/>
  <c r="AB25" i="3"/>
  <c r="AC25" i="3"/>
  <c r="G26" i="3"/>
  <c r="H26" i="3"/>
  <c r="I26" i="3"/>
  <c r="J26" i="3"/>
  <c r="K26" i="3"/>
  <c r="L26" i="3"/>
  <c r="M26" i="3"/>
  <c r="N26" i="3"/>
  <c r="O26" i="3"/>
  <c r="P26" i="3"/>
  <c r="Q26" i="3"/>
  <c r="R26" i="3"/>
  <c r="S26" i="3"/>
  <c r="T26" i="3"/>
  <c r="U26" i="3"/>
  <c r="V26" i="3"/>
  <c r="Y26" i="3"/>
  <c r="Z26" i="3"/>
  <c r="AA26" i="3"/>
  <c r="AB26" i="3"/>
  <c r="AC26" i="3"/>
  <c r="G27" i="3"/>
  <c r="H27" i="3"/>
  <c r="I27" i="3"/>
  <c r="J27" i="3"/>
  <c r="K27" i="3"/>
  <c r="L27" i="3"/>
  <c r="M27" i="3"/>
  <c r="N27" i="3"/>
  <c r="O27" i="3"/>
  <c r="P27" i="3"/>
  <c r="Q27" i="3"/>
  <c r="R27" i="3"/>
  <c r="S27" i="3"/>
  <c r="T27" i="3"/>
  <c r="U27" i="3"/>
  <c r="V27" i="3"/>
  <c r="Y27" i="3"/>
  <c r="Z27" i="3"/>
  <c r="AA27" i="3"/>
  <c r="AB27" i="3"/>
  <c r="AC27" i="3"/>
  <c r="F26" i="3"/>
  <c r="F27" i="3"/>
  <c r="G21" i="3"/>
  <c r="H21" i="3"/>
  <c r="I21" i="3"/>
  <c r="J21" i="3"/>
  <c r="K21" i="3"/>
  <c r="L21" i="3"/>
  <c r="M21" i="3"/>
  <c r="N21" i="3"/>
  <c r="O21" i="3"/>
  <c r="P21" i="3"/>
  <c r="Q21" i="3"/>
  <c r="R21" i="3"/>
  <c r="S21" i="3"/>
  <c r="T21" i="3"/>
  <c r="U21" i="3"/>
  <c r="V21" i="3"/>
  <c r="Y21" i="3"/>
  <c r="Z21" i="3"/>
  <c r="AA21" i="3"/>
  <c r="AB21" i="3"/>
  <c r="AC21" i="3"/>
  <c r="G22" i="3"/>
  <c r="H22" i="3"/>
  <c r="I22" i="3"/>
  <c r="J22" i="3"/>
  <c r="K22" i="3"/>
  <c r="L22" i="3"/>
  <c r="M22" i="3"/>
  <c r="N22" i="3"/>
  <c r="O22" i="3"/>
  <c r="P22" i="3"/>
  <c r="Q22" i="3"/>
  <c r="R22" i="3"/>
  <c r="S22" i="3"/>
  <c r="T22" i="3"/>
  <c r="U22" i="3"/>
  <c r="V22" i="3"/>
  <c r="Y22" i="3"/>
  <c r="Z22" i="3"/>
  <c r="AA22" i="3"/>
  <c r="AB22" i="3"/>
  <c r="AC22" i="3"/>
  <c r="G23" i="3"/>
  <c r="H23" i="3"/>
  <c r="I23" i="3"/>
  <c r="J23" i="3"/>
  <c r="K23" i="3"/>
  <c r="L23" i="3"/>
  <c r="M23" i="3"/>
  <c r="N23" i="3"/>
  <c r="O23" i="3"/>
  <c r="P23" i="3"/>
  <c r="Q23" i="3"/>
  <c r="R23" i="3"/>
  <c r="S23" i="3"/>
  <c r="T23" i="3"/>
  <c r="U23" i="3"/>
  <c r="V23" i="3"/>
  <c r="Y23" i="3"/>
  <c r="Z23" i="3"/>
  <c r="AA23" i="3"/>
  <c r="AB23" i="3"/>
  <c r="AC23" i="3"/>
  <c r="F22" i="3"/>
  <c r="F23" i="3"/>
  <c r="F25" i="3"/>
  <c r="F21" i="3"/>
  <c r="AI206" i="1"/>
  <c r="AI25" i="3" s="1"/>
  <c r="AJ206" i="1"/>
  <c r="AJ25" i="3" s="1"/>
  <c r="AK206" i="1"/>
  <c r="AH206" i="1"/>
  <c r="AH25" i="3" s="1"/>
  <c r="AG206" i="1"/>
  <c r="AG204" i="1" s="1"/>
  <c r="AG207" i="1"/>
  <c r="AG26" i="3" s="1"/>
  <c r="AI197" i="1"/>
  <c r="AJ197" i="1"/>
  <c r="AJ21" i="3" s="1"/>
  <c r="AK197" i="1"/>
  <c r="AK21" i="3" s="1"/>
  <c r="AH197" i="1"/>
  <c r="AH21" i="3" s="1"/>
  <c r="AG198" i="1"/>
  <c r="AH198" i="1" s="1"/>
  <c r="AG197" i="1"/>
  <c r="Y188" i="1"/>
  <c r="Y17" i="3" s="1"/>
  <c r="Z188" i="1"/>
  <c r="Z17" i="3" s="1"/>
  <c r="AA188" i="1"/>
  <c r="AA17" i="3" s="1"/>
  <c r="AB188" i="1"/>
  <c r="AB17" i="3" s="1"/>
  <c r="AC188" i="1"/>
  <c r="AC17" i="3" s="1"/>
  <c r="H188" i="1"/>
  <c r="I188" i="1"/>
  <c r="J188" i="1"/>
  <c r="J17" i="3" s="1"/>
  <c r="K188" i="1"/>
  <c r="K17" i="3" s="1"/>
  <c r="L188" i="1"/>
  <c r="L17" i="3" s="1"/>
  <c r="M188" i="1"/>
  <c r="M17" i="3" s="1"/>
  <c r="N188" i="1"/>
  <c r="N17" i="3" s="1"/>
  <c r="O188" i="1"/>
  <c r="O17" i="3" s="1"/>
  <c r="P188" i="1"/>
  <c r="P17" i="3" s="1"/>
  <c r="Q188" i="1"/>
  <c r="Q17" i="3" s="1"/>
  <c r="R188" i="1"/>
  <c r="R17" i="3" s="1"/>
  <c r="S188" i="1"/>
  <c r="S17" i="3" s="1"/>
  <c r="T188" i="1"/>
  <c r="T17" i="3" s="1"/>
  <c r="U188" i="1"/>
  <c r="U17" i="3" s="1"/>
  <c r="V188" i="1"/>
  <c r="V17" i="3" s="1"/>
  <c r="G188" i="1"/>
  <c r="G17" i="3" s="1"/>
  <c r="G189" i="1"/>
  <c r="F189" i="1"/>
  <c r="F18" i="3" s="1"/>
  <c r="F188" i="1"/>
  <c r="F17" i="3" s="1"/>
  <c r="AB180" i="1"/>
  <c r="AC180" i="1" s="1"/>
  <c r="AC14" i="3" s="1"/>
  <c r="AB179" i="1"/>
  <c r="AB13" i="3" s="1"/>
  <c r="AC179" i="1"/>
  <c r="AC13" i="3" s="1"/>
  <c r="U180" i="1"/>
  <c r="V180" i="1" s="1"/>
  <c r="V14" i="3" s="1"/>
  <c r="B125" i="1"/>
  <c r="U97" i="1" s="1"/>
  <c r="T177" i="1" s="1"/>
  <c r="H179" i="1"/>
  <c r="H13" i="3" s="1"/>
  <c r="I179" i="1"/>
  <c r="I13" i="3" s="1"/>
  <c r="J179" i="1"/>
  <c r="J13" i="3" s="1"/>
  <c r="K179" i="1"/>
  <c r="K13" i="3" s="1"/>
  <c r="L179" i="1"/>
  <c r="L13" i="3" s="1"/>
  <c r="M179" i="1"/>
  <c r="M13" i="3" s="1"/>
  <c r="N179" i="1"/>
  <c r="N13" i="3" s="1"/>
  <c r="O179" i="1"/>
  <c r="O13" i="3" s="1"/>
  <c r="P179" i="1"/>
  <c r="P13" i="3" s="1"/>
  <c r="Q179" i="1"/>
  <c r="Q13" i="3" s="1"/>
  <c r="R179" i="1"/>
  <c r="R13" i="3" s="1"/>
  <c r="S179" i="1"/>
  <c r="S13" i="3" s="1"/>
  <c r="T179" i="1"/>
  <c r="T13" i="3" s="1"/>
  <c r="F180" i="1"/>
  <c r="F14" i="3" s="1"/>
  <c r="G179" i="1"/>
  <c r="G13" i="3" s="1"/>
  <c r="F179" i="1"/>
  <c r="F13" i="3" s="1"/>
  <c r="Y170" i="1"/>
  <c r="Y10" i="3" s="1"/>
  <c r="H169" i="1"/>
  <c r="H9" i="3" s="1"/>
  <c r="I169" i="1"/>
  <c r="I9" i="3" s="1"/>
  <c r="J169" i="1"/>
  <c r="J9" i="3" s="1"/>
  <c r="K169" i="1"/>
  <c r="K9" i="3" s="1"/>
  <c r="L169" i="1"/>
  <c r="L9" i="3" s="1"/>
  <c r="M169" i="1"/>
  <c r="M9" i="3" s="1"/>
  <c r="N169" i="1"/>
  <c r="N9" i="3" s="1"/>
  <c r="O169" i="1"/>
  <c r="O9" i="3" s="1"/>
  <c r="P169" i="1"/>
  <c r="P9" i="3" s="1"/>
  <c r="Q169" i="1"/>
  <c r="Q9" i="3" s="1"/>
  <c r="R169" i="1"/>
  <c r="R9" i="3" s="1"/>
  <c r="S169" i="1"/>
  <c r="S9" i="3" s="1"/>
  <c r="T169" i="1"/>
  <c r="T9" i="3" s="1"/>
  <c r="U169" i="1"/>
  <c r="U9" i="3" s="1"/>
  <c r="V169" i="1"/>
  <c r="V9" i="3" s="1"/>
  <c r="Y169" i="1"/>
  <c r="Y9" i="3" s="1"/>
  <c r="Z169" i="1"/>
  <c r="Z9" i="3" s="1"/>
  <c r="AA169" i="1"/>
  <c r="AA9" i="3" s="1"/>
  <c r="AB169" i="1"/>
  <c r="AB9" i="3" s="1"/>
  <c r="AC169" i="1"/>
  <c r="AC9" i="3" s="1"/>
  <c r="G169" i="1"/>
  <c r="G9" i="3" s="1"/>
  <c r="F170" i="1"/>
  <c r="G170" i="1" s="1"/>
  <c r="H170" i="1" s="1"/>
  <c r="H10" i="3" s="1"/>
  <c r="F169" i="1"/>
  <c r="F9" i="3" s="1"/>
  <c r="AF23" i="1"/>
  <c r="D34" i="1"/>
  <c r="G12" i="2"/>
  <c r="H12" i="2"/>
  <c r="I12" i="2"/>
  <c r="J12" i="2"/>
  <c r="K12" i="2"/>
  <c r="L12" i="2"/>
  <c r="M12" i="2"/>
  <c r="N12" i="2"/>
  <c r="O12" i="2"/>
  <c r="P12" i="2"/>
  <c r="Q12" i="2"/>
  <c r="R12" i="2"/>
  <c r="S12" i="2"/>
  <c r="T12" i="2"/>
  <c r="E27" i="5" s="1"/>
  <c r="U12" i="2"/>
  <c r="F27" i="5" s="1"/>
  <c r="V12" i="2"/>
  <c r="G27" i="5" s="1"/>
  <c r="Y12" i="2"/>
  <c r="J27" i="5" s="1"/>
  <c r="Z12" i="2"/>
  <c r="K27" i="5" s="1"/>
  <c r="AA12" i="2"/>
  <c r="L27" i="5" s="1"/>
  <c r="AB12" i="2"/>
  <c r="M27" i="5" s="1"/>
  <c r="AC12" i="2"/>
  <c r="N27" i="5" s="1"/>
  <c r="F12" i="2"/>
  <c r="W48" i="1"/>
  <c r="W235" i="1" s="1"/>
  <c r="X48" i="1"/>
  <c r="X235" i="1" s="1"/>
  <c r="AD48" i="1"/>
  <c r="AD235" i="1" s="1"/>
  <c r="AE48" i="1"/>
  <c r="AE235" i="1" s="1"/>
  <c r="AF48" i="1"/>
  <c r="AF235" i="1" s="1"/>
  <c r="G220" i="1"/>
  <c r="H220" i="1"/>
  <c r="I220" i="1"/>
  <c r="J220" i="1"/>
  <c r="K220" i="1"/>
  <c r="L220" i="1"/>
  <c r="M220" i="1"/>
  <c r="N220" i="1"/>
  <c r="O220" i="1"/>
  <c r="P220" i="1"/>
  <c r="Q220" i="1"/>
  <c r="R220" i="1"/>
  <c r="S220" i="1"/>
  <c r="T220" i="1"/>
  <c r="U220" i="1"/>
  <c r="V220" i="1"/>
  <c r="Y220" i="1"/>
  <c r="Z220" i="1"/>
  <c r="AA220" i="1"/>
  <c r="AB220" i="1"/>
  <c r="AC220" i="1"/>
  <c r="AG220" i="1"/>
  <c r="AH220" i="1"/>
  <c r="AI220" i="1"/>
  <c r="AJ220" i="1"/>
  <c r="AK220" i="1"/>
  <c r="G221" i="1"/>
  <c r="H221" i="1"/>
  <c r="I221" i="1"/>
  <c r="J221" i="1"/>
  <c r="K221" i="1"/>
  <c r="L221" i="1"/>
  <c r="M221" i="1"/>
  <c r="N221" i="1"/>
  <c r="O221" i="1"/>
  <c r="P221" i="1"/>
  <c r="Q221" i="1"/>
  <c r="R221" i="1"/>
  <c r="S221" i="1"/>
  <c r="T221" i="1"/>
  <c r="U221" i="1"/>
  <c r="V221" i="1"/>
  <c r="Y221" i="1"/>
  <c r="Z221" i="1"/>
  <c r="AA221" i="1"/>
  <c r="AB221" i="1"/>
  <c r="AC221" i="1"/>
  <c r="AG221" i="1"/>
  <c r="AH221" i="1"/>
  <c r="AI221" i="1"/>
  <c r="AJ221" i="1"/>
  <c r="AK221" i="1"/>
  <c r="F221" i="1"/>
  <c r="F220" i="1"/>
  <c r="F84" i="1"/>
  <c r="F216" i="1" s="1"/>
  <c r="F215" i="1" s="1"/>
  <c r="F9" i="2" s="1"/>
  <c r="W84" i="1"/>
  <c r="X84" i="1"/>
  <c r="AD84" i="1"/>
  <c r="AE84" i="1"/>
  <c r="AF84" i="1"/>
  <c r="AH255" i="1"/>
  <c r="AI255" i="1"/>
  <c r="AJ255" i="1"/>
  <c r="AK255" i="1"/>
  <c r="AG255" i="1"/>
  <c r="F80" i="1"/>
  <c r="F237" i="1" s="1"/>
  <c r="F54" i="3" s="1"/>
  <c r="F15" i="4" s="1"/>
  <c r="G80" i="1"/>
  <c r="G237" i="1" s="1"/>
  <c r="G54" i="3" s="1"/>
  <c r="H80" i="1"/>
  <c r="H237" i="1" s="1"/>
  <c r="H54" i="3" s="1"/>
  <c r="I80" i="1"/>
  <c r="I237" i="1" s="1"/>
  <c r="I54" i="3" s="1"/>
  <c r="J80" i="1"/>
  <c r="J237" i="1" s="1"/>
  <c r="J54" i="3" s="1"/>
  <c r="K80" i="1"/>
  <c r="K237" i="1" s="1"/>
  <c r="K54" i="3" s="1"/>
  <c r="K15" i="4" s="1"/>
  <c r="W80" i="1"/>
  <c r="X80" i="1"/>
  <c r="AD80" i="1"/>
  <c r="AE80" i="1"/>
  <c r="AF80" i="1"/>
  <c r="AH82" i="1"/>
  <c r="AI82" i="1" s="1"/>
  <c r="AJ82" i="1" s="1"/>
  <c r="AK82" i="1" s="1"/>
  <c r="AH183" i="1"/>
  <c r="AI183" i="1"/>
  <c r="AJ183" i="1"/>
  <c r="AK183" i="1"/>
  <c r="AH184" i="1"/>
  <c r="AI184" i="1"/>
  <c r="AJ184" i="1"/>
  <c r="AK184" i="1"/>
  <c r="AH185" i="1"/>
  <c r="AI185" i="1"/>
  <c r="AJ185" i="1"/>
  <c r="AK185" i="1"/>
  <c r="AG184" i="1"/>
  <c r="AG185" i="1"/>
  <c r="AG183" i="1"/>
  <c r="AH174" i="1"/>
  <c r="AI174" i="1"/>
  <c r="AJ174" i="1"/>
  <c r="AK174" i="1"/>
  <c r="AH175" i="1"/>
  <c r="AI175" i="1"/>
  <c r="AJ175" i="1"/>
  <c r="AK175" i="1"/>
  <c r="AK180" i="1" s="1"/>
  <c r="AK14" i="3" s="1"/>
  <c r="AH176" i="1"/>
  <c r="AI176" i="1"/>
  <c r="AJ176" i="1"/>
  <c r="AK176" i="1"/>
  <c r="AG175" i="1"/>
  <c r="AG176" i="1"/>
  <c r="AG174" i="1"/>
  <c r="F139" i="1"/>
  <c r="D140" i="1"/>
  <c r="D139" i="1" s="1"/>
  <c r="D136" i="1" s="1"/>
  <c r="Y167" i="1"/>
  <c r="AA177" i="1"/>
  <c r="AI177" i="1" s="1"/>
  <c r="AH164" i="1"/>
  <c r="AI164" i="1"/>
  <c r="AJ164" i="1"/>
  <c r="AK164" i="1"/>
  <c r="AH165" i="1"/>
  <c r="AI165" i="1"/>
  <c r="AJ165" i="1"/>
  <c r="AK165" i="1"/>
  <c r="AH166" i="1"/>
  <c r="AI166" i="1"/>
  <c r="AJ166" i="1"/>
  <c r="AK166" i="1"/>
  <c r="AG165" i="1"/>
  <c r="AG170" i="1" s="1"/>
  <c r="AG10" i="3" s="1"/>
  <c r="AG166" i="1"/>
  <c r="AG164" i="1"/>
  <c r="D161" i="1"/>
  <c r="D160" i="1" s="1"/>
  <c r="D157" i="1" s="1"/>
  <c r="B159" i="1"/>
  <c r="AG160" i="1" s="1"/>
  <c r="D153" i="1"/>
  <c r="D152" i="1" s="1"/>
  <c r="D149" i="1" s="1"/>
  <c r="B151" i="1"/>
  <c r="AG152" i="1" s="1"/>
  <c r="D134" i="1"/>
  <c r="D133" i="1" s="1"/>
  <c r="D130" i="1" s="1"/>
  <c r="B131" i="1"/>
  <c r="N133" i="1" s="1"/>
  <c r="I115" i="1"/>
  <c r="I114" i="1" s="1"/>
  <c r="D109" i="1"/>
  <c r="G113" i="1"/>
  <c r="K114" i="1" s="1"/>
  <c r="T77" i="1"/>
  <c r="AI98" i="1"/>
  <c r="AI188" i="1" s="1"/>
  <c r="AI17" i="3" s="1"/>
  <c r="AJ98" i="1"/>
  <c r="AJ188" i="1" s="1"/>
  <c r="AJ17" i="3" s="1"/>
  <c r="AK98" i="1"/>
  <c r="AK188" i="1" s="1"/>
  <c r="AK17" i="3" s="1"/>
  <c r="AH98" i="1"/>
  <c r="AH188" i="1" s="1"/>
  <c r="AH17" i="3" s="1"/>
  <c r="AG98" i="1"/>
  <c r="AG188" i="1" s="1"/>
  <c r="AG17" i="3" s="1"/>
  <c r="AG96" i="1"/>
  <c r="AH96" i="1" s="1"/>
  <c r="AI96" i="1" s="1"/>
  <c r="AJ96" i="1" s="1"/>
  <c r="AK96" i="1" s="1"/>
  <c r="AK169" i="1" s="1"/>
  <c r="AK9" i="3" s="1"/>
  <c r="AJ97" i="1"/>
  <c r="AJ179" i="1" s="1"/>
  <c r="AJ13" i="3" s="1"/>
  <c r="AK97" i="1"/>
  <c r="AK179" i="1" s="1"/>
  <c r="Z89" i="1"/>
  <c r="AA89" i="1" s="1"/>
  <c r="AB89" i="1" s="1"/>
  <c r="AC89" i="1" s="1"/>
  <c r="Z90" i="1"/>
  <c r="AA90" i="1" s="1"/>
  <c r="AB90" i="1" s="1"/>
  <c r="AC90" i="1" s="1"/>
  <c r="Z91" i="1"/>
  <c r="AA91" i="1" s="1"/>
  <c r="AB91" i="1" s="1"/>
  <c r="AC91" i="1" s="1"/>
  <c r="Z92" i="1"/>
  <c r="AA92" i="1" s="1"/>
  <c r="AB92" i="1" s="1"/>
  <c r="AC92" i="1" s="1"/>
  <c r="Y93" i="1"/>
  <c r="Z93" i="1" s="1"/>
  <c r="AA93" i="1" s="1"/>
  <c r="AB93" i="1" s="1"/>
  <c r="AC93" i="1" s="1"/>
  <c r="G92" i="1"/>
  <c r="H92" i="1" s="1"/>
  <c r="I92" i="1" s="1"/>
  <c r="J92" i="1" s="1"/>
  <c r="K92" i="1" s="1"/>
  <c r="L92" i="1" s="1"/>
  <c r="M92" i="1" s="1"/>
  <c r="N92" i="1" s="1"/>
  <c r="O92" i="1" s="1"/>
  <c r="P92" i="1" s="1"/>
  <c r="Q92" i="1" s="1"/>
  <c r="R92" i="1" s="1"/>
  <c r="S92" i="1" s="1"/>
  <c r="T92" i="1" s="1"/>
  <c r="U92" i="1" s="1"/>
  <c r="V92" i="1" s="1"/>
  <c r="G93" i="1"/>
  <c r="H93" i="1" s="1"/>
  <c r="I93" i="1" s="1"/>
  <c r="J93" i="1" s="1"/>
  <c r="K93" i="1" s="1"/>
  <c r="L93" i="1" s="1"/>
  <c r="M93" i="1" s="1"/>
  <c r="N93" i="1" s="1"/>
  <c r="O93" i="1" s="1"/>
  <c r="P93" i="1" s="1"/>
  <c r="Q93" i="1" s="1"/>
  <c r="R93" i="1" s="1"/>
  <c r="S93" i="1" s="1"/>
  <c r="T93" i="1" s="1"/>
  <c r="U93" i="1" s="1"/>
  <c r="V93" i="1" s="1"/>
  <c r="G90" i="1"/>
  <c r="H90" i="1" s="1"/>
  <c r="I90" i="1" s="1"/>
  <c r="J90" i="1" s="1"/>
  <c r="K90" i="1" s="1"/>
  <c r="L90" i="1" s="1"/>
  <c r="M90" i="1" s="1"/>
  <c r="N90" i="1" s="1"/>
  <c r="O90" i="1" s="1"/>
  <c r="P90" i="1" s="1"/>
  <c r="Q90" i="1" s="1"/>
  <c r="R90" i="1" s="1"/>
  <c r="S90" i="1" s="1"/>
  <c r="T90" i="1" s="1"/>
  <c r="U90" i="1" s="1"/>
  <c r="V90" i="1" s="1"/>
  <c r="G91" i="1"/>
  <c r="H91" i="1" s="1"/>
  <c r="I91" i="1" s="1"/>
  <c r="J91" i="1" s="1"/>
  <c r="K91" i="1" s="1"/>
  <c r="L91" i="1" s="1"/>
  <c r="M91" i="1" s="1"/>
  <c r="N91" i="1" s="1"/>
  <c r="O91" i="1" s="1"/>
  <c r="P91" i="1" s="1"/>
  <c r="Q91" i="1" s="1"/>
  <c r="R91" i="1" s="1"/>
  <c r="S91" i="1" s="1"/>
  <c r="T91" i="1" s="1"/>
  <c r="U91" i="1" s="1"/>
  <c r="V91" i="1" s="1"/>
  <c r="G89" i="1"/>
  <c r="H89" i="1" s="1"/>
  <c r="I89" i="1" s="1"/>
  <c r="J89" i="1" s="1"/>
  <c r="K89" i="1" s="1"/>
  <c r="L89" i="1" s="1"/>
  <c r="M89" i="1" s="1"/>
  <c r="N89" i="1" s="1"/>
  <c r="O89" i="1" s="1"/>
  <c r="P89" i="1" s="1"/>
  <c r="Q89" i="1" s="1"/>
  <c r="R89" i="1" s="1"/>
  <c r="S89" i="1" s="1"/>
  <c r="T89" i="1" s="1"/>
  <c r="U89" i="1" s="1"/>
  <c r="V89" i="1" s="1"/>
  <c r="F74" i="1"/>
  <c r="G74" i="1"/>
  <c r="H74" i="1"/>
  <c r="I74" i="1"/>
  <c r="J74" i="1"/>
  <c r="K74" i="1"/>
  <c r="L74" i="1"/>
  <c r="M74" i="1"/>
  <c r="N74" i="1"/>
  <c r="O74" i="1"/>
  <c r="P74" i="1"/>
  <c r="Q74" i="1"/>
  <c r="R74" i="1"/>
  <c r="S74" i="1"/>
  <c r="T74" i="1"/>
  <c r="U74" i="1"/>
  <c r="V74" i="1"/>
  <c r="Y74" i="1"/>
  <c r="Z74" i="1"/>
  <c r="AA74" i="1"/>
  <c r="AB74" i="1"/>
  <c r="AC74" i="1"/>
  <c r="AH74" i="1"/>
  <c r="AI74" i="1"/>
  <c r="AJ74" i="1"/>
  <c r="AK74" i="1"/>
  <c r="AG74" i="1"/>
  <c r="AH73" i="1"/>
  <c r="AI73" i="1"/>
  <c r="AJ73" i="1"/>
  <c r="AK73" i="1"/>
  <c r="AG73" i="1"/>
  <c r="G73" i="1"/>
  <c r="H73" i="1"/>
  <c r="I73" i="1"/>
  <c r="J73" i="1"/>
  <c r="K73" i="1"/>
  <c r="L73" i="1"/>
  <c r="M73" i="1"/>
  <c r="N73" i="1"/>
  <c r="O73" i="1"/>
  <c r="P73" i="1"/>
  <c r="Q73" i="1"/>
  <c r="R73" i="1" s="1"/>
  <c r="S73" i="1" s="1"/>
  <c r="T73" i="1" s="1"/>
  <c r="U73" i="1" s="1"/>
  <c r="V73" i="1" s="1"/>
  <c r="F73" i="1"/>
  <c r="H15" i="4" l="1"/>
  <c r="J15" i="4"/>
  <c r="I15" i="4"/>
  <c r="G15" i="4"/>
  <c r="C27" i="5"/>
  <c r="D27" i="5"/>
  <c r="G190" i="1"/>
  <c r="G19" i="3" s="1"/>
  <c r="AG199" i="1"/>
  <c r="AG23" i="3" s="1"/>
  <c r="AH207" i="1"/>
  <c r="AI207" i="1" s="1"/>
  <c r="AI208" i="1" s="1"/>
  <c r="AI27" i="3" s="1"/>
  <c r="G180" i="1"/>
  <c r="G14" i="3" s="1"/>
  <c r="U178" i="1"/>
  <c r="AG208" i="1"/>
  <c r="AG27" i="3" s="1"/>
  <c r="U14" i="3"/>
  <c r="AG25" i="3"/>
  <c r="G10" i="3"/>
  <c r="AK181" i="1"/>
  <c r="AK15" i="3" s="1"/>
  <c r="AK13" i="3"/>
  <c r="AH199" i="1"/>
  <c r="AH23" i="3" s="1"/>
  <c r="AI198" i="1"/>
  <c r="AH22" i="3"/>
  <c r="U179" i="1"/>
  <c r="U13" i="3" s="1"/>
  <c r="H189" i="1"/>
  <c r="F10" i="3"/>
  <c r="AB14" i="3"/>
  <c r="AG21" i="3"/>
  <c r="F190" i="1"/>
  <c r="F19" i="3" s="1"/>
  <c r="I17" i="3"/>
  <c r="AG22" i="3"/>
  <c r="H17" i="3"/>
  <c r="G18" i="3"/>
  <c r="AG195" i="1"/>
  <c r="AK25" i="3"/>
  <c r="Y180" i="1"/>
  <c r="AG180" i="1"/>
  <c r="AI21" i="3"/>
  <c r="AC181" i="1"/>
  <c r="AC15" i="3" s="1"/>
  <c r="AB181" i="1"/>
  <c r="AB15" i="3" s="1"/>
  <c r="G181" i="1"/>
  <c r="G15" i="3" s="1"/>
  <c r="F181" i="1"/>
  <c r="F15" i="3" s="1"/>
  <c r="AG169" i="1"/>
  <c r="AG9" i="3" s="1"/>
  <c r="H171" i="1"/>
  <c r="H11" i="3" s="1"/>
  <c r="I170" i="1"/>
  <c r="F171" i="1"/>
  <c r="F11" i="3" s="1"/>
  <c r="G171" i="1"/>
  <c r="G11" i="3" s="1"/>
  <c r="AJ169" i="1"/>
  <c r="AJ9" i="3" s="1"/>
  <c r="AG223" i="1"/>
  <c r="AG12" i="2" s="1"/>
  <c r="R27" i="5" s="1"/>
  <c r="AI169" i="1"/>
  <c r="AI9" i="3" s="1"/>
  <c r="AH169" i="1"/>
  <c r="AH9" i="3" s="1"/>
  <c r="I219" i="1"/>
  <c r="I218" i="1" s="1"/>
  <c r="I10" i="2" s="1"/>
  <c r="K219" i="1"/>
  <c r="K218" i="1" s="1"/>
  <c r="K10" i="2" s="1"/>
  <c r="J219" i="1"/>
  <c r="J218" i="1" s="1"/>
  <c r="J10" i="2" s="1"/>
  <c r="F219" i="1"/>
  <c r="F218" i="1" s="1"/>
  <c r="F10" i="2" s="1"/>
  <c r="H219" i="1"/>
  <c r="H218" i="1" s="1"/>
  <c r="H10" i="2" s="1"/>
  <c r="G219" i="1"/>
  <c r="G218" i="1" s="1"/>
  <c r="G10" i="2" s="1"/>
  <c r="M138" i="1"/>
  <c r="M140" i="1" s="1"/>
  <c r="F138" i="1"/>
  <c r="F140" i="1" s="1"/>
  <c r="F141" i="1" s="1"/>
  <c r="G139" i="1" s="1"/>
  <c r="G138" i="1"/>
  <c r="G140" i="1" s="1"/>
  <c r="I138" i="1"/>
  <c r="I140" i="1" s="1"/>
  <c r="H138" i="1"/>
  <c r="H140" i="1" s="1"/>
  <c r="L138" i="1"/>
  <c r="L140" i="1" s="1"/>
  <c r="K138" i="1"/>
  <c r="K140" i="1" s="1"/>
  <c r="J138" i="1"/>
  <c r="J140" i="1" s="1"/>
  <c r="AI151" i="1"/>
  <c r="AH151" i="1"/>
  <c r="N132" i="1"/>
  <c r="N134" i="1" s="1"/>
  <c r="N135" i="1" s="1"/>
  <c r="O133" i="1" s="1"/>
  <c r="AL151" i="1"/>
  <c r="S132" i="1"/>
  <c r="S134" i="1" s="1"/>
  <c r="AP151" i="1"/>
  <c r="AO151" i="1"/>
  <c r="Q132" i="1"/>
  <c r="Q134" i="1" s="1"/>
  <c r="AG151" i="1"/>
  <c r="AG153" i="1" s="1"/>
  <c r="AG154" i="1" s="1"/>
  <c r="AH152" i="1" s="1"/>
  <c r="AN151" i="1"/>
  <c r="P132" i="1"/>
  <c r="P134" i="1" s="1"/>
  <c r="AK151" i="1"/>
  <c r="AM151" i="1"/>
  <c r="R132" i="1"/>
  <c r="R134" i="1" s="1"/>
  <c r="O132" i="1"/>
  <c r="O134" i="1" s="1"/>
  <c r="AJ151" i="1"/>
  <c r="P113" i="1"/>
  <c r="L113" i="1"/>
  <c r="M113" i="1"/>
  <c r="N113" i="1"/>
  <c r="O113" i="1"/>
  <c r="K113" i="1"/>
  <c r="K115" i="1" s="1"/>
  <c r="K116" i="1" s="1"/>
  <c r="L114" i="1" s="1"/>
  <c r="Z73" i="1"/>
  <c r="AA73" i="1"/>
  <c r="AB73" i="1"/>
  <c r="AC73" i="1"/>
  <c r="Y73" i="1"/>
  <c r="AJ207" i="1" l="1"/>
  <c r="AI26" i="3"/>
  <c r="AH26" i="3"/>
  <c r="H180" i="1"/>
  <c r="AH208" i="1"/>
  <c r="AH27" i="3" s="1"/>
  <c r="G28" i="3"/>
  <c r="F28" i="3"/>
  <c r="U181" i="1"/>
  <c r="U15" i="3" s="1"/>
  <c r="Z180" i="1"/>
  <c r="Y14" i="3"/>
  <c r="AJ198" i="1"/>
  <c r="AI22" i="3"/>
  <c r="I189" i="1"/>
  <c r="H18" i="3"/>
  <c r="H190" i="1"/>
  <c r="H19" i="3" s="1"/>
  <c r="AK207" i="1"/>
  <c r="AJ26" i="3"/>
  <c r="AJ208" i="1"/>
  <c r="AJ27" i="3" s="1"/>
  <c r="J170" i="1"/>
  <c r="I10" i="3"/>
  <c r="AH180" i="1"/>
  <c r="AG14" i="3"/>
  <c r="AI199" i="1"/>
  <c r="AI23" i="3" s="1"/>
  <c r="I171" i="1"/>
  <c r="I11" i="3" s="1"/>
  <c r="D260" i="1"/>
  <c r="AH153" i="1"/>
  <c r="AH154" i="1" s="1"/>
  <c r="AI152" i="1" s="1"/>
  <c r="AI153" i="1" s="1"/>
  <c r="AI154" i="1" s="1"/>
  <c r="AJ152" i="1" s="1"/>
  <c r="AJ153" i="1" s="1"/>
  <c r="AJ154" i="1" s="1"/>
  <c r="AK152" i="1" s="1"/>
  <c r="AK153" i="1" s="1"/>
  <c r="AK154" i="1" s="1"/>
  <c r="AL152" i="1" s="1"/>
  <c r="G141" i="1"/>
  <c r="H139" i="1" s="1"/>
  <c r="H141" i="1" s="1"/>
  <c r="I139" i="1" s="1"/>
  <c r="I141" i="1" s="1"/>
  <c r="J139" i="1" s="1"/>
  <c r="J141" i="1" s="1"/>
  <c r="K139" i="1" s="1"/>
  <c r="K141" i="1" s="1"/>
  <c r="L139" i="1" s="1"/>
  <c r="L141" i="1" s="1"/>
  <c r="M139" i="1" s="1"/>
  <c r="M141" i="1" s="1"/>
  <c r="O135" i="1"/>
  <c r="P133" i="1" s="1"/>
  <c r="P135" i="1" s="1"/>
  <c r="Q133" i="1" s="1"/>
  <c r="Q135" i="1" s="1"/>
  <c r="R133" i="1" s="1"/>
  <c r="R135" i="1" s="1"/>
  <c r="S133" i="1" s="1"/>
  <c r="S135" i="1" s="1"/>
  <c r="L115" i="1"/>
  <c r="L116" i="1" s="1"/>
  <c r="M114" i="1" s="1"/>
  <c r="M115" i="1" s="1"/>
  <c r="M116" i="1" s="1"/>
  <c r="N114" i="1" s="1"/>
  <c r="N115" i="1" s="1"/>
  <c r="G18" i="4" l="1"/>
  <c r="F18" i="4"/>
  <c r="D262" i="1"/>
  <c r="E258" i="1" s="1"/>
  <c r="E259" i="1" s="1"/>
  <c r="H181" i="1"/>
  <c r="H15" i="3" s="1"/>
  <c r="H28" i="3" s="1"/>
  <c r="H18" i="4" s="1"/>
  <c r="H14" i="3"/>
  <c r="I180" i="1"/>
  <c r="K170" i="1"/>
  <c r="J10" i="3"/>
  <c r="AJ22" i="3"/>
  <c r="AK198" i="1"/>
  <c r="AJ199" i="1"/>
  <c r="AJ23" i="3" s="1"/>
  <c r="AK26" i="3"/>
  <c r="AK208" i="1"/>
  <c r="AK27" i="3" s="1"/>
  <c r="J171" i="1"/>
  <c r="J11" i="3" s="1"/>
  <c r="AA180" i="1"/>
  <c r="AA14" i="3" s="1"/>
  <c r="Z14" i="3"/>
  <c r="AI180" i="1"/>
  <c r="AH14" i="3"/>
  <c r="J189" i="1"/>
  <c r="I18" i="3"/>
  <c r="I190" i="1"/>
  <c r="I19" i="3" s="1"/>
  <c r="N116" i="1"/>
  <c r="O114" i="1" s="1"/>
  <c r="O115" i="1" s="1"/>
  <c r="O116" i="1" s="1"/>
  <c r="P114" i="1" s="1"/>
  <c r="AL153" i="1"/>
  <c r="AL154" i="1" s="1"/>
  <c r="AM152" i="1" s="1"/>
  <c r="E260" i="1" l="1"/>
  <c r="AH223" i="1"/>
  <c r="AH12" i="2" s="1"/>
  <c r="S27" i="5" s="1"/>
  <c r="I14" i="3"/>
  <c r="I181" i="1"/>
  <c r="I15" i="3" s="1"/>
  <c r="I28" i="3" s="1"/>
  <c r="I18" i="4" s="1"/>
  <c r="J180" i="1"/>
  <c r="AI14" i="3"/>
  <c r="AK22" i="3"/>
  <c r="AK199" i="1"/>
  <c r="AK23" i="3" s="1"/>
  <c r="J18" i="3"/>
  <c r="J190" i="1"/>
  <c r="J19" i="3" s="1"/>
  <c r="K189" i="1"/>
  <c r="K10" i="3"/>
  <c r="L170" i="1"/>
  <c r="K171" i="1"/>
  <c r="K11" i="3" s="1"/>
  <c r="AM153" i="1"/>
  <c r="AM154" i="1" s="1"/>
  <c r="AN152" i="1" s="1"/>
  <c r="P115" i="1"/>
  <c r="P116" i="1" s="1"/>
  <c r="E262" i="1" l="1"/>
  <c r="F258" i="1" s="1"/>
  <c r="F259" i="1" s="1"/>
  <c r="AG240" i="1"/>
  <c r="AG52" i="3" s="1"/>
  <c r="J181" i="1"/>
  <c r="J15" i="3" s="1"/>
  <c r="J28" i="3" s="1"/>
  <c r="J18" i="4" s="1"/>
  <c r="K180" i="1"/>
  <c r="J14" i="3"/>
  <c r="L10" i="3"/>
  <c r="M170" i="1"/>
  <c r="L171" i="1"/>
  <c r="L11" i="3" s="1"/>
  <c r="K18" i="3"/>
  <c r="K190" i="1"/>
  <c r="K19" i="3" s="1"/>
  <c r="L189" i="1"/>
  <c r="AN153" i="1"/>
  <c r="AN154" i="1" s="1"/>
  <c r="AO152" i="1" s="1"/>
  <c r="F260" i="1" l="1"/>
  <c r="AI223" i="1"/>
  <c r="AI12" i="2" s="1"/>
  <c r="T27" i="5" s="1"/>
  <c r="L180" i="1"/>
  <c r="K181" i="1"/>
  <c r="K15" i="3" s="1"/>
  <c r="K28" i="3" s="1"/>
  <c r="K14" i="3"/>
  <c r="M10" i="3"/>
  <c r="N170" i="1"/>
  <c r="M171" i="1"/>
  <c r="M11" i="3" s="1"/>
  <c r="L18" i="3"/>
  <c r="M189" i="1"/>
  <c r="L190" i="1"/>
  <c r="L19" i="3" s="1"/>
  <c r="AO153" i="1"/>
  <c r="AO154" i="1" s="1"/>
  <c r="AP152" i="1" s="1"/>
  <c r="K18" i="4" l="1"/>
  <c r="F262" i="1"/>
  <c r="G258" i="1" s="1"/>
  <c r="G259" i="1" s="1"/>
  <c r="G260" i="1" s="1"/>
  <c r="AH240" i="1"/>
  <c r="AH52" i="3" s="1"/>
  <c r="L181" i="1"/>
  <c r="L15" i="3" s="1"/>
  <c r="L28" i="3" s="1"/>
  <c r="L14" i="3"/>
  <c r="M180" i="1"/>
  <c r="M18" i="3"/>
  <c r="M190" i="1"/>
  <c r="M19" i="3" s="1"/>
  <c r="N189" i="1"/>
  <c r="N10" i="3"/>
  <c r="N171" i="1"/>
  <c r="N11" i="3" s="1"/>
  <c r="O170" i="1"/>
  <c r="AP153" i="1"/>
  <c r="AP154" i="1" s="1"/>
  <c r="L18" i="4" l="1"/>
  <c r="G262" i="1"/>
  <c r="H258" i="1" s="1"/>
  <c r="H259" i="1" s="1"/>
  <c r="H260" i="1" s="1"/>
  <c r="AH242" i="1" s="1"/>
  <c r="AH46" i="3" s="1"/>
  <c r="AI240" i="1"/>
  <c r="AI52" i="3" s="1"/>
  <c r="AJ223" i="1"/>
  <c r="AJ12" i="2" s="1"/>
  <c r="U27" i="5" s="1"/>
  <c r="N180" i="1"/>
  <c r="M181" i="1"/>
  <c r="M15" i="3" s="1"/>
  <c r="M28" i="3" s="1"/>
  <c r="M14" i="3"/>
  <c r="N18" i="3"/>
  <c r="N190" i="1"/>
  <c r="N19" i="3" s="1"/>
  <c r="O189" i="1"/>
  <c r="O10" i="3"/>
  <c r="O171" i="1"/>
  <c r="O11" i="3" s="1"/>
  <c r="P170" i="1"/>
  <c r="AH48" i="3" l="1"/>
  <c r="S16" i="5" s="1"/>
  <c r="M18" i="4"/>
  <c r="AK223" i="1"/>
  <c r="AK12" i="2" s="1"/>
  <c r="V27" i="5" s="1"/>
  <c r="AG242" i="1"/>
  <c r="V46" i="3"/>
  <c r="AI242" i="1"/>
  <c r="AI46" i="3" s="1"/>
  <c r="AJ240" i="1"/>
  <c r="AJ52" i="3" s="1"/>
  <c r="O180" i="1"/>
  <c r="N14" i="3"/>
  <c r="N181" i="1"/>
  <c r="N15" i="3" s="1"/>
  <c r="N28" i="3" s="1"/>
  <c r="P10" i="3"/>
  <c r="P171" i="1"/>
  <c r="P11" i="3" s="1"/>
  <c r="Q170" i="1"/>
  <c r="O18" i="3"/>
  <c r="P189" i="1"/>
  <c r="O190" i="1"/>
  <c r="O19" i="3" s="1"/>
  <c r="AG46" i="3" l="1"/>
  <c r="AG48" i="3" s="1"/>
  <c r="R16" i="5" s="1"/>
  <c r="F6" i="7"/>
  <c r="N18" i="4"/>
  <c r="AI48" i="3"/>
  <c r="T16" i="5" s="1"/>
  <c r="AI21" i="4"/>
  <c r="AJ21" i="4"/>
  <c r="V48" i="3"/>
  <c r="G16" i="5" s="1"/>
  <c r="V21" i="4"/>
  <c r="Y21" i="4"/>
  <c r="O14" i="3"/>
  <c r="P180" i="1"/>
  <c r="O181" i="1"/>
  <c r="O15" i="3" s="1"/>
  <c r="O28" i="3" s="1"/>
  <c r="P18" i="3"/>
  <c r="P190" i="1"/>
  <c r="P19" i="3" s="1"/>
  <c r="Q189" i="1"/>
  <c r="Q10" i="3"/>
  <c r="R170" i="1"/>
  <c r="Q171" i="1"/>
  <c r="Q11" i="3" s="1"/>
  <c r="AH21" i="4" l="1"/>
  <c r="AG21" i="4"/>
  <c r="C16" i="7"/>
  <c r="C12" i="7"/>
  <c r="O18" i="4"/>
  <c r="P14" i="3"/>
  <c r="P181" i="1"/>
  <c r="P15" i="3" s="1"/>
  <c r="P28" i="3" s="1"/>
  <c r="P18" i="4" s="1"/>
  <c r="Q180" i="1"/>
  <c r="R10" i="3"/>
  <c r="S170" i="1"/>
  <c r="R171" i="1"/>
  <c r="R11" i="3" s="1"/>
  <c r="Q18" i="3"/>
  <c r="R189" i="1"/>
  <c r="Q190" i="1"/>
  <c r="Q19" i="3" s="1"/>
  <c r="Q181" i="1" l="1"/>
  <c r="Q15" i="3" s="1"/>
  <c r="Q28" i="3" s="1"/>
  <c r="R180" i="1"/>
  <c r="Q14" i="3"/>
  <c r="R18" i="3"/>
  <c r="R190" i="1"/>
  <c r="R19" i="3" s="1"/>
  <c r="S189" i="1"/>
  <c r="S10" i="3"/>
  <c r="T170" i="1"/>
  <c r="S171" i="1"/>
  <c r="S11" i="3" s="1"/>
  <c r="Q18" i="4" l="1"/>
  <c r="C28" i="5" s="1"/>
  <c r="S180" i="1"/>
  <c r="R14" i="3"/>
  <c r="R181" i="1"/>
  <c r="R15" i="3" s="1"/>
  <c r="R28" i="3" s="1"/>
  <c r="S18" i="3"/>
  <c r="T189" i="1"/>
  <c r="S190" i="1"/>
  <c r="S19" i="3" s="1"/>
  <c r="T10" i="3"/>
  <c r="T171" i="1"/>
  <c r="T11" i="3" s="1"/>
  <c r="U170" i="1"/>
  <c r="R18" i="4" l="1"/>
  <c r="T180" i="1"/>
  <c r="S181" i="1"/>
  <c r="S15" i="3" s="1"/>
  <c r="S28" i="3" s="1"/>
  <c r="S14" i="3"/>
  <c r="V170" i="1"/>
  <c r="U10" i="3"/>
  <c r="U171" i="1"/>
  <c r="U11" i="3" s="1"/>
  <c r="T18" i="3"/>
  <c r="U189" i="1"/>
  <c r="T190" i="1"/>
  <c r="T19" i="3" s="1"/>
  <c r="Z170" i="1"/>
  <c r="Z10" i="3" s="1"/>
  <c r="Y171" i="1"/>
  <c r="Y11" i="3" s="1"/>
  <c r="S18" i="4" l="1"/>
  <c r="D28" i="5" s="1"/>
  <c r="T14" i="3"/>
  <c r="T181" i="1"/>
  <c r="T15" i="3" s="1"/>
  <c r="T28" i="3" s="1"/>
  <c r="V10" i="3"/>
  <c r="V171" i="1"/>
  <c r="V11" i="3" s="1"/>
  <c r="U18" i="3"/>
  <c r="U190" i="1"/>
  <c r="U19" i="3" s="1"/>
  <c r="U28" i="3" s="1"/>
  <c r="V189" i="1"/>
  <c r="AA170" i="1"/>
  <c r="AA10" i="3" s="1"/>
  <c r="Z171" i="1"/>
  <c r="Z11" i="3" s="1"/>
  <c r="U18" i="4" l="1"/>
  <c r="F28" i="5" s="1"/>
  <c r="T18" i="4"/>
  <c r="E28" i="5" s="1"/>
  <c r="Y189" i="1"/>
  <c r="V18" i="3"/>
  <c r="AG189" i="1"/>
  <c r="V190" i="1"/>
  <c r="V19" i="3" s="1"/>
  <c r="AB170" i="1"/>
  <c r="AB10" i="3" s="1"/>
  <c r="AA171" i="1"/>
  <c r="AA11" i="3" s="1"/>
  <c r="Z189" i="1" l="1"/>
  <c r="Y18" i="3"/>
  <c r="Y190" i="1"/>
  <c r="Y19" i="3" s="1"/>
  <c r="AG190" i="1"/>
  <c r="AG19" i="3" s="1"/>
  <c r="AG18" i="3"/>
  <c r="AH189" i="1"/>
  <c r="AB171" i="1"/>
  <c r="AB11" i="3" s="1"/>
  <c r="AC170" i="1"/>
  <c r="AC10" i="3" s="1"/>
  <c r="AI189" i="1" l="1"/>
  <c r="AH18" i="3"/>
  <c r="AH190" i="1"/>
  <c r="AH19" i="3" s="1"/>
  <c r="AA189" i="1"/>
  <c r="Z18" i="3"/>
  <c r="Z190" i="1"/>
  <c r="Z19" i="3" s="1"/>
  <c r="AC171" i="1"/>
  <c r="AC11" i="3" s="1"/>
  <c r="AI18" i="3" l="1"/>
  <c r="AJ189" i="1"/>
  <c r="AI190" i="1"/>
  <c r="AI19" i="3" s="1"/>
  <c r="AB189" i="1"/>
  <c r="AA18" i="3"/>
  <c r="AA190" i="1"/>
  <c r="AA19" i="3" s="1"/>
  <c r="AH170" i="1"/>
  <c r="AH10" i="3" s="1"/>
  <c r="AG171" i="1"/>
  <c r="AG11" i="3" s="1"/>
  <c r="AB18" i="3" l="1"/>
  <c r="AC189" i="1"/>
  <c r="AB190" i="1"/>
  <c r="AB19" i="3" s="1"/>
  <c r="AB28" i="3" s="1"/>
  <c r="AJ18" i="3"/>
  <c r="AK189" i="1"/>
  <c r="AJ190" i="1"/>
  <c r="AJ19" i="3" s="1"/>
  <c r="AI170" i="1"/>
  <c r="AI10" i="3" s="1"/>
  <c r="AH171" i="1"/>
  <c r="AH11" i="3" s="1"/>
  <c r="AK190" i="1" l="1"/>
  <c r="AK19" i="3" s="1"/>
  <c r="AK18" i="3"/>
  <c r="AC18" i="3"/>
  <c r="AC190" i="1"/>
  <c r="AC19" i="3" s="1"/>
  <c r="AC28" i="3" s="1"/>
  <c r="AC18" i="4" s="1"/>
  <c r="N28" i="5" s="1"/>
  <c r="AJ170" i="1"/>
  <c r="AJ10" i="3" s="1"/>
  <c r="AI171" i="1"/>
  <c r="AI11" i="3" s="1"/>
  <c r="AJ171" i="1" l="1"/>
  <c r="AJ11" i="3" s="1"/>
  <c r="AK170" i="1"/>
  <c r="AK171" i="1" l="1"/>
  <c r="AK11" i="3" s="1"/>
  <c r="AK28" i="3" s="1"/>
  <c r="AK10" i="3"/>
  <c r="F36" i="1"/>
  <c r="L36" i="1"/>
  <c r="M36" i="1"/>
  <c r="N36" i="1"/>
  <c r="O36" i="1"/>
  <c r="P36" i="1"/>
  <c r="Q36" i="1"/>
  <c r="R36" i="1"/>
  <c r="S36" i="1"/>
  <c r="T36" i="1"/>
  <c r="U36" i="1"/>
  <c r="V36" i="1"/>
  <c r="Y36" i="1"/>
  <c r="Z36" i="1"/>
  <c r="AA36" i="1"/>
  <c r="AB36" i="1"/>
  <c r="AC36" i="1"/>
  <c r="D36" i="1"/>
  <c r="E36" i="1"/>
  <c r="G36" i="1"/>
  <c r="H36" i="1"/>
  <c r="I36" i="1"/>
  <c r="J36" i="1"/>
  <c r="K36" i="1"/>
  <c r="C36" i="1"/>
  <c r="D35" i="1"/>
  <c r="E35" i="1"/>
  <c r="AH23" i="1"/>
  <c r="AH36" i="1" s="1"/>
  <c r="L21" i="1"/>
  <c r="L35" i="1" s="1"/>
  <c r="M21" i="1"/>
  <c r="M35" i="1" s="1"/>
  <c r="N21" i="1"/>
  <c r="N35" i="1" s="1"/>
  <c r="O21" i="1"/>
  <c r="O35" i="1" s="1"/>
  <c r="P21" i="1"/>
  <c r="P35" i="1" s="1"/>
  <c r="Q21" i="1"/>
  <c r="Q35" i="1" s="1"/>
  <c r="R21" i="1"/>
  <c r="R35" i="1" s="1"/>
  <c r="S21" i="1"/>
  <c r="S35" i="1" s="1"/>
  <c r="T21" i="1"/>
  <c r="T35" i="1" s="1"/>
  <c r="G21" i="1"/>
  <c r="G35" i="1" s="1"/>
  <c r="H21" i="1"/>
  <c r="H35" i="1" s="1"/>
  <c r="H37" i="1" s="1"/>
  <c r="H31" i="1" s="1"/>
  <c r="H72" i="1" s="1"/>
  <c r="H75" i="1" s="1"/>
  <c r="H212" i="1" s="1"/>
  <c r="I21" i="1"/>
  <c r="I35" i="1" s="1"/>
  <c r="J21" i="1"/>
  <c r="J35" i="1" s="1"/>
  <c r="K21" i="1"/>
  <c r="K35" i="1" s="1"/>
  <c r="F21" i="1"/>
  <c r="F35" i="1" s="1"/>
  <c r="F37" i="1" s="1"/>
  <c r="F31" i="1" s="1"/>
  <c r="AA17" i="1"/>
  <c r="AA18" i="1" s="1"/>
  <c r="AI18" i="1" s="1"/>
  <c r="Z17" i="1"/>
  <c r="AH17" i="1" s="1"/>
  <c r="Y17" i="1"/>
  <c r="U18" i="1"/>
  <c r="V18" i="1"/>
  <c r="T18" i="1"/>
  <c r="F79" i="1"/>
  <c r="D128" i="1"/>
  <c r="D127" i="1" s="1"/>
  <c r="D124" i="1" s="1"/>
  <c r="H236" i="1" l="1"/>
  <c r="H53" i="3" s="1"/>
  <c r="F38" i="1"/>
  <c r="F32" i="1" s="1"/>
  <c r="F46" i="1" s="1"/>
  <c r="F54" i="1"/>
  <c r="F72" i="1"/>
  <c r="F75" i="1" s="1"/>
  <c r="F212" i="1" s="1"/>
  <c r="S38" i="1"/>
  <c r="S32" i="1" s="1"/>
  <c r="S46" i="1" s="1"/>
  <c r="AA38" i="1"/>
  <c r="AA32" i="1" s="1"/>
  <c r="AA46" i="1" s="1"/>
  <c r="F45" i="1"/>
  <c r="U38" i="1"/>
  <c r="U32" i="1" s="1"/>
  <c r="U46" i="1" s="1"/>
  <c r="M38" i="1"/>
  <c r="M32" i="1" s="1"/>
  <c r="M46" i="1" s="1"/>
  <c r="R38" i="1"/>
  <c r="R32" i="1" s="1"/>
  <c r="R46" i="1" s="1"/>
  <c r="K38" i="1"/>
  <c r="K32" i="1" s="1"/>
  <c r="K46" i="1" s="1"/>
  <c r="H38" i="1"/>
  <c r="H32" i="1" s="1"/>
  <c r="H46" i="1" s="1"/>
  <c r="J38" i="1"/>
  <c r="J32" i="1" s="1"/>
  <c r="J46" i="1" s="1"/>
  <c r="Y38" i="1"/>
  <c r="Y32" i="1" s="1"/>
  <c r="Y46" i="1" s="1"/>
  <c r="AB38" i="1"/>
  <c r="AB32" i="1" s="1"/>
  <c r="AB46" i="1" s="1"/>
  <c r="AH38" i="1"/>
  <c r="AH32" i="1" s="1"/>
  <c r="AH46" i="1" s="1"/>
  <c r="Q38" i="1"/>
  <c r="Q32" i="1" s="1"/>
  <c r="Q46" i="1" s="1"/>
  <c r="I38" i="1"/>
  <c r="I32" i="1" s="1"/>
  <c r="I46" i="1" s="1"/>
  <c r="Z38" i="1"/>
  <c r="Z32" i="1" s="1"/>
  <c r="Z46" i="1" s="1"/>
  <c r="P38" i="1"/>
  <c r="P32" i="1" s="1"/>
  <c r="P46" i="1" s="1"/>
  <c r="O38" i="1"/>
  <c r="O32" i="1" s="1"/>
  <c r="O46" i="1" s="1"/>
  <c r="G38" i="1"/>
  <c r="G32" i="1" s="1"/>
  <c r="G46" i="1" s="1"/>
  <c r="N38" i="1"/>
  <c r="N32" i="1" s="1"/>
  <c r="N46" i="1" s="1"/>
  <c r="V38" i="1"/>
  <c r="V32" i="1" s="1"/>
  <c r="V46" i="1" s="1"/>
  <c r="T38" i="1"/>
  <c r="T32" i="1" s="1"/>
  <c r="T46" i="1" s="1"/>
  <c r="L38" i="1"/>
  <c r="L32" i="1" s="1"/>
  <c r="L46" i="1" s="1"/>
  <c r="AC38" i="1"/>
  <c r="AC32" i="1" s="1"/>
  <c r="AC46" i="1" s="1"/>
  <c r="AC17" i="1"/>
  <c r="AK17" i="1" s="1"/>
  <c r="L126" i="1"/>
  <c r="AG23" i="1"/>
  <c r="AK23" i="1"/>
  <c r="AK36" i="1" s="1"/>
  <c r="AK38" i="1" s="1"/>
  <c r="AK32" i="1" s="1"/>
  <c r="AK46" i="1" s="1"/>
  <c r="AJ23" i="1"/>
  <c r="AJ36" i="1" s="1"/>
  <c r="AJ38" i="1" s="1"/>
  <c r="AJ32" i="1" s="1"/>
  <c r="AJ46" i="1" s="1"/>
  <c r="AI23" i="1"/>
  <c r="AI36" i="1" s="1"/>
  <c r="AI38" i="1" s="1"/>
  <c r="AI32" i="1" s="1"/>
  <c r="AI46" i="1" s="1"/>
  <c r="AB17" i="1"/>
  <c r="AJ17" i="1" s="1"/>
  <c r="AG17" i="1"/>
  <c r="Y18" i="1"/>
  <c r="AG18" i="1" s="1"/>
  <c r="AI17" i="1"/>
  <c r="Z18" i="1"/>
  <c r="AH18" i="1" s="1"/>
  <c r="M126" i="1"/>
  <c r="I126" i="1"/>
  <c r="N126" i="1"/>
  <c r="AG36" i="1" l="1"/>
  <c r="AG38" i="1" s="1"/>
  <c r="AG32" i="1" s="1"/>
  <c r="AG46" i="1" s="1"/>
  <c r="F236" i="1"/>
  <c r="F53" i="3" s="1"/>
  <c r="F14" i="4" s="1"/>
  <c r="AC18" i="1"/>
  <c r="AK18" i="1" s="1"/>
  <c r="AB18" i="1"/>
  <c r="AJ18" i="1" s="1"/>
  <c r="D146" i="1"/>
  <c r="D122" i="1"/>
  <c r="L81" i="1" l="1"/>
  <c r="L80" i="1" s="1"/>
  <c r="L219" i="1" s="1"/>
  <c r="L218" i="1" s="1"/>
  <c r="L10" i="2" s="1"/>
  <c r="L237" i="1" l="1"/>
  <c r="L54" i="3" s="1"/>
  <c r="L15" i="4" s="1"/>
  <c r="M81" i="1"/>
  <c r="M80" i="1" s="1"/>
  <c r="M219" i="1" s="1"/>
  <c r="M218" i="1" s="1"/>
  <c r="M10" i="2" s="1"/>
  <c r="G23" i="4"/>
  <c r="H23" i="4"/>
  <c r="M237" i="1" l="1"/>
  <c r="M54" i="3" s="1"/>
  <c r="M15" i="4" s="1"/>
  <c r="N81" i="1"/>
  <c r="N80" i="1" s="1"/>
  <c r="N219" i="1" s="1"/>
  <c r="N218" i="1" s="1"/>
  <c r="N10" i="2" s="1"/>
  <c r="E31" i="3"/>
  <c r="B31" i="3"/>
  <c r="C31" i="3"/>
  <c r="D31" i="3"/>
  <c r="I23" i="4"/>
  <c r="J23" i="4"/>
  <c r="K23" i="4"/>
  <c r="L23" i="4"/>
  <c r="M23" i="4"/>
  <c r="N23" i="4"/>
  <c r="O23" i="4"/>
  <c r="P23" i="4"/>
  <c r="Q23" i="4"/>
  <c r="R23" i="4"/>
  <c r="S23" i="4"/>
  <c r="T23" i="4"/>
  <c r="U23" i="4"/>
  <c r="F23" i="4"/>
  <c r="F41" i="3"/>
  <c r="F47" i="3"/>
  <c r="G276" i="1"/>
  <c r="G41" i="3" s="1"/>
  <c r="B32" i="3"/>
  <c r="C32" i="3"/>
  <c r="D32" i="3"/>
  <c r="B33" i="3"/>
  <c r="C33" i="3"/>
  <c r="D33" i="3"/>
  <c r="A32" i="3"/>
  <c r="A33" i="3"/>
  <c r="A31" i="3"/>
  <c r="I4" i="2"/>
  <c r="J4" i="2" s="1"/>
  <c r="K4" i="2" s="1"/>
  <c r="L4" i="2" s="1"/>
  <c r="M4" i="2" s="1"/>
  <c r="N4" i="2" s="1"/>
  <c r="O4" i="2" s="1"/>
  <c r="P4" i="2" s="1"/>
  <c r="Q4" i="2" s="1"/>
  <c r="G77" i="1"/>
  <c r="H77" i="1"/>
  <c r="I77" i="1"/>
  <c r="J77" i="1"/>
  <c r="K77" i="1"/>
  <c r="L77" i="1"/>
  <c r="M77" i="1"/>
  <c r="N77" i="1"/>
  <c r="O77" i="1"/>
  <c r="P77" i="1"/>
  <c r="Q77" i="1"/>
  <c r="R77" i="1"/>
  <c r="S77" i="1"/>
  <c r="U77" i="1"/>
  <c r="V77" i="1"/>
  <c r="F77" i="1"/>
  <c r="V142" i="1"/>
  <c r="F145" i="1"/>
  <c r="D145" i="1"/>
  <c r="F121" i="1"/>
  <c r="D121" i="1"/>
  <c r="F108" i="1"/>
  <c r="F21" i="4" l="1"/>
  <c r="G21" i="4"/>
  <c r="F22" i="4"/>
  <c r="F48" i="3"/>
  <c r="C16" i="5" s="1"/>
  <c r="AT159" i="1"/>
  <c r="AT161" i="1" s="1"/>
  <c r="AU159" i="1"/>
  <c r="AU161" i="1" s="1"/>
  <c r="AV159" i="1"/>
  <c r="AV161" i="1" s="1"/>
  <c r="AS159" i="1"/>
  <c r="AS161" i="1" s="1"/>
  <c r="AW159" i="1"/>
  <c r="AW161" i="1" s="1"/>
  <c r="AX159" i="1"/>
  <c r="AX161" i="1" s="1"/>
  <c r="AR159" i="1"/>
  <c r="AR161" i="1" s="1"/>
  <c r="N237" i="1"/>
  <c r="N54" i="3" s="1"/>
  <c r="N15" i="4" s="1"/>
  <c r="J144" i="1"/>
  <c r="K144" i="1"/>
  <c r="L144" i="1"/>
  <c r="M144" i="1"/>
  <c r="N144" i="1"/>
  <c r="O144" i="1"/>
  <c r="P144" i="1"/>
  <c r="AK120" i="1"/>
  <c r="AS120" i="1"/>
  <c r="AD120" i="1"/>
  <c r="V120" i="1"/>
  <c r="S120" i="1"/>
  <c r="AL120" i="1"/>
  <c r="W120" i="1"/>
  <c r="AE120" i="1"/>
  <c r="AA120" i="1"/>
  <c r="AM120" i="1"/>
  <c r="X120" i="1"/>
  <c r="AF120" i="1"/>
  <c r="P120" i="1"/>
  <c r="AI120" i="1"/>
  <c r="U120" i="1"/>
  <c r="AN120" i="1"/>
  <c r="Y120" i="1"/>
  <c r="AG120" i="1"/>
  <c r="Q120" i="1"/>
  <c r="AP120" i="1"/>
  <c r="AO120" i="1"/>
  <c r="Z120" i="1"/>
  <c r="AH120" i="1"/>
  <c r="R120" i="1"/>
  <c r="AQ120" i="1"/>
  <c r="AB120" i="1"/>
  <c r="AJ120" i="1"/>
  <c r="T120" i="1"/>
  <c r="AR120" i="1"/>
  <c r="AC120" i="1"/>
  <c r="AI159" i="1"/>
  <c r="AI161" i="1" s="1"/>
  <c r="AQ159" i="1"/>
  <c r="AQ161" i="1" s="1"/>
  <c r="AJ159" i="1"/>
  <c r="AJ161" i="1" s="1"/>
  <c r="AK159" i="1"/>
  <c r="AK161" i="1" s="1"/>
  <c r="AG159" i="1"/>
  <c r="AG161" i="1" s="1"/>
  <c r="AG162" i="1" s="1"/>
  <c r="AH160" i="1" s="1"/>
  <c r="AL159" i="1"/>
  <c r="AL161" i="1" s="1"/>
  <c r="AP159" i="1"/>
  <c r="AP161" i="1" s="1"/>
  <c r="AM159" i="1"/>
  <c r="AM161" i="1" s="1"/>
  <c r="AN159" i="1"/>
  <c r="AN161" i="1" s="1"/>
  <c r="AH159" i="1"/>
  <c r="AH161" i="1" s="1"/>
  <c r="AO159" i="1"/>
  <c r="AO161" i="1" s="1"/>
  <c r="K126" i="1"/>
  <c r="D142" i="1"/>
  <c r="O81" i="1"/>
  <c r="O80" i="1" s="1"/>
  <c r="O219" i="1" s="1"/>
  <c r="O218" i="1" s="1"/>
  <c r="O10" i="2" s="1"/>
  <c r="I120" i="1"/>
  <c r="G120" i="1"/>
  <c r="H120" i="1"/>
  <c r="F120" i="1"/>
  <c r="J120" i="1"/>
  <c r="J126" i="1"/>
  <c r="H276" i="1"/>
  <c r="I276" i="1" s="1"/>
  <c r="J276" i="1" s="1"/>
  <c r="K276" i="1" s="1"/>
  <c r="L276" i="1" s="1"/>
  <c r="M276" i="1" s="1"/>
  <c r="N276" i="1" s="1"/>
  <c r="O276" i="1" s="1"/>
  <c r="P276" i="1" s="1"/>
  <c r="Q276" i="1" s="1"/>
  <c r="R276" i="1" s="1"/>
  <c r="S276" i="1" s="1"/>
  <c r="T276" i="1" s="1"/>
  <c r="U276" i="1" s="1"/>
  <c r="V276" i="1" s="1"/>
  <c r="G22" i="4"/>
  <c r="U144" i="1"/>
  <c r="T144" i="1"/>
  <c r="S144" i="1"/>
  <c r="R144" i="1"/>
  <c r="Q144" i="1"/>
  <c r="I144" i="1"/>
  <c r="F144" i="1"/>
  <c r="H144" i="1"/>
  <c r="G144" i="1"/>
  <c r="V144" i="1"/>
  <c r="O120" i="1"/>
  <c r="N120" i="1"/>
  <c r="M120" i="1"/>
  <c r="L120" i="1"/>
  <c r="D118" i="1"/>
  <c r="K120" i="1"/>
  <c r="O237" i="1" l="1"/>
  <c r="O54" i="3" s="1"/>
  <c r="O15" i="4" s="1"/>
  <c r="V41" i="3"/>
  <c r="Y276" i="1"/>
  <c r="J146" i="1"/>
  <c r="M146" i="1"/>
  <c r="N146" i="1"/>
  <c r="O146" i="1"/>
  <c r="P146" i="1"/>
  <c r="I146" i="1"/>
  <c r="H146" i="1"/>
  <c r="L146" i="1"/>
  <c r="K146" i="1"/>
  <c r="AC122" i="1"/>
  <c r="W122" i="1"/>
  <c r="AS122" i="1"/>
  <c r="X122" i="1"/>
  <c r="AI122" i="1"/>
  <c r="AF122" i="1"/>
  <c r="AH122" i="1"/>
  <c r="Y122" i="1"/>
  <c r="AJ122" i="1"/>
  <c r="AK122" i="1"/>
  <c r="Z122" i="1"/>
  <c r="Q122" i="1"/>
  <c r="T122" i="1"/>
  <c r="AL122" i="1"/>
  <c r="AA122" i="1"/>
  <c r="R122" i="1"/>
  <c r="V122" i="1"/>
  <c r="AN122" i="1"/>
  <c r="AB122" i="1"/>
  <c r="S122" i="1"/>
  <c r="AO122" i="1"/>
  <c r="AP122" i="1"/>
  <c r="AG122" i="1"/>
  <c r="U122" i="1"/>
  <c r="AQ122" i="1"/>
  <c r="P122" i="1"/>
  <c r="AR122" i="1"/>
  <c r="AE122" i="1"/>
  <c r="AD122" i="1"/>
  <c r="AM122" i="1"/>
  <c r="AH162" i="1"/>
  <c r="AI160" i="1" s="1"/>
  <c r="AI162" i="1" s="1"/>
  <c r="AJ160" i="1" s="1"/>
  <c r="AJ162" i="1" s="1"/>
  <c r="AK160" i="1" s="1"/>
  <c r="AK162" i="1" s="1"/>
  <c r="AL160" i="1" s="1"/>
  <c r="AL162" i="1" s="1"/>
  <c r="AM160" i="1" s="1"/>
  <c r="AM162" i="1" s="1"/>
  <c r="AN160" i="1" s="1"/>
  <c r="AN162" i="1" s="1"/>
  <c r="AO160" i="1" s="1"/>
  <c r="AO162" i="1" s="1"/>
  <c r="AP160" i="1" s="1"/>
  <c r="AP162" i="1" s="1"/>
  <c r="AQ160" i="1" s="1"/>
  <c r="AQ162" i="1" s="1"/>
  <c r="AR160" i="1" s="1"/>
  <c r="AR162" i="1" s="1"/>
  <c r="AS160" i="1" s="1"/>
  <c r="AS162" i="1" s="1"/>
  <c r="AT160" i="1" s="1"/>
  <c r="AT162" i="1" s="1"/>
  <c r="AU160" i="1" s="1"/>
  <c r="AU162" i="1" s="1"/>
  <c r="AV160" i="1" s="1"/>
  <c r="AV162" i="1" s="1"/>
  <c r="AW160" i="1" s="1"/>
  <c r="AW162" i="1" s="1"/>
  <c r="AX160" i="1" s="1"/>
  <c r="AX162" i="1" s="1"/>
  <c r="V146" i="1"/>
  <c r="F146" i="1"/>
  <c r="F147" i="1" s="1"/>
  <c r="G145" i="1" s="1"/>
  <c r="U146" i="1"/>
  <c r="T146" i="1"/>
  <c r="Q146" i="1"/>
  <c r="S146" i="1"/>
  <c r="R146" i="1"/>
  <c r="G146" i="1"/>
  <c r="K41" i="3"/>
  <c r="P81" i="1"/>
  <c r="P80" i="1" s="1"/>
  <c r="P219" i="1" s="1"/>
  <c r="P218" i="1" s="1"/>
  <c r="P10" i="2" s="1"/>
  <c r="F122" i="1"/>
  <c r="F123" i="1" s="1"/>
  <c r="G121" i="1" s="1"/>
  <c r="O41" i="3"/>
  <c r="L41" i="3"/>
  <c r="L22" i="4" s="1"/>
  <c r="T41" i="3"/>
  <c r="H41" i="3"/>
  <c r="H22" i="4" s="1"/>
  <c r="I41" i="3"/>
  <c r="I22" i="4" s="1"/>
  <c r="P41" i="3"/>
  <c r="S41" i="3"/>
  <c r="Q41" i="3"/>
  <c r="M41" i="3"/>
  <c r="M22" i="4" s="1"/>
  <c r="J41" i="3"/>
  <c r="U41" i="3"/>
  <c r="U22" i="4" s="1"/>
  <c r="R41" i="3"/>
  <c r="R22" i="4" s="1"/>
  <c r="N41" i="3"/>
  <c r="N22" i="4" s="1"/>
  <c r="O122" i="1"/>
  <c r="G122" i="1"/>
  <c r="H122" i="1"/>
  <c r="I122" i="1"/>
  <c r="J122" i="1"/>
  <c r="K122" i="1"/>
  <c r="L122" i="1"/>
  <c r="M122" i="1"/>
  <c r="N122" i="1"/>
  <c r="J22" i="4" l="1"/>
  <c r="P22" i="4"/>
  <c r="K22" i="4"/>
  <c r="AG276" i="1"/>
  <c r="AG41" i="3" s="1"/>
  <c r="AG22" i="4" s="1"/>
  <c r="Y41" i="3"/>
  <c r="Y22" i="4" s="1"/>
  <c r="Q22" i="4"/>
  <c r="V22" i="4"/>
  <c r="S22" i="4"/>
  <c r="T22" i="4"/>
  <c r="O22" i="4"/>
  <c r="P237" i="1"/>
  <c r="P54" i="3" s="1"/>
  <c r="P15" i="4" s="1"/>
  <c r="Z276" i="1"/>
  <c r="AG257" i="1"/>
  <c r="G147" i="1"/>
  <c r="Q81" i="1"/>
  <c r="Q80" i="1" s="1"/>
  <c r="Q219" i="1" s="1"/>
  <c r="Q218" i="1" s="1"/>
  <c r="Q10" i="2" s="1"/>
  <c r="G123" i="1"/>
  <c r="H121" i="1" s="1"/>
  <c r="H123" i="1" s="1"/>
  <c r="I121" i="1" s="1"/>
  <c r="I123" i="1" s="1"/>
  <c r="J121" i="1" s="1"/>
  <c r="J123" i="1" s="1"/>
  <c r="K121" i="1" s="1"/>
  <c r="K123" i="1" s="1"/>
  <c r="L121" i="1" s="1"/>
  <c r="L123" i="1" s="1"/>
  <c r="M121" i="1" s="1"/>
  <c r="M123" i="1" s="1"/>
  <c r="N121" i="1" s="1"/>
  <c r="N123" i="1" s="1"/>
  <c r="O121" i="1" s="1"/>
  <c r="O123" i="1" s="1"/>
  <c r="P121" i="1" s="1"/>
  <c r="P123" i="1" s="1"/>
  <c r="Q121" i="1" s="1"/>
  <c r="Q123" i="1" s="1"/>
  <c r="R121" i="1" s="1"/>
  <c r="R123" i="1" s="1"/>
  <c r="S121" i="1" s="1"/>
  <c r="S123" i="1" s="1"/>
  <c r="T121" i="1" s="1"/>
  <c r="T123" i="1" s="1"/>
  <c r="U121" i="1" s="1"/>
  <c r="U123" i="1" s="1"/>
  <c r="V121" i="1" s="1"/>
  <c r="V123" i="1" s="1"/>
  <c r="W121" i="1" s="1"/>
  <c r="W123" i="1" s="1"/>
  <c r="X121" i="1" s="1"/>
  <c r="X123" i="1" s="1"/>
  <c r="Y121" i="1" s="1"/>
  <c r="Y123" i="1" s="1"/>
  <c r="Z121" i="1" s="1"/>
  <c r="Z123" i="1" s="1"/>
  <c r="AA121" i="1" s="1"/>
  <c r="AA123" i="1" s="1"/>
  <c r="AB121" i="1" s="1"/>
  <c r="AB123" i="1" s="1"/>
  <c r="AC121" i="1" s="1"/>
  <c r="AC123" i="1" s="1"/>
  <c r="AD121" i="1" s="1"/>
  <c r="AD123" i="1" s="1"/>
  <c r="AE121" i="1" s="1"/>
  <c r="AE123" i="1" s="1"/>
  <c r="AF121" i="1" s="1"/>
  <c r="AF123" i="1" s="1"/>
  <c r="AG121" i="1" s="1"/>
  <c r="AG123" i="1" s="1"/>
  <c r="AH121" i="1" s="1"/>
  <c r="AH123" i="1" s="1"/>
  <c r="AI121" i="1" s="1"/>
  <c r="AI123" i="1" s="1"/>
  <c r="AJ121" i="1" s="1"/>
  <c r="AJ123" i="1" s="1"/>
  <c r="AK121" i="1" s="1"/>
  <c r="AK123" i="1" s="1"/>
  <c r="AL121" i="1" s="1"/>
  <c r="AL123" i="1" s="1"/>
  <c r="AM121" i="1" s="1"/>
  <c r="AM123" i="1" s="1"/>
  <c r="AN121" i="1" s="1"/>
  <c r="AN123" i="1" s="1"/>
  <c r="AO121" i="1" s="1"/>
  <c r="AO123" i="1" s="1"/>
  <c r="AP121" i="1" s="1"/>
  <c r="AP123" i="1" s="1"/>
  <c r="AQ121" i="1" s="1"/>
  <c r="AQ123" i="1" s="1"/>
  <c r="AR121" i="1" s="1"/>
  <c r="AR123" i="1" s="1"/>
  <c r="AS121" i="1" s="1"/>
  <c r="AS123" i="1" s="1"/>
  <c r="AH276" i="1" l="1"/>
  <c r="AH41" i="3" s="1"/>
  <c r="AH22" i="4" s="1"/>
  <c r="Z41" i="3"/>
  <c r="Z22" i="4" s="1"/>
  <c r="Q237" i="1"/>
  <c r="Q54" i="3" s="1"/>
  <c r="Q15" i="4" s="1"/>
  <c r="AA276" i="1"/>
  <c r="AH257" i="1"/>
  <c r="H145" i="1"/>
  <c r="H147" i="1" s="1"/>
  <c r="I145" i="1" s="1"/>
  <c r="I147" i="1" s="1"/>
  <c r="J145" i="1" s="1"/>
  <c r="J147" i="1" s="1"/>
  <c r="K145" i="1" s="1"/>
  <c r="K147" i="1" s="1"/>
  <c r="L145" i="1" s="1"/>
  <c r="L147" i="1" s="1"/>
  <c r="M145" i="1" s="1"/>
  <c r="M147" i="1" s="1"/>
  <c r="N145" i="1" s="1"/>
  <c r="N147" i="1" s="1"/>
  <c r="O145" i="1" s="1"/>
  <c r="O147" i="1" s="1"/>
  <c r="P145" i="1" s="1"/>
  <c r="P147" i="1" s="1"/>
  <c r="R81" i="1"/>
  <c r="R80" i="1" s="1"/>
  <c r="R219" i="1" s="1"/>
  <c r="R218" i="1" s="1"/>
  <c r="R10" i="2" s="1"/>
  <c r="S81" i="1"/>
  <c r="S80" i="1" s="1"/>
  <c r="S219" i="1" s="1"/>
  <c r="S218" i="1" s="1"/>
  <c r="S10" i="2" s="1"/>
  <c r="AI276" i="1" l="1"/>
  <c r="AI41" i="3" s="1"/>
  <c r="AI22" i="4" s="1"/>
  <c r="AA41" i="3"/>
  <c r="AA22" i="4" s="1"/>
  <c r="S237" i="1"/>
  <c r="S54" i="3" s="1"/>
  <c r="R237" i="1"/>
  <c r="R54" i="3" s="1"/>
  <c r="R15" i="4" s="1"/>
  <c r="AB276" i="1"/>
  <c r="AI257" i="1"/>
  <c r="Q145" i="1"/>
  <c r="Q147" i="1" s="1"/>
  <c r="R145" i="1" s="1"/>
  <c r="R147" i="1" s="1"/>
  <c r="S145" i="1" s="1"/>
  <c r="S147" i="1" s="1"/>
  <c r="T145" i="1" s="1"/>
  <c r="T147" i="1" s="1"/>
  <c r="U145" i="1" s="1"/>
  <c r="U147" i="1" s="1"/>
  <c r="V145" i="1" s="1"/>
  <c r="V147" i="1" s="1"/>
  <c r="T81" i="1"/>
  <c r="T80" i="1" s="1"/>
  <c r="T219" i="1" s="1"/>
  <c r="T218" i="1" s="1"/>
  <c r="T10" i="2" s="1"/>
  <c r="AB41" i="3" l="1"/>
  <c r="AB22" i="4" s="1"/>
  <c r="AJ276" i="1"/>
  <c r="AJ41" i="3" s="1"/>
  <c r="AJ22" i="4" s="1"/>
  <c r="S15" i="4"/>
  <c r="T237" i="1"/>
  <c r="T54" i="3" s="1"/>
  <c r="T15" i="4" s="1"/>
  <c r="AC276" i="1"/>
  <c r="AJ257" i="1"/>
  <c r="U81" i="1"/>
  <c r="U80" i="1" s="1"/>
  <c r="U219" i="1" s="1"/>
  <c r="U218" i="1" s="1"/>
  <c r="U10" i="2" s="1"/>
  <c r="AK257" i="1" l="1"/>
  <c r="AC41" i="3"/>
  <c r="AC22" i="4" s="1"/>
  <c r="AK276" i="1"/>
  <c r="AK41" i="3" s="1"/>
  <c r="AK22" i="4" s="1"/>
  <c r="U237" i="1"/>
  <c r="U54" i="3" s="1"/>
  <c r="U15" i="4" s="1"/>
  <c r="V81" i="1"/>
  <c r="Y81" i="1" l="1"/>
  <c r="Y80" i="1" s="1"/>
  <c r="Y219" i="1" s="1"/>
  <c r="Y218" i="1" s="1"/>
  <c r="Y10" i="2" s="1"/>
  <c r="V80" i="1"/>
  <c r="V219" i="1" s="1"/>
  <c r="V218" i="1" s="1"/>
  <c r="V10" i="2" s="1"/>
  <c r="V237" i="1" l="1"/>
  <c r="V54" i="3" s="1"/>
  <c r="V15" i="4" s="1"/>
  <c r="Y237" i="1"/>
  <c r="Y54" i="3" s="1"/>
  <c r="Y15" i="4" s="1"/>
  <c r="AG81" i="1"/>
  <c r="AG80" i="1" s="1"/>
  <c r="AG219" i="1" s="1"/>
  <c r="AG218" i="1" s="1"/>
  <c r="AG10" i="2" s="1"/>
  <c r="Z81" i="1"/>
  <c r="Z80" i="1" s="1"/>
  <c r="Z219" i="1" s="1"/>
  <c r="Z218" i="1" s="1"/>
  <c r="Z10" i="2" s="1"/>
  <c r="AH81" i="1" l="1"/>
  <c r="AH80" i="1" s="1"/>
  <c r="Z237" i="1"/>
  <c r="Z54" i="3" s="1"/>
  <c r="Z15" i="4" s="1"/>
  <c r="AG237" i="1"/>
  <c r="AG54" i="3" s="1"/>
  <c r="AG15" i="4" s="1"/>
  <c r="AA81" i="1"/>
  <c r="AA80" i="1" s="1"/>
  <c r="AA219" i="1" s="1"/>
  <c r="AA218" i="1" s="1"/>
  <c r="AA10" i="2" s="1"/>
  <c r="Q79" i="1"/>
  <c r="P79" i="1"/>
  <c r="AH219" i="1" l="1"/>
  <c r="AH218" i="1" s="1"/>
  <c r="AH10" i="2" s="1"/>
  <c r="AH237" i="1"/>
  <c r="AH54" i="3" s="1"/>
  <c r="AH15" i="4" s="1"/>
  <c r="AA237" i="1"/>
  <c r="AA54" i="3" s="1"/>
  <c r="AA15" i="4" s="1"/>
  <c r="AI81" i="1"/>
  <c r="AI80" i="1" s="1"/>
  <c r="AI219" i="1" s="1"/>
  <c r="AI218" i="1" s="1"/>
  <c r="AI10" i="2" s="1"/>
  <c r="AB81" i="1"/>
  <c r="AB80" i="1" s="1"/>
  <c r="AB219" i="1" s="1"/>
  <c r="AB218" i="1" s="1"/>
  <c r="AB10" i="2" s="1"/>
  <c r="AI237" i="1" l="1"/>
  <c r="AI54" i="3" s="1"/>
  <c r="AI15" i="4" s="1"/>
  <c r="AB237" i="1"/>
  <c r="AB54" i="3" s="1"/>
  <c r="AB15" i="4" s="1"/>
  <c r="AJ81" i="1"/>
  <c r="AJ80" i="1" s="1"/>
  <c r="AJ219" i="1" s="1"/>
  <c r="AJ218" i="1" s="1"/>
  <c r="AJ10" i="2" s="1"/>
  <c r="AC81" i="1"/>
  <c r="AJ237" i="1" l="1"/>
  <c r="AJ54" i="3" s="1"/>
  <c r="AJ15" i="4" s="1"/>
  <c r="AK81" i="1"/>
  <c r="AK80" i="1" s="1"/>
  <c r="AK219" i="1" s="1"/>
  <c r="AK218" i="1" s="1"/>
  <c r="AK10" i="2" s="1"/>
  <c r="AC80" i="1"/>
  <c r="AC219" i="1" s="1"/>
  <c r="AC218" i="1" s="1"/>
  <c r="AC10" i="2" s="1"/>
  <c r="AC237" i="1" l="1"/>
  <c r="AC54" i="3" s="1"/>
  <c r="AC15" i="4" s="1"/>
  <c r="AK237" i="1"/>
  <c r="AK54" i="3" s="1"/>
  <c r="AK15" i="4" s="1"/>
  <c r="D108" i="1" l="1"/>
  <c r="D59" i="1"/>
  <c r="G37" i="1"/>
  <c r="G31" i="1" s="1"/>
  <c r="G72" i="1" s="1"/>
  <c r="G75" i="1" s="1"/>
  <c r="G212" i="1" s="1"/>
  <c r="I37" i="1"/>
  <c r="I31" i="1" s="1"/>
  <c r="I72" i="1" s="1"/>
  <c r="I75" i="1" s="1"/>
  <c r="I212" i="1" s="1"/>
  <c r="J37" i="1"/>
  <c r="J31" i="1" s="1"/>
  <c r="J72" i="1" s="1"/>
  <c r="J75" i="1" s="1"/>
  <c r="J212" i="1" s="1"/>
  <c r="K37" i="1"/>
  <c r="K31" i="1" s="1"/>
  <c r="K72" i="1" s="1"/>
  <c r="K75" i="1" s="1"/>
  <c r="K212" i="1" s="1"/>
  <c r="L37" i="1"/>
  <c r="L31" i="1" s="1"/>
  <c r="L72" i="1" s="1"/>
  <c r="L75" i="1" s="1"/>
  <c r="L212" i="1" s="1"/>
  <c r="M37" i="1"/>
  <c r="M31" i="1" s="1"/>
  <c r="M72" i="1" s="1"/>
  <c r="M75" i="1" s="1"/>
  <c r="M212" i="1" s="1"/>
  <c r="N37" i="1"/>
  <c r="N31" i="1" s="1"/>
  <c r="N72" i="1" s="1"/>
  <c r="N75" i="1" s="1"/>
  <c r="N212" i="1" s="1"/>
  <c r="O37" i="1"/>
  <c r="O31" i="1" s="1"/>
  <c r="O72" i="1" s="1"/>
  <c r="O75" i="1" s="1"/>
  <c r="O212" i="1" s="1"/>
  <c r="P37" i="1"/>
  <c r="P31" i="1" s="1"/>
  <c r="P72" i="1" s="1"/>
  <c r="P75" i="1" s="1"/>
  <c r="P212" i="1" s="1"/>
  <c r="Q37" i="1"/>
  <c r="Q31" i="1" s="1"/>
  <c r="Q72" i="1" s="1"/>
  <c r="Q75" i="1" s="1"/>
  <c r="Q212" i="1" s="1"/>
  <c r="R37" i="1"/>
  <c r="R31" i="1" s="1"/>
  <c r="R72" i="1" s="1"/>
  <c r="R75" i="1" s="1"/>
  <c r="R212" i="1" s="1"/>
  <c r="S37" i="1"/>
  <c r="S31" i="1" s="1"/>
  <c r="S72" i="1" s="1"/>
  <c r="S75" i="1" s="1"/>
  <c r="S212" i="1" s="1"/>
  <c r="T37" i="1"/>
  <c r="T31" i="1" s="1"/>
  <c r="T72" i="1" s="1"/>
  <c r="T75" i="1" s="1"/>
  <c r="T212" i="1" s="1"/>
  <c r="C35" i="1"/>
  <c r="A35" i="1"/>
  <c r="F42" i="1"/>
  <c r="F29" i="1"/>
  <c r="M236" i="1" l="1"/>
  <c r="M53" i="3" s="1"/>
  <c r="R236" i="1"/>
  <c r="R53" i="3" s="1"/>
  <c r="T236" i="1"/>
  <c r="T53" i="3" s="1"/>
  <c r="L236" i="1"/>
  <c r="L53" i="3" s="1"/>
  <c r="S236" i="1"/>
  <c r="S53" i="3" s="1"/>
  <c r="I236" i="1"/>
  <c r="I53" i="3" s="1"/>
  <c r="I14" i="4" s="1"/>
  <c r="K236" i="1"/>
  <c r="K53" i="3" s="1"/>
  <c r="P236" i="1"/>
  <c r="P53" i="3" s="1"/>
  <c r="G236" i="1"/>
  <c r="G53" i="3" s="1"/>
  <c r="J236" i="1"/>
  <c r="J53" i="3" s="1"/>
  <c r="O236" i="1"/>
  <c r="O53" i="3" s="1"/>
  <c r="Q236" i="1"/>
  <c r="Q53" i="3" s="1"/>
  <c r="N236" i="1"/>
  <c r="N53" i="3" s="1"/>
  <c r="R107" i="1"/>
  <c r="Z107" i="1"/>
  <c r="AH107" i="1"/>
  <c r="AP107" i="1"/>
  <c r="AX107" i="1"/>
  <c r="BF107" i="1"/>
  <c r="BN107" i="1"/>
  <c r="AW107" i="1"/>
  <c r="S107" i="1"/>
  <c r="AA107" i="1"/>
  <c r="AI107" i="1"/>
  <c r="AQ107" i="1"/>
  <c r="AY107" i="1"/>
  <c r="BG107" i="1"/>
  <c r="BO107" i="1"/>
  <c r="BH107" i="1"/>
  <c r="AG107" i="1"/>
  <c r="T107" i="1"/>
  <c r="AB107" i="1"/>
  <c r="AJ107" i="1"/>
  <c r="AR107" i="1"/>
  <c r="AZ107" i="1"/>
  <c r="BP107" i="1"/>
  <c r="AO107" i="1"/>
  <c r="U107" i="1"/>
  <c r="AC107" i="1"/>
  <c r="AK107" i="1"/>
  <c r="AS107" i="1"/>
  <c r="BA107" i="1"/>
  <c r="BI107" i="1"/>
  <c r="AN107" i="1"/>
  <c r="BL107" i="1"/>
  <c r="BE107" i="1"/>
  <c r="V107" i="1"/>
  <c r="AD107" i="1"/>
  <c r="AL107" i="1"/>
  <c r="AT107" i="1"/>
  <c r="BB107" i="1"/>
  <c r="BJ107" i="1"/>
  <c r="AF107" i="1"/>
  <c r="AV107" i="1"/>
  <c r="W107" i="1"/>
  <c r="AE107" i="1"/>
  <c r="AM107" i="1"/>
  <c r="AU107" i="1"/>
  <c r="BC107" i="1"/>
  <c r="BK107" i="1"/>
  <c r="X107" i="1"/>
  <c r="BD107" i="1"/>
  <c r="Y107" i="1"/>
  <c r="BM107" i="1"/>
  <c r="F107" i="1"/>
  <c r="F56" i="1"/>
  <c r="P45" i="1"/>
  <c r="D105" i="1"/>
  <c r="Q45" i="1"/>
  <c r="K45" i="1"/>
  <c r="J45" i="1"/>
  <c r="I45" i="1"/>
  <c r="H45" i="1"/>
  <c r="G45" i="1"/>
  <c r="F27" i="1"/>
  <c r="R45" i="1"/>
  <c r="N45" i="1"/>
  <c r="M107" i="1"/>
  <c r="L107" i="1"/>
  <c r="H107" i="1"/>
  <c r="K107" i="1"/>
  <c r="J107" i="1"/>
  <c r="Q107" i="1"/>
  <c r="I107" i="1"/>
  <c r="P107" i="1"/>
  <c r="O107" i="1"/>
  <c r="G107" i="1"/>
  <c r="N107" i="1"/>
  <c r="F26" i="1"/>
  <c r="N14" i="4" l="1"/>
  <c r="K14" i="4"/>
  <c r="S14" i="4"/>
  <c r="Q14" i="4"/>
  <c r="P14" i="4"/>
  <c r="L14" i="4"/>
  <c r="O14" i="4"/>
  <c r="T14" i="4"/>
  <c r="J14" i="4"/>
  <c r="R14" i="4"/>
  <c r="G14" i="4"/>
  <c r="H14" i="4"/>
  <c r="M14" i="4"/>
  <c r="F213" i="1"/>
  <c r="F211" i="1" s="1"/>
  <c r="F8" i="2" s="1"/>
  <c r="F48" i="1"/>
  <c r="F109" i="1"/>
  <c r="T45" i="1"/>
  <c r="L45" i="1"/>
  <c r="O45" i="1"/>
  <c r="M45" i="1"/>
  <c r="S45" i="1"/>
  <c r="F25" i="1"/>
  <c r="F229" i="1" s="1"/>
  <c r="F32" i="3" s="1"/>
  <c r="F6" i="2" l="1"/>
  <c r="F235" i="1"/>
  <c r="F51" i="3" s="1"/>
  <c r="F55" i="3" s="1"/>
  <c r="F230" i="1"/>
  <c r="F33" i="3" s="1"/>
  <c r="F11" i="4" s="1"/>
  <c r="F5" i="2"/>
  <c r="F12" i="4"/>
  <c r="F110" i="1"/>
  <c r="S79" i="1"/>
  <c r="F7" i="2" l="1"/>
  <c r="F11" i="2" s="1"/>
  <c r="F13" i="2" s="1"/>
  <c r="F14" i="2" s="1"/>
  <c r="F15" i="2" s="1"/>
  <c r="F234" i="1"/>
  <c r="F13" i="4" s="1"/>
  <c r="R79" i="1"/>
  <c r="G108" i="1"/>
  <c r="U22" i="1"/>
  <c r="U21" i="1" s="1"/>
  <c r="U35" i="1" s="1"/>
  <c r="F8" i="4" l="1"/>
  <c r="F25" i="4" s="1"/>
  <c r="F25" i="2"/>
  <c r="T79" i="1"/>
  <c r="V79" i="1"/>
  <c r="U79" i="1"/>
  <c r="F17" i="2"/>
  <c r="V22" i="1"/>
  <c r="V21" i="1" s="1"/>
  <c r="V35" i="1" s="1"/>
  <c r="U37" i="1"/>
  <c r="U31" i="1" s="1"/>
  <c r="U72" i="1" s="1"/>
  <c r="U75" i="1" s="1"/>
  <c r="U212" i="1" s="1"/>
  <c r="G109" i="1"/>
  <c r="S18" i="1"/>
  <c r="R18" i="1"/>
  <c r="G18" i="1"/>
  <c r="G19" i="1" s="1"/>
  <c r="G84" i="1" s="1"/>
  <c r="H18" i="1"/>
  <c r="I18" i="1"/>
  <c r="J18" i="1"/>
  <c r="K18" i="1"/>
  <c r="L18" i="1"/>
  <c r="M18" i="1"/>
  <c r="N18" i="1"/>
  <c r="O18" i="1"/>
  <c r="P18" i="1"/>
  <c r="Q18" i="1"/>
  <c r="F18" i="1"/>
  <c r="F28" i="4" l="1"/>
  <c r="G27" i="4" s="1"/>
  <c r="F42" i="3"/>
  <c r="F43" i="3" s="1"/>
  <c r="F57" i="3" s="1"/>
  <c r="F26" i="2"/>
  <c r="G79" i="1"/>
  <c r="G216" i="1"/>
  <c r="G215" i="1" s="1"/>
  <c r="G9" i="2" s="1"/>
  <c r="U236" i="1"/>
  <c r="U53" i="3" s="1"/>
  <c r="U14" i="4" s="1"/>
  <c r="G54" i="1"/>
  <c r="G56" i="1"/>
  <c r="G213" i="1" s="1"/>
  <c r="G211" i="1" s="1"/>
  <c r="G8" i="2" s="1"/>
  <c r="V37" i="1"/>
  <c r="V31" i="1" s="1"/>
  <c r="V72" i="1" s="1"/>
  <c r="V75" i="1" s="1"/>
  <c r="V212" i="1" s="1"/>
  <c r="Y22" i="1"/>
  <c r="G29" i="1"/>
  <c r="G26" i="1" s="1"/>
  <c r="G42" i="1"/>
  <c r="G27" i="1" s="1"/>
  <c r="U45" i="1"/>
  <c r="G110" i="1"/>
  <c r="H19" i="1"/>
  <c r="H84" i="1" s="1"/>
  <c r="F31" i="3" l="1"/>
  <c r="F34" i="3" s="1"/>
  <c r="F36" i="3" s="1"/>
  <c r="F59" i="3" s="1"/>
  <c r="G48" i="1"/>
  <c r="H79" i="1"/>
  <c r="H216" i="1"/>
  <c r="H215" i="1" s="1"/>
  <c r="H9" i="2" s="1"/>
  <c r="V236" i="1"/>
  <c r="V53" i="3" s="1"/>
  <c r="V14" i="4" s="1"/>
  <c r="H42" i="1"/>
  <c r="H27" i="1" s="1"/>
  <c r="H54" i="1"/>
  <c r="H56" i="1"/>
  <c r="H213" i="1" s="1"/>
  <c r="H211" i="1" s="1"/>
  <c r="H8" i="2" s="1"/>
  <c r="V45" i="1"/>
  <c r="Z22" i="1"/>
  <c r="Y21" i="1"/>
  <c r="Y35" i="1" s="1"/>
  <c r="AG22" i="1"/>
  <c r="AG21" i="1" s="1"/>
  <c r="G25" i="1"/>
  <c r="H108" i="1"/>
  <c r="I19" i="1"/>
  <c r="H29" i="1"/>
  <c r="H26" i="1" s="1"/>
  <c r="G230" i="1" l="1"/>
  <c r="G33" i="3" s="1"/>
  <c r="G235" i="1"/>
  <c r="G51" i="3" s="1"/>
  <c r="G55" i="3" s="1"/>
  <c r="G6" i="2"/>
  <c r="H48" i="1"/>
  <c r="I54" i="1"/>
  <c r="I84" i="1"/>
  <c r="H25" i="1"/>
  <c r="H229" i="1" s="1"/>
  <c r="H32" i="3" s="1"/>
  <c r="I56" i="1"/>
  <c r="I213" i="1" s="1"/>
  <c r="I211" i="1" s="1"/>
  <c r="I8" i="2" s="1"/>
  <c r="Y37" i="1"/>
  <c r="Y31" i="1" s="1"/>
  <c r="Y72" i="1" s="1"/>
  <c r="Y75" i="1" s="1"/>
  <c r="Y212" i="1" s="1"/>
  <c r="AG35" i="1"/>
  <c r="AG37" i="1" s="1"/>
  <c r="AG31" i="1" s="1"/>
  <c r="AG72" i="1" s="1"/>
  <c r="AG75" i="1" s="1"/>
  <c r="AG212" i="1" s="1"/>
  <c r="AA22" i="1"/>
  <c r="AH22" i="1"/>
  <c r="AH21" i="1" s="1"/>
  <c r="Z21" i="1"/>
  <c r="Z35" i="1" s="1"/>
  <c r="G229" i="1"/>
  <c r="G32" i="3" s="1"/>
  <c r="G12" i="4" s="1"/>
  <c r="G5" i="2"/>
  <c r="I42" i="1"/>
  <c r="I27" i="1" s="1"/>
  <c r="J19" i="1"/>
  <c r="J84" i="1" s="1"/>
  <c r="H109" i="1"/>
  <c r="I29" i="1"/>
  <c r="I26" i="1" s="1"/>
  <c r="G234" i="1" l="1"/>
  <c r="G13" i="4" s="1"/>
  <c r="H6" i="2"/>
  <c r="H235" i="1"/>
  <c r="H51" i="3" s="1"/>
  <c r="H55" i="3" s="1"/>
  <c r="G7" i="2"/>
  <c r="G11" i="2" s="1"/>
  <c r="G13" i="2" s="1"/>
  <c r="I79" i="1"/>
  <c r="I216" i="1"/>
  <c r="I215" i="1" s="1"/>
  <c r="I9" i="2" s="1"/>
  <c r="I48" i="1"/>
  <c r="J79" i="1"/>
  <c r="J216" i="1"/>
  <c r="J215" i="1" s="1"/>
  <c r="J9" i="2" s="1"/>
  <c r="AG236" i="1"/>
  <c r="AG53" i="3" s="1"/>
  <c r="AG14" i="4" s="1"/>
  <c r="Y236" i="1"/>
  <c r="Y53" i="3" s="1"/>
  <c r="Y14" i="4" s="1"/>
  <c r="H230" i="1"/>
  <c r="H33" i="3" s="1"/>
  <c r="H5" i="2"/>
  <c r="J42" i="1"/>
  <c r="J27" i="1" s="1"/>
  <c r="J54" i="1"/>
  <c r="AG45" i="1"/>
  <c r="Y45" i="1"/>
  <c r="J56" i="1"/>
  <c r="J213" i="1" s="1"/>
  <c r="J211" i="1" s="1"/>
  <c r="J8" i="2" s="1"/>
  <c r="Z37" i="1"/>
  <c r="Z31" i="1" s="1"/>
  <c r="Z72" i="1" s="1"/>
  <c r="Z75" i="1" s="1"/>
  <c r="Z212" i="1" s="1"/>
  <c r="AH35" i="1"/>
  <c r="AH37" i="1" s="1"/>
  <c r="AH31" i="1" s="1"/>
  <c r="AH72" i="1" s="1"/>
  <c r="AH75" i="1" s="1"/>
  <c r="AH212" i="1" s="1"/>
  <c r="AB22" i="1"/>
  <c r="AI22" i="1"/>
  <c r="AI21" i="1" s="1"/>
  <c r="AA21" i="1"/>
  <c r="AA35" i="1" s="1"/>
  <c r="I25" i="1"/>
  <c r="I229" i="1" s="1"/>
  <c r="I32" i="3" s="1"/>
  <c r="I12" i="4" s="1"/>
  <c r="G11" i="4"/>
  <c r="H12" i="4"/>
  <c r="H110" i="1"/>
  <c r="K19" i="1"/>
  <c r="J29" i="1"/>
  <c r="J26" i="1" s="1"/>
  <c r="H234" i="1" l="1"/>
  <c r="H13" i="4" s="1"/>
  <c r="H7" i="2"/>
  <c r="H11" i="2" s="1"/>
  <c r="H13" i="2" s="1"/>
  <c r="H14" i="2" s="1"/>
  <c r="H15" i="2" s="1"/>
  <c r="I6" i="2"/>
  <c r="I235" i="1"/>
  <c r="I51" i="3" s="1"/>
  <c r="I55" i="3" s="1"/>
  <c r="G14" i="2"/>
  <c r="G15" i="2" s="1"/>
  <c r="J48" i="1"/>
  <c r="AH236" i="1"/>
  <c r="AH53" i="3" s="1"/>
  <c r="AH14" i="4" s="1"/>
  <c r="Z236" i="1"/>
  <c r="Z53" i="3" s="1"/>
  <c r="Z14" i="4" s="1"/>
  <c r="K54" i="1"/>
  <c r="K84" i="1"/>
  <c r="I230" i="1"/>
  <c r="I33" i="3" s="1"/>
  <c r="J25" i="1"/>
  <c r="J229" i="1" s="1"/>
  <c r="J32" i="3" s="1"/>
  <c r="J12" i="4" s="1"/>
  <c r="AH45" i="1"/>
  <c r="Z45" i="1"/>
  <c r="K56" i="1"/>
  <c r="K213" i="1" s="1"/>
  <c r="K211" i="1" s="1"/>
  <c r="K8" i="2" s="1"/>
  <c r="AA37" i="1"/>
  <c r="AA31" i="1" s="1"/>
  <c r="AA72" i="1" s="1"/>
  <c r="AA75" i="1" s="1"/>
  <c r="AA212" i="1" s="1"/>
  <c r="AI35" i="1"/>
  <c r="AI37" i="1" s="1"/>
  <c r="AI31" i="1" s="1"/>
  <c r="AI72" i="1" s="1"/>
  <c r="AI75" i="1" s="1"/>
  <c r="AI212" i="1" s="1"/>
  <c r="AC22" i="1"/>
  <c r="AJ22" i="1"/>
  <c r="AJ21" i="1" s="1"/>
  <c r="AB21" i="1"/>
  <c r="AB35" i="1" s="1"/>
  <c r="I108" i="1"/>
  <c r="I109" i="1" s="1"/>
  <c r="I5" i="2"/>
  <c r="K29" i="1"/>
  <c r="K26" i="1" s="1"/>
  <c r="K42" i="1"/>
  <c r="K27" i="1" s="1"/>
  <c r="H11" i="4"/>
  <c r="L19" i="1"/>
  <c r="L84" i="1" s="1"/>
  <c r="H17" i="2" l="1"/>
  <c r="H26" i="2" s="1"/>
  <c r="H25" i="2"/>
  <c r="G8" i="4"/>
  <c r="G25" i="4" s="1"/>
  <c r="G28" i="4" s="1"/>
  <c r="G25" i="2"/>
  <c r="I234" i="1"/>
  <c r="I13" i="4" s="1"/>
  <c r="I7" i="2"/>
  <c r="I11" i="2" s="1"/>
  <c r="I13" i="2" s="1"/>
  <c r="I14" i="2" s="1"/>
  <c r="I15" i="2" s="1"/>
  <c r="J6" i="2"/>
  <c r="J235" i="1"/>
  <c r="J51" i="3" s="1"/>
  <c r="J55" i="3" s="1"/>
  <c r="G17" i="2"/>
  <c r="K79" i="1"/>
  <c r="K216" i="1"/>
  <c r="K215" i="1" s="1"/>
  <c r="K9" i="2" s="1"/>
  <c r="K48" i="1"/>
  <c r="L79" i="1"/>
  <c r="L216" i="1"/>
  <c r="L215" i="1" s="1"/>
  <c r="L9" i="2" s="1"/>
  <c r="AA236" i="1"/>
  <c r="AA53" i="3" s="1"/>
  <c r="AA14" i="4" s="1"/>
  <c r="J230" i="1"/>
  <c r="J33" i="3" s="1"/>
  <c r="J11" i="4" s="1"/>
  <c r="AI236" i="1"/>
  <c r="AI53" i="3" s="1"/>
  <c r="AI14" i="4" s="1"/>
  <c r="H8" i="4"/>
  <c r="H25" i="4" s="1"/>
  <c r="J5" i="2"/>
  <c r="AA45" i="1"/>
  <c r="AI45" i="1"/>
  <c r="L56" i="1"/>
  <c r="L213" i="1" s="1"/>
  <c r="L211" i="1" s="1"/>
  <c r="L8" i="2" s="1"/>
  <c r="L29" i="1"/>
  <c r="L26" i="1" s="1"/>
  <c r="L54" i="1"/>
  <c r="AB37" i="1"/>
  <c r="AB31" i="1" s="1"/>
  <c r="AB72" i="1" s="1"/>
  <c r="AB75" i="1" s="1"/>
  <c r="AB212" i="1" s="1"/>
  <c r="AJ35" i="1"/>
  <c r="AJ37" i="1" s="1"/>
  <c r="AJ31" i="1" s="1"/>
  <c r="AJ72" i="1" s="1"/>
  <c r="AJ75" i="1" s="1"/>
  <c r="AJ212" i="1" s="1"/>
  <c r="AK22" i="1"/>
  <c r="AK21" i="1" s="1"/>
  <c r="AC21" i="1"/>
  <c r="AC35" i="1" s="1"/>
  <c r="K25" i="1"/>
  <c r="K229" i="1" s="1"/>
  <c r="K32" i="3" s="1"/>
  <c r="K12" i="4" s="1"/>
  <c r="L42" i="1"/>
  <c r="L27" i="1" s="1"/>
  <c r="I11" i="4"/>
  <c r="I110" i="1"/>
  <c r="M19" i="1"/>
  <c r="G42" i="3" l="1"/>
  <c r="G43" i="3" s="1"/>
  <c r="G57" i="3" s="1"/>
  <c r="G26" i="2"/>
  <c r="I17" i="2"/>
  <c r="I26" i="2" s="1"/>
  <c r="I25" i="2"/>
  <c r="J7" i="2"/>
  <c r="J11" i="2" s="1"/>
  <c r="J13" i="2" s="1"/>
  <c r="J14" i="2" s="1"/>
  <c r="J234" i="1"/>
  <c r="J13" i="4" s="1"/>
  <c r="K230" i="1"/>
  <c r="K33" i="3" s="1"/>
  <c r="K11" i="4" s="1"/>
  <c r="K235" i="1"/>
  <c r="K51" i="3" s="1"/>
  <c r="K55" i="3" s="1"/>
  <c r="K6" i="2"/>
  <c r="L48" i="1"/>
  <c r="AB236" i="1"/>
  <c r="AB53" i="3" s="1"/>
  <c r="AB14" i="4" s="1"/>
  <c r="AJ236" i="1"/>
  <c r="AJ53" i="3" s="1"/>
  <c r="AJ14" i="4" s="1"/>
  <c r="M54" i="1"/>
  <c r="M84" i="1"/>
  <c r="M56" i="1"/>
  <c r="M213" i="1" s="1"/>
  <c r="M211" i="1" s="1"/>
  <c r="M8" i="2" s="1"/>
  <c r="AB45" i="1"/>
  <c r="AJ45" i="1"/>
  <c r="AC37" i="1"/>
  <c r="AC31" i="1" s="1"/>
  <c r="AC72" i="1" s="1"/>
  <c r="AC75" i="1" s="1"/>
  <c r="AC212" i="1" s="1"/>
  <c r="AK35" i="1"/>
  <c r="AK37" i="1" s="1"/>
  <c r="AK31" i="1" s="1"/>
  <c r="AK72" i="1" s="1"/>
  <c r="AK75" i="1" s="1"/>
  <c r="AK212" i="1" s="1"/>
  <c r="I8" i="4"/>
  <c r="I25" i="4" s="1"/>
  <c r="K5" i="2"/>
  <c r="L25" i="1"/>
  <c r="L229" i="1" s="1"/>
  <c r="L32" i="3" s="1"/>
  <c r="L12" i="4" s="1"/>
  <c r="M29" i="1"/>
  <c r="M26" i="1" s="1"/>
  <c r="M42" i="1"/>
  <c r="M27" i="1" s="1"/>
  <c r="J108" i="1"/>
  <c r="N19" i="1"/>
  <c r="H42" i="3" l="1"/>
  <c r="H43" i="3" s="1"/>
  <c r="H57" i="3" s="1"/>
  <c r="K234" i="1"/>
  <c r="K13" i="4" s="1"/>
  <c r="L6" i="2"/>
  <c r="L235" i="1"/>
  <c r="L51" i="3" s="1"/>
  <c r="L55" i="3" s="1"/>
  <c r="J15" i="2"/>
  <c r="K7" i="2"/>
  <c r="K11" i="2" s="1"/>
  <c r="K13" i="2" s="1"/>
  <c r="L230" i="1"/>
  <c r="L33" i="3" s="1"/>
  <c r="L11" i="4" s="1"/>
  <c r="M48" i="1"/>
  <c r="M79" i="1"/>
  <c r="M216" i="1"/>
  <c r="M215" i="1" s="1"/>
  <c r="M9" i="2" s="1"/>
  <c r="N54" i="1"/>
  <c r="N84" i="1"/>
  <c r="AK236" i="1"/>
  <c r="AK53" i="3" s="1"/>
  <c r="AK14" i="4" s="1"/>
  <c r="AC236" i="1"/>
  <c r="AC53" i="3" s="1"/>
  <c r="AC14" i="4" s="1"/>
  <c r="N56" i="1"/>
  <c r="N213" i="1" s="1"/>
  <c r="N211" i="1" s="1"/>
  <c r="N8" i="2" s="1"/>
  <c r="AK45" i="1"/>
  <c r="AC45" i="1"/>
  <c r="L5" i="2"/>
  <c r="M25" i="1"/>
  <c r="M5" i="2" s="1"/>
  <c r="N29" i="1"/>
  <c r="N26" i="1" s="1"/>
  <c r="N42" i="1"/>
  <c r="N27" i="1" s="1"/>
  <c r="J109" i="1"/>
  <c r="O19" i="1"/>
  <c r="I42" i="3" l="1"/>
  <c r="I43" i="3" s="1"/>
  <c r="I57" i="3" s="1"/>
  <c r="J17" i="2"/>
  <c r="J26" i="2" s="1"/>
  <c r="J25" i="2"/>
  <c r="L7" i="2"/>
  <c r="L11" i="2" s="1"/>
  <c r="L13" i="2" s="1"/>
  <c r="L14" i="2" s="1"/>
  <c r="L234" i="1"/>
  <c r="L13" i="4" s="1"/>
  <c r="J8" i="4"/>
  <c r="J25" i="4" s="1"/>
  <c r="M6" i="2"/>
  <c r="M7" i="2" s="1"/>
  <c r="M11" i="2" s="1"/>
  <c r="M13" i="2" s="1"/>
  <c r="M235" i="1"/>
  <c r="M51" i="3" s="1"/>
  <c r="M55" i="3" s="1"/>
  <c r="K14" i="2"/>
  <c r="K15" i="2" s="1"/>
  <c r="N48" i="1"/>
  <c r="N79" i="1"/>
  <c r="N216" i="1"/>
  <c r="N215" i="1" s="1"/>
  <c r="N9" i="2" s="1"/>
  <c r="M230" i="1"/>
  <c r="M33" i="3" s="1"/>
  <c r="O54" i="1"/>
  <c r="O84" i="1"/>
  <c r="O56" i="1"/>
  <c r="O213" i="1" s="1"/>
  <c r="O211" i="1" s="1"/>
  <c r="O8" i="2" s="1"/>
  <c r="M229" i="1"/>
  <c r="M32" i="3" s="1"/>
  <c r="M12" i="4" s="1"/>
  <c r="O29" i="1"/>
  <c r="O26" i="1" s="1"/>
  <c r="O42" i="1"/>
  <c r="O27" i="1" s="1"/>
  <c r="N25" i="1"/>
  <c r="N229" i="1" s="1"/>
  <c r="N32" i="3" s="1"/>
  <c r="J110" i="1"/>
  <c r="P19" i="1"/>
  <c r="K17" i="2" l="1"/>
  <c r="K26" i="2" s="1"/>
  <c r="K25" i="2"/>
  <c r="J42" i="3"/>
  <c r="J43" i="3" s="1"/>
  <c r="J57" i="3" s="1"/>
  <c r="M234" i="1"/>
  <c r="M13" i="4" s="1"/>
  <c r="N6" i="2"/>
  <c r="N235" i="1"/>
  <c r="N51" i="3" s="1"/>
  <c r="N55" i="3" s="1"/>
  <c r="L15" i="2"/>
  <c r="K8" i="4"/>
  <c r="M14" i="2"/>
  <c r="O79" i="1"/>
  <c r="O216" i="1"/>
  <c r="O215" i="1" s="1"/>
  <c r="O9" i="2" s="1"/>
  <c r="O48" i="1"/>
  <c r="P54" i="1"/>
  <c r="P84" i="1"/>
  <c r="P216" i="1" s="1"/>
  <c r="P215" i="1" s="1"/>
  <c r="P9" i="2" s="1"/>
  <c r="N230" i="1"/>
  <c r="N33" i="3" s="1"/>
  <c r="N11" i="4" s="1"/>
  <c r="P56" i="1"/>
  <c r="P213" i="1" s="1"/>
  <c r="P211" i="1" s="1"/>
  <c r="P8" i="2" s="1"/>
  <c r="N5" i="2"/>
  <c r="O25" i="1"/>
  <c r="O5" i="2" s="1"/>
  <c r="M11" i="4"/>
  <c r="P29" i="1"/>
  <c r="P26" i="1" s="1"/>
  <c r="P42" i="1"/>
  <c r="P27" i="1" s="1"/>
  <c r="N12" i="4"/>
  <c r="K108" i="1"/>
  <c r="Q19" i="1"/>
  <c r="Q84" i="1" s="1"/>
  <c r="Q216" i="1" s="1"/>
  <c r="Q215" i="1" s="1"/>
  <c r="Q9" i="2" s="1"/>
  <c r="K42" i="3" l="1"/>
  <c r="K43" i="3" s="1"/>
  <c r="K57" i="3" s="1"/>
  <c r="L8" i="4"/>
  <c r="L25" i="4" s="1"/>
  <c r="L25" i="2"/>
  <c r="N7" i="2"/>
  <c r="N11" i="2" s="1"/>
  <c r="N13" i="2" s="1"/>
  <c r="N14" i="2" s="1"/>
  <c r="N15" i="2" s="1"/>
  <c r="N234" i="1"/>
  <c r="N13" i="4" s="1"/>
  <c r="L17" i="2"/>
  <c r="O6" i="2"/>
  <c r="O7" i="2" s="1"/>
  <c r="O235" i="1"/>
  <c r="O51" i="3" s="1"/>
  <c r="O55" i="3" s="1"/>
  <c r="K25" i="4"/>
  <c r="M15" i="2"/>
  <c r="P48" i="1"/>
  <c r="O230" i="1"/>
  <c r="O33" i="3" s="1"/>
  <c r="Q56" i="1"/>
  <c r="Q213" i="1" s="1"/>
  <c r="Q211" i="1" s="1"/>
  <c r="Q8" i="2" s="1"/>
  <c r="R19" i="1"/>
  <c r="Q54" i="1"/>
  <c r="O229" i="1"/>
  <c r="O32" i="3" s="1"/>
  <c r="O12" i="4" s="1"/>
  <c r="Q29" i="1"/>
  <c r="Q26" i="1" s="1"/>
  <c r="Q42" i="1"/>
  <c r="Q27" i="1" s="1"/>
  <c r="P25" i="1"/>
  <c r="P5" i="2" s="1"/>
  <c r="K109" i="1"/>
  <c r="N17" i="2" l="1"/>
  <c r="N26" i="2" s="1"/>
  <c r="N25" i="2"/>
  <c r="L42" i="3"/>
  <c r="L43" i="3" s="1"/>
  <c r="L57" i="3" s="1"/>
  <c r="L26" i="2"/>
  <c r="M8" i="4"/>
  <c r="M25" i="4" s="1"/>
  <c r="M25" i="2"/>
  <c r="O234" i="1"/>
  <c r="O13" i="4" s="1"/>
  <c r="P6" i="2"/>
  <c r="P7" i="2" s="1"/>
  <c r="P11" i="2" s="1"/>
  <c r="P13" i="2" s="1"/>
  <c r="P235" i="1"/>
  <c r="P51" i="3" s="1"/>
  <c r="P55" i="3" s="1"/>
  <c r="M17" i="2"/>
  <c r="O11" i="2"/>
  <c r="O13" i="2" s="1"/>
  <c r="Q48" i="1"/>
  <c r="P230" i="1"/>
  <c r="P33" i="3" s="1"/>
  <c r="P11" i="4" s="1"/>
  <c r="R54" i="1"/>
  <c r="R84" i="1"/>
  <c r="R216" i="1" s="1"/>
  <c r="R215" i="1" s="1"/>
  <c r="R9" i="2" s="1"/>
  <c r="R56" i="1"/>
  <c r="R213" i="1" s="1"/>
  <c r="R211" i="1" s="1"/>
  <c r="R8" i="2" s="1"/>
  <c r="N8" i="4"/>
  <c r="N25" i="4" s="1"/>
  <c r="P229" i="1"/>
  <c r="P32" i="3" s="1"/>
  <c r="P12" i="4" s="1"/>
  <c r="Q25" i="1"/>
  <c r="Q229" i="1" s="1"/>
  <c r="Q32" i="3" s="1"/>
  <c r="R42" i="1"/>
  <c r="R27" i="1" s="1"/>
  <c r="R29" i="1"/>
  <c r="R26" i="1" s="1"/>
  <c r="O11" i="4"/>
  <c r="K110" i="1"/>
  <c r="S19" i="1"/>
  <c r="M42" i="3" l="1"/>
  <c r="M43" i="3" s="1"/>
  <c r="M57" i="3" s="1"/>
  <c r="M26" i="2"/>
  <c r="P234" i="1"/>
  <c r="P13" i="4" s="1"/>
  <c r="Q6" i="2"/>
  <c r="Q235" i="1"/>
  <c r="Q51" i="3" s="1"/>
  <c r="Q55" i="3" s="1"/>
  <c r="P14" i="2"/>
  <c r="P15" i="2" s="1"/>
  <c r="O14" i="2"/>
  <c r="O15" i="2" s="1"/>
  <c r="Q230" i="1"/>
  <c r="Q33" i="3" s="1"/>
  <c r="Q11" i="4" s="1"/>
  <c r="R48" i="1"/>
  <c r="S54" i="1"/>
  <c r="S84" i="1"/>
  <c r="S216" i="1" s="1"/>
  <c r="S215" i="1" s="1"/>
  <c r="S9" i="2" s="1"/>
  <c r="S56" i="1"/>
  <c r="S213" i="1" s="1"/>
  <c r="S211" i="1" s="1"/>
  <c r="S8" i="2" s="1"/>
  <c r="Q5" i="2"/>
  <c r="L108" i="1"/>
  <c r="R25" i="1"/>
  <c r="R229" i="1" s="1"/>
  <c r="R32" i="3" s="1"/>
  <c r="S42" i="1"/>
  <c r="S27" i="1" s="1"/>
  <c r="S29" i="1"/>
  <c r="S26" i="1" s="1"/>
  <c r="Q12" i="4"/>
  <c r="T19" i="1"/>
  <c r="O8" i="4" l="1"/>
  <c r="O25" i="4" s="1"/>
  <c r="O25" i="2"/>
  <c r="P17" i="2"/>
  <c r="P26" i="2" s="1"/>
  <c r="P25" i="2"/>
  <c r="N42" i="3"/>
  <c r="N43" i="3" s="1"/>
  <c r="N57" i="3" s="1"/>
  <c r="Q234" i="1"/>
  <c r="Q13" i="4" s="1"/>
  <c r="Q7" i="2"/>
  <c r="Q11" i="2" s="1"/>
  <c r="Q13" i="2" s="1"/>
  <c r="Q14" i="2" s="1"/>
  <c r="Q15" i="2" s="1"/>
  <c r="P8" i="4"/>
  <c r="P25" i="4" s="1"/>
  <c r="R230" i="1"/>
  <c r="R33" i="3" s="1"/>
  <c r="R11" i="4" s="1"/>
  <c r="R235" i="1"/>
  <c r="R51" i="3" s="1"/>
  <c r="R55" i="3" s="1"/>
  <c r="O17" i="2"/>
  <c r="R6" i="2"/>
  <c r="S48" i="1"/>
  <c r="T54" i="1"/>
  <c r="T84" i="1"/>
  <c r="T216" i="1" s="1"/>
  <c r="T215" i="1" s="1"/>
  <c r="T9" i="2" s="1"/>
  <c r="T56" i="1"/>
  <c r="L109" i="1"/>
  <c r="R5" i="2"/>
  <c r="S25" i="1"/>
  <c r="S229" i="1" s="1"/>
  <c r="S32" i="3" s="1"/>
  <c r="S12" i="4" s="1"/>
  <c r="T42" i="1"/>
  <c r="T27" i="1" s="1"/>
  <c r="T29" i="1"/>
  <c r="T26" i="1" s="1"/>
  <c r="R12" i="4"/>
  <c r="U19" i="1"/>
  <c r="U84" i="1" s="1"/>
  <c r="U216" i="1" s="1"/>
  <c r="U215" i="1" s="1"/>
  <c r="U9" i="2" s="1"/>
  <c r="O42" i="3" l="1"/>
  <c r="O43" i="3" s="1"/>
  <c r="O57" i="3" s="1"/>
  <c r="O26" i="2"/>
  <c r="Q8" i="4"/>
  <c r="Q25" i="4" s="1"/>
  <c r="Q25" i="2"/>
  <c r="R234" i="1"/>
  <c r="S6" i="2"/>
  <c r="S235" i="1"/>
  <c r="S51" i="3" s="1"/>
  <c r="S55" i="3" s="1"/>
  <c r="R7" i="2"/>
  <c r="R11" i="2" s="1"/>
  <c r="R13" i="2" s="1"/>
  <c r="T213" i="1"/>
  <c r="T211" i="1" s="1"/>
  <c r="T8" i="2" s="1"/>
  <c r="S230" i="1"/>
  <c r="S33" i="3" s="1"/>
  <c r="T48" i="1"/>
  <c r="V19" i="1"/>
  <c r="U54" i="1"/>
  <c r="U56" i="1"/>
  <c r="U213" i="1" s="1"/>
  <c r="U211" i="1" s="1"/>
  <c r="U8" i="2" s="1"/>
  <c r="Q17" i="2"/>
  <c r="Q26" i="2" s="1"/>
  <c r="L110" i="1"/>
  <c r="S5" i="2"/>
  <c r="T25" i="1"/>
  <c r="U42" i="1"/>
  <c r="U27" i="1" s="1"/>
  <c r="U29" i="1"/>
  <c r="U26" i="1" s="1"/>
  <c r="R13" i="4"/>
  <c r="S234" i="1"/>
  <c r="C26" i="5" l="1"/>
  <c r="C29" i="5" s="1"/>
  <c r="C30" i="5" s="1"/>
  <c r="P42" i="3"/>
  <c r="P43" i="3" s="1"/>
  <c r="P57" i="3" s="1"/>
  <c r="S13" i="4"/>
  <c r="S7" i="2"/>
  <c r="S11" i="2" s="1"/>
  <c r="S13" i="2" s="1"/>
  <c r="S14" i="2" s="1"/>
  <c r="T6" i="2"/>
  <c r="T235" i="1"/>
  <c r="R14" i="2"/>
  <c r="R15" i="2" s="1"/>
  <c r="U48" i="1"/>
  <c r="T230" i="1"/>
  <c r="T33" i="3" s="1"/>
  <c r="T11" i="4" s="1"/>
  <c r="Y19" i="1"/>
  <c r="Y29" i="1" s="1"/>
  <c r="AG29" i="1" s="1"/>
  <c r="V84" i="1"/>
  <c r="V216" i="1" s="1"/>
  <c r="V215" i="1" s="1"/>
  <c r="V9" i="2" s="1"/>
  <c r="V29" i="1"/>
  <c r="V26" i="1" s="1"/>
  <c r="V54" i="1"/>
  <c r="V56" i="1"/>
  <c r="M108" i="1"/>
  <c r="T229" i="1"/>
  <c r="T32" i="3" s="1"/>
  <c r="T12" i="4" s="1"/>
  <c r="T5" i="2"/>
  <c r="U25" i="1"/>
  <c r="S11" i="4"/>
  <c r="V42" i="1"/>
  <c r="V27" i="1" s="1"/>
  <c r="R17" i="2" l="1"/>
  <c r="R26" i="2" s="1"/>
  <c r="R25" i="2"/>
  <c r="Q42" i="3"/>
  <c r="Q43" i="3" s="1"/>
  <c r="C17" i="5" s="1"/>
  <c r="C18" i="5" s="1"/>
  <c r="C20" i="5" s="1"/>
  <c r="C23" i="5" s="1"/>
  <c r="R42" i="3"/>
  <c r="R43" i="3" s="1"/>
  <c r="R57" i="3" s="1"/>
  <c r="S15" i="2"/>
  <c r="U6" i="2"/>
  <c r="U235" i="1"/>
  <c r="U51" i="3" s="1"/>
  <c r="U55" i="3" s="1"/>
  <c r="T51" i="3"/>
  <c r="T234" i="1"/>
  <c r="R8" i="4"/>
  <c r="V48" i="1"/>
  <c r="AG19" i="1"/>
  <c r="AG84" i="1" s="1"/>
  <c r="AG216" i="1" s="1"/>
  <c r="AG215" i="1" s="1"/>
  <c r="AG9" i="2" s="1"/>
  <c r="Y56" i="1"/>
  <c r="Y213" i="1" s="1"/>
  <c r="Y211" i="1" s="1"/>
  <c r="Y8" i="2" s="1"/>
  <c r="V213" i="1"/>
  <c r="V211" i="1" s="1"/>
  <c r="V8" i="2" s="1"/>
  <c r="Z19" i="1"/>
  <c r="Z84" i="1" s="1"/>
  <c r="Z216" i="1" s="1"/>
  <c r="Z215" i="1" s="1"/>
  <c r="Z9" i="2" s="1"/>
  <c r="Y42" i="1"/>
  <c r="Y27" i="1" s="1"/>
  <c r="U230" i="1"/>
  <c r="U33" i="3" s="1"/>
  <c r="U11" i="4" s="1"/>
  <c r="Y54" i="1"/>
  <c r="Y84" i="1"/>
  <c r="Y216" i="1" s="1"/>
  <c r="Y215" i="1" s="1"/>
  <c r="Y9" i="2" s="1"/>
  <c r="T7" i="2"/>
  <c r="T11" i="2" s="1"/>
  <c r="T13" i="2" s="1"/>
  <c r="V97" i="1"/>
  <c r="V179" i="1" s="1"/>
  <c r="I127" i="1"/>
  <c r="Y26" i="1"/>
  <c r="M109" i="1"/>
  <c r="U5" i="2"/>
  <c r="U229" i="1"/>
  <c r="U32" i="3" s="1"/>
  <c r="U12" i="4" s="1"/>
  <c r="V25" i="1"/>
  <c r="C19" i="5" l="1"/>
  <c r="C22" i="5" s="1"/>
  <c r="C24" i="5" s="1"/>
  <c r="Q57" i="3"/>
  <c r="S17" i="2"/>
  <c r="S26" i="2" s="1"/>
  <c r="S25" i="2"/>
  <c r="U7" i="2"/>
  <c r="U11" i="2" s="1"/>
  <c r="U13" i="2" s="1"/>
  <c r="U234" i="1"/>
  <c r="U13" i="4" s="1"/>
  <c r="S42" i="3"/>
  <c r="S43" i="3" s="1"/>
  <c r="S57" i="3" s="1"/>
  <c r="S8" i="4"/>
  <c r="S25" i="4" s="1"/>
  <c r="T55" i="3"/>
  <c r="T13" i="4"/>
  <c r="V6" i="2"/>
  <c r="V235" i="1"/>
  <c r="V51" i="3" s="1"/>
  <c r="V55" i="3" s="1"/>
  <c r="R25" i="4"/>
  <c r="V13" i="3"/>
  <c r="AJ178" i="1"/>
  <c r="AJ180" i="1" s="1"/>
  <c r="V181" i="1"/>
  <c r="V15" i="3" s="1"/>
  <c r="V28" i="3" s="1"/>
  <c r="AG30" i="1"/>
  <c r="AG26" i="1" s="1"/>
  <c r="AG54" i="1"/>
  <c r="AG56" i="1"/>
  <c r="AG213" i="1" s="1"/>
  <c r="AG211" i="1" s="1"/>
  <c r="Z42" i="1"/>
  <c r="AH42" i="1" s="1"/>
  <c r="AH27" i="1" s="1"/>
  <c r="Z29" i="1"/>
  <c r="Z26" i="1" s="1"/>
  <c r="U14" i="2"/>
  <c r="AA19" i="1"/>
  <c r="AA84" i="1" s="1"/>
  <c r="AA216" i="1" s="1"/>
  <c r="AA215" i="1" s="1"/>
  <c r="AA9" i="2" s="1"/>
  <c r="T14" i="2"/>
  <c r="T15" i="2" s="1"/>
  <c r="T25" i="2" s="1"/>
  <c r="Z54" i="1"/>
  <c r="AG42" i="1"/>
  <c r="AG27" i="1" s="1"/>
  <c r="AH19" i="1"/>
  <c r="AH84" i="1" s="1"/>
  <c r="AH216" i="1" s="1"/>
  <c r="AH215" i="1" s="1"/>
  <c r="AH9" i="2" s="1"/>
  <c r="Y48" i="1"/>
  <c r="Z56" i="1"/>
  <c r="Z213" i="1" s="1"/>
  <c r="Z211" i="1" s="1"/>
  <c r="Z8" i="2" s="1"/>
  <c r="V230" i="1"/>
  <c r="V33" i="3" s="1"/>
  <c r="I128" i="1"/>
  <c r="M128" i="1"/>
  <c r="N128" i="1"/>
  <c r="J128" i="1"/>
  <c r="K128" i="1"/>
  <c r="L128" i="1"/>
  <c r="AA97" i="1"/>
  <c r="Y97" i="1"/>
  <c r="Z97" i="1"/>
  <c r="Y25" i="1"/>
  <c r="M110" i="1"/>
  <c r="N108" i="1" s="1"/>
  <c r="V229" i="1"/>
  <c r="V32" i="3" s="1"/>
  <c r="V5" i="2"/>
  <c r="AG8" i="2" l="1"/>
  <c r="G2" i="7"/>
  <c r="C11" i="7" s="1"/>
  <c r="C13" i="7" s="1"/>
  <c r="C17" i="7" s="1"/>
  <c r="V7" i="2"/>
  <c r="V11" i="2" s="1"/>
  <c r="V13" i="2" s="1"/>
  <c r="V14" i="2" s="1"/>
  <c r="V15" i="2" s="1"/>
  <c r="D17" i="5"/>
  <c r="D18" i="5" s="1"/>
  <c r="D19" i="5" s="1"/>
  <c r="D22" i="5" s="1"/>
  <c r="D26" i="5"/>
  <c r="D29" i="5" s="1"/>
  <c r="V234" i="1"/>
  <c r="V13" i="4" s="1"/>
  <c r="Y230" i="1"/>
  <c r="AG230" i="1" s="1"/>
  <c r="AG33" i="3" s="1"/>
  <c r="AG11" i="4" s="1"/>
  <c r="Y235" i="1"/>
  <c r="Y51" i="3" s="1"/>
  <c r="V18" i="4"/>
  <c r="G28" i="5" s="1"/>
  <c r="V12" i="4"/>
  <c r="U15" i="2"/>
  <c r="V11" i="4"/>
  <c r="AG25" i="1"/>
  <c r="AG229" i="1" s="1"/>
  <c r="AG32" i="3" s="1"/>
  <c r="AG12" i="4" s="1"/>
  <c r="AG48" i="1"/>
  <c r="E11" i="7" s="1"/>
  <c r="AG97" i="1"/>
  <c r="AG179" i="1" s="1"/>
  <c r="Y179" i="1"/>
  <c r="Y5" i="2"/>
  <c r="C11" i="6" s="1"/>
  <c r="Y229" i="1"/>
  <c r="Y32" i="3" s="1"/>
  <c r="AH97" i="1"/>
  <c r="AH179" i="1" s="1"/>
  <c r="Z179" i="1"/>
  <c r="AJ14" i="3"/>
  <c r="AJ181" i="1"/>
  <c r="AJ15" i="3" s="1"/>
  <c r="AJ28" i="3" s="1"/>
  <c r="AK18" i="4" s="1"/>
  <c r="V28" i="5" s="1"/>
  <c r="AI97" i="1"/>
  <c r="AI179" i="1" s="1"/>
  <c r="AA179" i="1"/>
  <c r="AB19" i="1"/>
  <c r="AJ19" i="1" s="1"/>
  <c r="AH29" i="1"/>
  <c r="AA54" i="1"/>
  <c r="AA29" i="1"/>
  <c r="AA26" i="1" s="1"/>
  <c r="AI19" i="1"/>
  <c r="AI54" i="1" s="1"/>
  <c r="AA42" i="1"/>
  <c r="AI42" i="1" s="1"/>
  <c r="AI27" i="1" s="1"/>
  <c r="AH30" i="1"/>
  <c r="AA56" i="1"/>
  <c r="AA213" i="1" s="1"/>
  <c r="AA211" i="1" s="1"/>
  <c r="AA8" i="2" s="1"/>
  <c r="Z27" i="1"/>
  <c r="Z25" i="1" s="1"/>
  <c r="AH54" i="1"/>
  <c r="T17" i="2"/>
  <c r="T8" i="4"/>
  <c r="Y6" i="2"/>
  <c r="AH56" i="1"/>
  <c r="AH213" i="1" s="1"/>
  <c r="AH211" i="1" s="1"/>
  <c r="AH8" i="2" s="1"/>
  <c r="Z48" i="1"/>
  <c r="Z235" i="1" s="1"/>
  <c r="Z51" i="3" s="1"/>
  <c r="I129" i="1"/>
  <c r="AB42" i="1"/>
  <c r="AB27" i="1" s="1"/>
  <c r="N109" i="1"/>
  <c r="V8" i="4" l="1"/>
  <c r="G26" i="5" s="1"/>
  <c r="G29" i="5" s="1"/>
  <c r="V25" i="2"/>
  <c r="U8" i="4"/>
  <c r="F26" i="5" s="1"/>
  <c r="F29" i="5" s="1"/>
  <c r="U25" i="2"/>
  <c r="T42" i="3"/>
  <c r="T43" i="3" s="1"/>
  <c r="E17" i="5" s="1"/>
  <c r="E18" i="5" s="1"/>
  <c r="T26" i="2"/>
  <c r="Y33" i="3"/>
  <c r="Y11" i="4" s="1"/>
  <c r="E13" i="7"/>
  <c r="E12" i="7"/>
  <c r="D20" i="5"/>
  <c r="D23" i="5" s="1"/>
  <c r="D24" i="5" s="1"/>
  <c r="D30" i="5" s="1"/>
  <c r="AG5" i="2"/>
  <c r="G11" i="6" s="1"/>
  <c r="U17" i="2"/>
  <c r="AG6" i="2"/>
  <c r="AG235" i="1"/>
  <c r="AG51" i="3" s="1"/>
  <c r="Z13" i="4"/>
  <c r="Z55" i="3"/>
  <c r="AB84" i="1"/>
  <c r="AB216" i="1" s="1"/>
  <c r="AB215" i="1" s="1"/>
  <c r="AB9" i="2" s="1"/>
  <c r="Y13" i="4"/>
  <c r="Y55" i="3"/>
  <c r="V16" i="2"/>
  <c r="V23" i="4" s="1"/>
  <c r="Y12" i="4"/>
  <c r="E26" i="5"/>
  <c r="E29" i="5" s="1"/>
  <c r="T25" i="4"/>
  <c r="AB54" i="1"/>
  <c r="AH26" i="1"/>
  <c r="AH25" i="1" s="1"/>
  <c r="AH5" i="2" s="1"/>
  <c r="AC19" i="1"/>
  <c r="AK19" i="1" s="1"/>
  <c r="AK30" i="1" s="1"/>
  <c r="Y7" i="2"/>
  <c r="Y11" i="2" s="1"/>
  <c r="Y13" i="2" s="1"/>
  <c r="Z5" i="2"/>
  <c r="Z229" i="1"/>
  <c r="Z32" i="3" s="1"/>
  <c r="AA181" i="1"/>
  <c r="AA15" i="3" s="1"/>
  <c r="AA28" i="3" s="1"/>
  <c r="AB18" i="4" s="1"/>
  <c r="M28" i="5" s="1"/>
  <c r="AB178" i="1"/>
  <c r="AA13" i="3"/>
  <c r="AI13" i="3"/>
  <c r="AI181" i="1"/>
  <c r="AI15" i="3" s="1"/>
  <c r="AI28" i="3" s="1"/>
  <c r="AJ18" i="4" s="1"/>
  <c r="U28" i="5" s="1"/>
  <c r="Y13" i="3"/>
  <c r="Y181" i="1"/>
  <c r="Y15" i="3" s="1"/>
  <c r="Y28" i="3" s="1"/>
  <c r="AG181" i="1"/>
  <c r="AG15" i="3" s="1"/>
  <c r="AG28" i="3" s="1"/>
  <c r="AG13" i="3"/>
  <c r="Z13" i="3"/>
  <c r="Z181" i="1"/>
  <c r="Z15" i="3" s="1"/>
  <c r="Z28" i="3" s="1"/>
  <c r="AA18" i="4" s="1"/>
  <c r="L28" i="5" s="1"/>
  <c r="AH13" i="3"/>
  <c r="AH181" i="1"/>
  <c r="AH15" i="3" s="1"/>
  <c r="AH28" i="3" s="1"/>
  <c r="AI18" i="4" s="1"/>
  <c r="T28" i="5" s="1"/>
  <c r="AB29" i="1"/>
  <c r="AB26" i="1" s="1"/>
  <c r="AB25" i="1" s="1"/>
  <c r="AI29" i="1"/>
  <c r="AI30" i="1"/>
  <c r="AA27" i="1"/>
  <c r="AA25" i="1" s="1"/>
  <c r="AI56" i="1"/>
  <c r="AI213" i="1" s="1"/>
  <c r="AI211" i="1" s="1"/>
  <c r="AI8" i="2" s="1"/>
  <c r="AI84" i="1"/>
  <c r="AI216" i="1" s="1"/>
  <c r="AI215" i="1" s="1"/>
  <c r="AI9" i="2" s="1"/>
  <c r="AA48" i="1"/>
  <c r="AB56" i="1"/>
  <c r="AB213" i="1" s="1"/>
  <c r="AB211" i="1" s="1"/>
  <c r="AB8" i="2" s="1"/>
  <c r="AH48" i="1"/>
  <c r="F11" i="7" s="1"/>
  <c r="Z230" i="1"/>
  <c r="Z6" i="2"/>
  <c r="AJ30" i="1"/>
  <c r="AJ84" i="1"/>
  <c r="AJ216" i="1" s="1"/>
  <c r="AJ215" i="1" s="1"/>
  <c r="AJ9" i="2" s="1"/>
  <c r="AJ42" i="1"/>
  <c r="AJ27" i="1" s="1"/>
  <c r="J127" i="1"/>
  <c r="AC42" i="1"/>
  <c r="AC27" i="1" s="1"/>
  <c r="AJ54" i="1"/>
  <c r="N110" i="1"/>
  <c r="T57" i="3" l="1"/>
  <c r="V25" i="4"/>
  <c r="U25" i="4"/>
  <c r="U42" i="3"/>
  <c r="U43" i="3" s="1"/>
  <c r="U26" i="2"/>
  <c r="F12" i="7"/>
  <c r="F13" i="7"/>
  <c r="AG7" i="2"/>
  <c r="AG11" i="2" s="1"/>
  <c r="AG13" i="2" s="1"/>
  <c r="AG14" i="2" s="1"/>
  <c r="AG15" i="2" s="1"/>
  <c r="W29" i="2" s="1"/>
  <c r="AA6" i="2"/>
  <c r="AA235" i="1"/>
  <c r="AA51" i="3" s="1"/>
  <c r="AH229" i="1"/>
  <c r="AH32" i="3" s="1"/>
  <c r="AH12" i="4" s="1"/>
  <c r="AG13" i="4"/>
  <c r="AG55" i="3"/>
  <c r="AH6" i="2"/>
  <c r="AH7" i="2" s="1"/>
  <c r="AH11" i="2" s="1"/>
  <c r="AH13" i="2" s="1"/>
  <c r="AH235" i="1"/>
  <c r="AH51" i="3" s="1"/>
  <c r="Y14" i="2"/>
  <c r="Y15" i="2" s="1"/>
  <c r="W25" i="2" s="1"/>
  <c r="Z12" i="4"/>
  <c r="Z18" i="4"/>
  <c r="K28" i="5" s="1"/>
  <c r="Y18" i="4"/>
  <c r="J28" i="5" s="1"/>
  <c r="AH18" i="4"/>
  <c r="S28" i="5" s="1"/>
  <c r="AG18" i="4"/>
  <c r="R28" i="5" s="1"/>
  <c r="E20" i="5"/>
  <c r="E23" i="5" s="1"/>
  <c r="E19" i="5"/>
  <c r="E22" i="5" s="1"/>
  <c r="Z7" i="2"/>
  <c r="Z11" i="2" s="1"/>
  <c r="Z13" i="2" s="1"/>
  <c r="AJ56" i="1"/>
  <c r="AJ213" i="1" s="1"/>
  <c r="AJ211" i="1" s="1"/>
  <c r="AJ8" i="2" s="1"/>
  <c r="AJ29" i="1"/>
  <c r="AJ26" i="1" s="1"/>
  <c r="AJ25" i="1" s="1"/>
  <c r="AC84" i="1"/>
  <c r="AC216" i="1" s="1"/>
  <c r="AC215" i="1" s="1"/>
  <c r="AC9" i="2" s="1"/>
  <c r="AC54" i="1"/>
  <c r="AC29" i="1"/>
  <c r="AC26" i="1" s="1"/>
  <c r="AC25" i="1" s="1"/>
  <c r="AA5" i="2"/>
  <c r="AA229" i="1"/>
  <c r="AA32" i="3" s="1"/>
  <c r="AB5" i="2"/>
  <c r="AB229" i="1"/>
  <c r="AB32" i="3" s="1"/>
  <c r="AH230" i="1"/>
  <c r="AH33" i="3" s="1"/>
  <c r="Z33" i="3"/>
  <c r="AI48" i="1"/>
  <c r="G11" i="7" s="1"/>
  <c r="AI26" i="1"/>
  <c r="AI25" i="1" s="1"/>
  <c r="AA230" i="1"/>
  <c r="AC56" i="1"/>
  <c r="AB48" i="1"/>
  <c r="AK54" i="1"/>
  <c r="AK84" i="1"/>
  <c r="AK216" i="1" s="1"/>
  <c r="AK215" i="1" s="1"/>
  <c r="AK9" i="2" s="1"/>
  <c r="J129" i="1"/>
  <c r="AK42" i="1"/>
  <c r="AK27" i="1" s="1"/>
  <c r="V17" i="2"/>
  <c r="O108" i="1"/>
  <c r="V42" i="3" l="1"/>
  <c r="V43" i="3" s="1"/>
  <c r="V26" i="2"/>
  <c r="G12" i="7"/>
  <c r="G13" i="7"/>
  <c r="G12" i="6"/>
  <c r="E26" i="7"/>
  <c r="AA7" i="2"/>
  <c r="AA11" i="2" s="1"/>
  <c r="AA13" i="2" s="1"/>
  <c r="AA14" i="2" s="1"/>
  <c r="AA15" i="2" s="1"/>
  <c r="Y8" i="4"/>
  <c r="J26" i="5" s="1"/>
  <c r="J29" i="5" s="1"/>
  <c r="C12" i="6"/>
  <c r="AH13" i="4"/>
  <c r="AH55" i="3"/>
  <c r="AB230" i="1"/>
  <c r="AJ230" i="1" s="1"/>
  <c r="AJ33" i="3" s="1"/>
  <c r="AB235" i="1"/>
  <c r="AB51" i="3" s="1"/>
  <c r="AB12" i="4"/>
  <c r="AA13" i="4"/>
  <c r="AA55" i="3"/>
  <c r="AI6" i="2"/>
  <c r="AI235" i="1"/>
  <c r="AI51" i="3" s="1"/>
  <c r="U57" i="3"/>
  <c r="F17" i="5"/>
  <c r="F18" i="5" s="1"/>
  <c r="Z14" i="2"/>
  <c r="Z15" i="2" s="1"/>
  <c r="X25" i="2" s="1"/>
  <c r="Z11" i="4"/>
  <c r="AH11" i="4"/>
  <c r="AA12" i="4"/>
  <c r="AG8" i="4"/>
  <c r="AG16" i="2"/>
  <c r="AH14" i="2"/>
  <c r="AH15" i="2" s="1"/>
  <c r="X29" i="2" s="1"/>
  <c r="Y16" i="2"/>
  <c r="E24" i="5"/>
  <c r="E30" i="5" s="1"/>
  <c r="AK29" i="1"/>
  <c r="AK26" i="1" s="1"/>
  <c r="AK25" i="1" s="1"/>
  <c r="AJ48" i="1"/>
  <c r="H11" i="7" s="1"/>
  <c r="AC48" i="1"/>
  <c r="AJ5" i="2"/>
  <c r="AJ229" i="1"/>
  <c r="AJ32" i="3" s="1"/>
  <c r="AI5" i="2"/>
  <c r="AI229" i="1"/>
  <c r="AI32" i="3" s="1"/>
  <c r="AC5" i="2"/>
  <c r="AC229" i="1"/>
  <c r="AC32" i="3" s="1"/>
  <c r="AC12" i="4" s="1"/>
  <c r="AI230" i="1"/>
  <c r="AI33" i="3" s="1"/>
  <c r="AA33" i="3"/>
  <c r="AA11" i="4" s="1"/>
  <c r="AK56" i="1"/>
  <c r="AK213" i="1" s="1"/>
  <c r="AK211" i="1" s="1"/>
  <c r="AK8" i="2" s="1"/>
  <c r="AC213" i="1"/>
  <c r="AC211" i="1" s="1"/>
  <c r="AC8" i="2" s="1"/>
  <c r="AB6" i="2"/>
  <c r="AB7" i="2" s="1"/>
  <c r="AB11" i="2" s="1"/>
  <c r="AB13" i="2" s="1"/>
  <c r="K127" i="1"/>
  <c r="O109" i="1"/>
  <c r="AA8" i="4" l="1"/>
  <c r="L26" i="5" s="1"/>
  <c r="L29" i="5" s="1"/>
  <c r="Y25" i="2"/>
  <c r="AH8" i="4"/>
  <c r="F26" i="7"/>
  <c r="H13" i="7"/>
  <c r="H12" i="7"/>
  <c r="AB33" i="3"/>
  <c r="AB11" i="4" s="1"/>
  <c r="Z8" i="4"/>
  <c r="K26" i="5" s="1"/>
  <c r="K29" i="5" s="1"/>
  <c r="Z16" i="2"/>
  <c r="Z23" i="4" s="1"/>
  <c r="AJ11" i="4"/>
  <c r="AC6" i="2"/>
  <c r="AC7" i="2" s="1"/>
  <c r="AC11" i="2" s="1"/>
  <c r="AC13" i="2" s="1"/>
  <c r="AC235" i="1"/>
  <c r="AC51" i="3" s="1"/>
  <c r="AJ6" i="2"/>
  <c r="AJ7" i="2" s="1"/>
  <c r="AJ11" i="2" s="1"/>
  <c r="AJ13" i="2" s="1"/>
  <c r="AJ235" i="1"/>
  <c r="AJ51" i="3" s="1"/>
  <c r="AB13" i="4"/>
  <c r="AB55" i="3"/>
  <c r="AI7" i="2"/>
  <c r="AI11" i="2" s="1"/>
  <c r="AI13" i="2" s="1"/>
  <c r="AI14" i="2" s="1"/>
  <c r="AI13" i="4"/>
  <c r="AI55" i="3"/>
  <c r="AB14" i="2"/>
  <c r="AB15" i="2" s="1"/>
  <c r="V57" i="3"/>
  <c r="G17" i="5"/>
  <c r="R26" i="5"/>
  <c r="R29" i="5" s="1"/>
  <c r="AJ12" i="4"/>
  <c r="AI12" i="4"/>
  <c r="F20" i="5"/>
  <c r="F23" i="5" s="1"/>
  <c r="F19" i="5"/>
  <c r="F22" i="5" s="1"/>
  <c r="Y17" i="2"/>
  <c r="Y23" i="4"/>
  <c r="Y25" i="4" s="1"/>
  <c r="AG17" i="2"/>
  <c r="AG23" i="4"/>
  <c r="AG25" i="4" s="1"/>
  <c r="S26" i="5"/>
  <c r="S29" i="5" s="1"/>
  <c r="AH16" i="2"/>
  <c r="AI11" i="4"/>
  <c r="AA16" i="2"/>
  <c r="AC230" i="1"/>
  <c r="AK230" i="1" s="1"/>
  <c r="AK33" i="3" s="1"/>
  <c r="AK11" i="4" s="1"/>
  <c r="AK5" i="2"/>
  <c r="AK229" i="1"/>
  <c r="AK32" i="3" s="1"/>
  <c r="AK12" i="4" s="1"/>
  <c r="AK48" i="1"/>
  <c r="K129" i="1"/>
  <c r="O110" i="1"/>
  <c r="AG42" i="3" l="1"/>
  <c r="AG43" i="3" s="1"/>
  <c r="W30" i="2"/>
  <c r="Y42" i="3"/>
  <c r="Y43" i="3" s="1"/>
  <c r="J17" i="5" s="1"/>
  <c r="W26" i="2"/>
  <c r="AB8" i="4"/>
  <c r="M26" i="5" s="1"/>
  <c r="M29" i="5" s="1"/>
  <c r="Z25" i="2"/>
  <c r="Z17" i="2"/>
  <c r="Z25" i="4"/>
  <c r="F24" i="5"/>
  <c r="F30" i="5" s="1"/>
  <c r="AJ13" i="4"/>
  <c r="AJ55" i="3"/>
  <c r="AC13" i="4"/>
  <c r="AC55" i="3"/>
  <c r="AK6" i="2"/>
  <c r="AK7" i="2" s="1"/>
  <c r="AK11" i="2" s="1"/>
  <c r="AK13" i="2" s="1"/>
  <c r="AK235" i="1"/>
  <c r="AK51" i="3" s="1"/>
  <c r="AC14" i="2"/>
  <c r="AC15" i="2" s="1"/>
  <c r="AA17" i="2"/>
  <c r="Y26" i="2" s="1"/>
  <c r="AA23" i="4"/>
  <c r="AA25" i="4" s="1"/>
  <c r="AH17" i="2"/>
  <c r="AH23" i="4"/>
  <c r="AH25" i="4" s="1"/>
  <c r="G18" i="5"/>
  <c r="G19" i="5" s="1"/>
  <c r="G22" i="5" s="1"/>
  <c r="AJ14" i="2"/>
  <c r="AJ15" i="2" s="1"/>
  <c r="Z29" i="2" s="1"/>
  <c r="Y57" i="3"/>
  <c r="AI15" i="2"/>
  <c r="Y29" i="2" s="1"/>
  <c r="AB16" i="2"/>
  <c r="AC33" i="3"/>
  <c r="AC11" i="4" s="1"/>
  <c r="L127" i="1"/>
  <c r="P108" i="1"/>
  <c r="AC8" i="4" l="1"/>
  <c r="N26" i="5" s="1"/>
  <c r="N29" i="5" s="1"/>
  <c r="AA25" i="2"/>
  <c r="Z42" i="3"/>
  <c r="Z43" i="3" s="1"/>
  <c r="K17" i="5" s="1"/>
  <c r="X26" i="2"/>
  <c r="AH42" i="3"/>
  <c r="AH43" i="3" s="1"/>
  <c r="X30" i="2"/>
  <c r="AJ8" i="4"/>
  <c r="U26" i="5" s="1"/>
  <c r="U29" i="5" s="1"/>
  <c r="H26" i="7"/>
  <c r="AI8" i="4"/>
  <c r="T26" i="5" s="1"/>
  <c r="T29" i="5" s="1"/>
  <c r="G26" i="7"/>
  <c r="AK13" i="4"/>
  <c r="AK55" i="3"/>
  <c r="AB17" i="2"/>
  <c r="Z26" i="2" s="1"/>
  <c r="AB23" i="4"/>
  <c r="AB25" i="4" s="1"/>
  <c r="AJ16" i="2"/>
  <c r="AK14" i="2"/>
  <c r="AK15" i="2" s="1"/>
  <c r="G20" i="5"/>
  <c r="G23" i="5" s="1"/>
  <c r="G24" i="5" s="1"/>
  <c r="G30" i="5" s="1"/>
  <c r="AI16" i="2"/>
  <c r="AC16" i="2"/>
  <c r="J18" i="5"/>
  <c r="J19" i="5" s="1"/>
  <c r="J22" i="5" s="1"/>
  <c r="AG57" i="3"/>
  <c r="R17" i="5"/>
  <c r="R18" i="5" s="1"/>
  <c r="L129" i="1"/>
  <c r="P109" i="1"/>
  <c r="AA42" i="3" l="1"/>
  <c r="AA43" i="3" s="1"/>
  <c r="L17" i="5" s="1"/>
  <c r="Z57" i="3"/>
  <c r="AK8" i="4"/>
  <c r="V26" i="5" s="1"/>
  <c r="V29" i="5" s="1"/>
  <c r="AA29" i="2"/>
  <c r="J20" i="5"/>
  <c r="J23" i="5" s="1"/>
  <c r="J24" i="5" s="1"/>
  <c r="J30" i="5" s="1"/>
  <c r="AI17" i="2"/>
  <c r="AI23" i="4"/>
  <c r="AI25" i="4" s="1"/>
  <c r="K18" i="5"/>
  <c r="K19" i="5" s="1"/>
  <c r="K22" i="5" s="1"/>
  <c r="R20" i="5"/>
  <c r="R23" i="5" s="1"/>
  <c r="R19" i="5"/>
  <c r="R22" i="5" s="1"/>
  <c r="AC17" i="2"/>
  <c r="AA26" i="2" s="1"/>
  <c r="AC23" i="4"/>
  <c r="AC25" i="4" s="1"/>
  <c r="AJ17" i="2"/>
  <c r="Z30" i="2" s="1"/>
  <c r="AJ23" i="4"/>
  <c r="AJ25" i="4" s="1"/>
  <c r="AK16" i="2"/>
  <c r="AH57" i="3"/>
  <c r="S17" i="5"/>
  <c r="S18" i="5" s="1"/>
  <c r="M127" i="1"/>
  <c r="P110" i="1"/>
  <c r="AA57" i="3" l="1"/>
  <c r="AI42" i="3"/>
  <c r="AI43" i="3" s="1"/>
  <c r="Y30" i="2"/>
  <c r="AB42" i="3"/>
  <c r="AB43" i="3" s="1"/>
  <c r="M17" i="5" s="1"/>
  <c r="R24" i="5"/>
  <c r="R30" i="5" s="1"/>
  <c r="S20" i="5"/>
  <c r="S23" i="5" s="1"/>
  <c r="S19" i="5"/>
  <c r="S22" i="5" s="1"/>
  <c r="L18" i="5"/>
  <c r="L19" i="5" s="1"/>
  <c r="L22" i="5" s="1"/>
  <c r="AK17" i="2"/>
  <c r="AA30" i="2" s="1"/>
  <c r="AK23" i="4"/>
  <c r="AK25" i="4" s="1"/>
  <c r="K20" i="5"/>
  <c r="K23" i="5" s="1"/>
  <c r="K24" i="5" s="1"/>
  <c r="K30" i="5" s="1"/>
  <c r="M129" i="1"/>
  <c r="Q108" i="1"/>
  <c r="AB57" i="3" l="1"/>
  <c r="AJ42" i="3"/>
  <c r="AC42" i="3"/>
  <c r="AC43" i="3" s="1"/>
  <c r="AC57" i="3" s="1"/>
  <c r="M18" i="5"/>
  <c r="M19" i="5" s="1"/>
  <c r="M22" i="5" s="1"/>
  <c r="AK42" i="3"/>
  <c r="AK43" i="3" s="1"/>
  <c r="AJ43" i="3"/>
  <c r="AI57" i="3"/>
  <c r="T17" i="5"/>
  <c r="S24" i="5"/>
  <c r="S30" i="5" s="1"/>
  <c r="L20" i="5"/>
  <c r="L23" i="5" s="1"/>
  <c r="L24" i="5" s="1"/>
  <c r="L30" i="5" s="1"/>
  <c r="N127" i="1"/>
  <c r="N129" i="1" s="1"/>
  <c r="Q109" i="1"/>
  <c r="N17" i="5" l="1"/>
  <c r="N18" i="5" s="1"/>
  <c r="N19" i="5" s="1"/>
  <c r="N22" i="5" s="1"/>
  <c r="AJ57" i="3"/>
  <c r="U17" i="5"/>
  <c r="AK57" i="3"/>
  <c r="V17" i="5"/>
  <c r="V18" i="5" s="1"/>
  <c r="N20" i="5"/>
  <c r="N23" i="5" s="1"/>
  <c r="N24" i="5" s="1"/>
  <c r="T18" i="5"/>
  <c r="T19" i="5" s="1"/>
  <c r="T22" i="5" s="1"/>
  <c r="M20" i="5"/>
  <c r="M23" i="5" s="1"/>
  <c r="M24" i="5" s="1"/>
  <c r="M30" i="5" s="1"/>
  <c r="Q110" i="1"/>
  <c r="T20" i="5" l="1"/>
  <c r="T23" i="5" s="1"/>
  <c r="T24" i="5" s="1"/>
  <c r="T30" i="5" s="1"/>
  <c r="N30" i="5"/>
  <c r="C33" i="5" s="1"/>
  <c r="C34" i="5"/>
  <c r="U18" i="5"/>
  <c r="U19" i="5" s="1"/>
  <c r="U22" i="5" s="1"/>
  <c r="V20" i="5"/>
  <c r="V23" i="5" s="1"/>
  <c r="V19" i="5"/>
  <c r="V22" i="5" s="1"/>
  <c r="R108" i="1"/>
  <c r="V24" i="5" l="1"/>
  <c r="G34" i="5" s="1"/>
  <c r="U20" i="5"/>
  <c r="U23" i="5" s="1"/>
  <c r="U24" i="5" s="1"/>
  <c r="U30" i="5" s="1"/>
  <c r="C36" i="5"/>
  <c r="F67" i="6" s="1"/>
  <c r="R109" i="1"/>
  <c r="R110" i="1" s="1"/>
  <c r="S108" i="1" s="1"/>
  <c r="S109" i="1" s="1"/>
  <c r="S110" i="1" s="1"/>
  <c r="T108" i="1" s="1"/>
  <c r="T109" i="1" s="1"/>
  <c r="T110" i="1" s="1"/>
  <c r="U108" i="1" s="1"/>
  <c r="V30" i="5" l="1"/>
  <c r="G33" i="5" s="1"/>
  <c r="G36" i="5" s="1"/>
  <c r="U109" i="1"/>
  <c r="U110" i="1" s="1"/>
  <c r="V108" i="1" s="1"/>
  <c r="V109" i="1" s="1"/>
  <c r="V110" i="1" s="1"/>
  <c r="W108" i="1" s="1"/>
  <c r="G38" i="5" l="1"/>
  <c r="F68" i="6"/>
  <c r="W109" i="1"/>
  <c r="W110" i="1" s="1"/>
  <c r="X108" i="1" s="1"/>
  <c r="X109" i="1" s="1"/>
  <c r="X110" i="1" s="1"/>
  <c r="Y108" i="1" s="1"/>
  <c r="Y109" i="1" s="1"/>
  <c r="Y110" i="1" s="1"/>
  <c r="Z108" i="1" s="1"/>
  <c r="Z109" i="1" s="1"/>
  <c r="Z110" i="1" s="1"/>
  <c r="AA108" i="1" s="1"/>
  <c r="AA109" i="1" l="1"/>
  <c r="AA110" i="1" s="1"/>
  <c r="AB108" i="1" s="1"/>
  <c r="AB109" i="1" s="1"/>
  <c r="AB110" i="1" s="1"/>
  <c r="AC108" i="1" s="1"/>
  <c r="AC109" i="1" s="1"/>
  <c r="AC110" i="1" s="1"/>
  <c r="AD108" i="1" s="1"/>
  <c r="AD109" i="1" s="1"/>
  <c r="AD110" i="1" s="1"/>
  <c r="AE108" i="1" s="1"/>
  <c r="AE109" i="1" l="1"/>
  <c r="AE110" i="1" s="1"/>
  <c r="AF108" i="1" s="1"/>
  <c r="AF109" i="1" l="1"/>
  <c r="AF110" i="1" s="1"/>
  <c r="AG108" i="1" s="1"/>
  <c r="AG109" i="1" l="1"/>
  <c r="AG110" i="1" s="1"/>
  <c r="AH108" i="1" s="1"/>
  <c r="AH109" i="1" s="1"/>
  <c r="AH110" i="1" s="1"/>
  <c r="AI108" i="1" s="1"/>
  <c r="AI109" i="1" s="1"/>
  <c r="AI110" i="1" s="1"/>
  <c r="AJ108" i="1" s="1"/>
  <c r="AJ109" i="1" l="1"/>
  <c r="AJ110" i="1" s="1"/>
  <c r="AK108" i="1" s="1"/>
  <c r="AK109" i="1" s="1"/>
  <c r="AK110" i="1" s="1"/>
  <c r="AL108" i="1" s="1"/>
  <c r="AL109" i="1" s="1"/>
  <c r="AL110" i="1" s="1"/>
  <c r="AM108" i="1" s="1"/>
  <c r="AM109" i="1" l="1"/>
  <c r="AM110" i="1" s="1"/>
  <c r="AN108" i="1" s="1"/>
  <c r="AN109" i="1" s="1"/>
  <c r="AN110" i="1" s="1"/>
  <c r="AO108" i="1" s="1"/>
  <c r="AO109" i="1" l="1"/>
  <c r="AO110" i="1" s="1"/>
  <c r="AP108" i="1" s="1"/>
  <c r="AP109" i="1" l="1"/>
  <c r="AP110" i="1" s="1"/>
  <c r="AQ108" i="1" s="1"/>
  <c r="AQ109" i="1" s="1"/>
  <c r="AQ110" i="1" s="1"/>
  <c r="AR108" i="1" s="1"/>
  <c r="AR109" i="1" s="1"/>
  <c r="AR110" i="1" s="1"/>
  <c r="AS108" i="1" s="1"/>
  <c r="AS109" i="1" s="1"/>
  <c r="AS110" i="1" s="1"/>
  <c r="AT108" i="1" s="1"/>
  <c r="AT109" i="1" s="1"/>
  <c r="AT110" i="1" s="1"/>
  <c r="AU108" i="1" s="1"/>
  <c r="AU109" i="1" s="1"/>
  <c r="AU110" i="1" s="1"/>
  <c r="AV108" i="1" s="1"/>
  <c r="AV109" i="1" s="1"/>
  <c r="AV110" i="1" s="1"/>
  <c r="AW108" i="1" s="1"/>
  <c r="AW109" i="1" s="1"/>
  <c r="AW110" i="1" s="1"/>
  <c r="AX108" i="1" s="1"/>
  <c r="AX109" i="1" s="1"/>
  <c r="AX110" i="1" s="1"/>
  <c r="AY108" i="1" s="1"/>
  <c r="AY109" i="1" s="1"/>
  <c r="AY110" i="1" s="1"/>
  <c r="AZ108" i="1" s="1"/>
  <c r="AZ109" i="1" s="1"/>
  <c r="AZ110" i="1" s="1"/>
  <c r="BA108" i="1" s="1"/>
  <c r="BA109" i="1" s="1"/>
  <c r="BA110" i="1" s="1"/>
  <c r="BB108" i="1" s="1"/>
  <c r="BB109" i="1" s="1"/>
  <c r="BB110" i="1" s="1"/>
  <c r="BC108" i="1" s="1"/>
  <c r="BC109" i="1" s="1"/>
  <c r="BC110" i="1" s="1"/>
  <c r="BD108" i="1" s="1"/>
  <c r="BD109" i="1" l="1"/>
  <c r="BD110" i="1" s="1"/>
  <c r="BE108" i="1" s="1"/>
  <c r="BE109" i="1" s="1"/>
  <c r="BE110" i="1" s="1"/>
  <c r="BF108" i="1" s="1"/>
  <c r="BF109" i="1" s="1"/>
  <c r="BF110" i="1" s="1"/>
  <c r="BG108" i="1" s="1"/>
  <c r="BG109" i="1" s="1"/>
  <c r="BG110" i="1" s="1"/>
  <c r="BH108" i="1" s="1"/>
  <c r="BH109" i="1" s="1"/>
  <c r="BH110" i="1" s="1"/>
  <c r="BI108" i="1" s="1"/>
  <c r="BI109" i="1" s="1"/>
  <c r="BI110" i="1" s="1"/>
  <c r="BJ108" i="1" s="1"/>
  <c r="BJ109" i="1" s="1"/>
  <c r="BJ110" i="1" s="1"/>
  <c r="BK108" i="1" s="1"/>
  <c r="BK109" i="1" s="1"/>
  <c r="BK110" i="1" s="1"/>
  <c r="BL108" i="1" s="1"/>
  <c r="BL109" i="1" s="1"/>
  <c r="BL110" i="1" s="1"/>
  <c r="BM108" i="1" s="1"/>
  <c r="BM109" i="1" l="1"/>
  <c r="BM110" i="1" s="1"/>
  <c r="BN108" i="1" s="1"/>
  <c r="BN109" i="1" s="1"/>
  <c r="BN110" i="1" s="1"/>
  <c r="BO108" i="1" s="1"/>
  <c r="BO109" i="1" s="1"/>
  <c r="BO110" i="1" s="1"/>
  <c r="BP108" i="1" s="1"/>
  <c r="BP109" i="1" s="1"/>
  <c r="BP110" i="1" s="1"/>
  <c r="G31" i="3" l="1"/>
  <c r="G34" i="3" s="1"/>
  <c r="G36" i="3" s="1"/>
  <c r="H27" i="4"/>
  <c r="H28" i="4" s="1"/>
  <c r="I27" i="4" l="1"/>
  <c r="I28" i="4" s="1"/>
  <c r="H31" i="3"/>
  <c r="H34" i="3" s="1"/>
  <c r="H36" i="3" s="1"/>
  <c r="G59" i="3"/>
  <c r="J27" i="4" l="1"/>
  <c r="J28" i="4" s="1"/>
  <c r="I31" i="3"/>
  <c r="I34" i="3" s="1"/>
  <c r="I36" i="3" s="1"/>
  <c r="H59" i="3"/>
  <c r="K27" i="4" l="1"/>
  <c r="K28" i="4" s="1"/>
  <c r="J31" i="3"/>
  <c r="J34" i="3" s="1"/>
  <c r="J36" i="3" s="1"/>
  <c r="I59" i="3"/>
  <c r="L27" i="4" l="1"/>
  <c r="L28" i="4" s="1"/>
  <c r="K31" i="3"/>
  <c r="K34" i="3" s="1"/>
  <c r="K36" i="3" s="1"/>
  <c r="J59" i="3"/>
  <c r="M27" i="4" l="1"/>
  <c r="M28" i="4" s="1"/>
  <c r="L31" i="3"/>
  <c r="L34" i="3" s="1"/>
  <c r="L36" i="3" s="1"/>
  <c r="K59" i="3"/>
  <c r="N27" i="4" l="1"/>
  <c r="N28" i="4" s="1"/>
  <c r="M31" i="3"/>
  <c r="M34" i="3" s="1"/>
  <c r="M36" i="3" s="1"/>
  <c r="L59" i="3"/>
  <c r="O27" i="4" l="1"/>
  <c r="O28" i="4" s="1"/>
  <c r="N31" i="3"/>
  <c r="N34" i="3" s="1"/>
  <c r="N36" i="3" s="1"/>
  <c r="M59" i="3"/>
  <c r="P27" i="4" l="1"/>
  <c r="P28" i="4" s="1"/>
  <c r="O31" i="3"/>
  <c r="O34" i="3" s="1"/>
  <c r="O36" i="3" s="1"/>
  <c r="N59" i="3"/>
  <c r="Q27" i="4" l="1"/>
  <c r="Q28" i="4" s="1"/>
  <c r="P31" i="3"/>
  <c r="P34" i="3" s="1"/>
  <c r="P36" i="3" s="1"/>
  <c r="O59" i="3"/>
  <c r="R27" i="4" l="1"/>
  <c r="R28" i="4" s="1"/>
  <c r="Q31" i="3"/>
  <c r="Q34" i="3" s="1"/>
  <c r="Q36" i="3" s="1"/>
  <c r="P59" i="3"/>
  <c r="S27" i="4" l="1"/>
  <c r="S28" i="4" s="1"/>
  <c r="R31" i="3"/>
  <c r="R34" i="3" s="1"/>
  <c r="R36" i="3" s="1"/>
  <c r="Q59" i="3"/>
  <c r="T27" i="4" l="1"/>
  <c r="T28" i="4" s="1"/>
  <c r="S31" i="3"/>
  <c r="S34" i="3" s="1"/>
  <c r="S36" i="3" s="1"/>
  <c r="R59" i="3"/>
  <c r="U27" i="4" l="1"/>
  <c r="U28" i="4" s="1"/>
  <c r="T31" i="3"/>
  <c r="T34" i="3" s="1"/>
  <c r="T36" i="3" s="1"/>
  <c r="S59" i="3"/>
  <c r="V27" i="4" l="1"/>
  <c r="U31" i="3"/>
  <c r="U34" i="3" s="1"/>
  <c r="U36" i="3" s="1"/>
  <c r="T59" i="3"/>
  <c r="V28" i="4" l="1"/>
  <c r="AG27" i="4" s="1"/>
  <c r="U59" i="3"/>
  <c r="AG28" i="4" l="1"/>
  <c r="AH27" i="4" s="1"/>
  <c r="AH28" i="4" s="1"/>
  <c r="V31" i="3"/>
  <c r="V34" i="3" s="1"/>
  <c r="V36" i="3" s="1"/>
  <c r="V59" i="3" s="1"/>
  <c r="Y27" i="4"/>
  <c r="G13" i="6" l="1"/>
  <c r="AG31" i="3"/>
  <c r="AG34" i="3" s="1"/>
  <c r="AG36" i="3" s="1"/>
  <c r="Y28" i="4"/>
  <c r="Z27" i="4" s="1"/>
  <c r="AH31" i="3"/>
  <c r="AH34" i="3" s="1"/>
  <c r="AI27" i="4"/>
  <c r="AI28" i="4" s="1"/>
  <c r="Y31" i="3" l="1"/>
  <c r="Y34" i="3" s="1"/>
  <c r="Y36" i="3" s="1"/>
  <c r="Y59" i="3" s="1"/>
  <c r="C13" i="6"/>
  <c r="Z28" i="4"/>
  <c r="AA27" i="4" s="1"/>
  <c r="AA28" i="4" s="1"/>
  <c r="AB27" i="4" s="1"/>
  <c r="AG59" i="3"/>
  <c r="G14" i="6"/>
  <c r="AH36" i="3"/>
  <c r="AH59" i="3" s="1"/>
  <c r="AJ27" i="4"/>
  <c r="AJ28" i="4" s="1"/>
  <c r="AI31" i="3"/>
  <c r="AI34" i="3" s="1"/>
  <c r="C14" i="6" l="1"/>
  <c r="AA31" i="3"/>
  <c r="AA34" i="3" s="1"/>
  <c r="AA36" i="3" s="1"/>
  <c r="AA59" i="3" s="1"/>
  <c r="Z31" i="3"/>
  <c r="Z34" i="3" s="1"/>
  <c r="Z36" i="3" s="1"/>
  <c r="Z59" i="3" s="1"/>
  <c r="AB28" i="4"/>
  <c r="AC27" i="4" s="1"/>
  <c r="AC28" i="4" s="1"/>
  <c r="AK27" i="4"/>
  <c r="AJ31" i="3"/>
  <c r="AJ34" i="3" s="1"/>
  <c r="AI36" i="3"/>
  <c r="AI59" i="3" s="1"/>
  <c r="AB31" i="3" l="1"/>
  <c r="AB34" i="3" s="1"/>
  <c r="AB36" i="3" s="1"/>
  <c r="AB59" i="3" s="1"/>
  <c r="AK28" i="4"/>
  <c r="AK31" i="3" s="1"/>
  <c r="AK34" i="3" s="1"/>
  <c r="AK36" i="3" s="1"/>
  <c r="AK59" i="3" s="1"/>
  <c r="AJ36" i="3"/>
  <c r="AJ59" i="3" s="1"/>
  <c r="AC31" i="3"/>
  <c r="AC34" i="3" s="1"/>
  <c r="AC36" i="3" l="1"/>
  <c r="AC59" i="3" s="1"/>
</calcChain>
</file>

<file path=xl/sharedStrings.xml><?xml version="1.0" encoding="utf-8"?>
<sst xmlns="http://schemas.openxmlformats.org/spreadsheetml/2006/main" count="681" uniqueCount="363">
  <si>
    <t>Title</t>
  </si>
  <si>
    <t>Description</t>
  </si>
  <si>
    <t>Forecast basis</t>
  </si>
  <si>
    <t>Static Value</t>
  </si>
  <si>
    <t>Months</t>
  </si>
  <si>
    <t>Variable</t>
  </si>
  <si>
    <t>Years</t>
  </si>
  <si>
    <t>First 6m</t>
  </si>
  <si>
    <t>last 6m</t>
  </si>
  <si>
    <t>12m</t>
  </si>
  <si>
    <t>Inflation in Respective Year/no. of period</t>
  </si>
  <si>
    <t>Sales</t>
  </si>
  <si>
    <t>PxQ (Price per slot x No.of slots played)</t>
  </si>
  <si>
    <t>Price</t>
  </si>
  <si>
    <t>Competitive Pricing</t>
  </si>
  <si>
    <t>Quantity</t>
  </si>
  <si>
    <t>No.of slots available per day</t>
  </si>
  <si>
    <t>930-630 =&gt; 1 hour break</t>
  </si>
  <si>
    <t>% No. of slots played in a day</t>
  </si>
  <si>
    <t>Rent Expense</t>
  </si>
  <si>
    <t>electricity cost</t>
  </si>
  <si>
    <t xml:space="preserve">Gatekeeper cum record booker cum accessories keeper </t>
  </si>
  <si>
    <t xml:space="preserve">machine operator cum machine keeper </t>
  </si>
  <si>
    <t>monthly salary</t>
  </si>
  <si>
    <t>RBM</t>
  </si>
  <si>
    <t>Monthly</t>
  </si>
  <si>
    <t>Quarterly</t>
  </si>
  <si>
    <t>Indoor Bowling Machines in Nets at IBA for Cricket loving Batsmen.</t>
  </si>
  <si>
    <t>Revenue</t>
  </si>
  <si>
    <t>Expenses</t>
  </si>
  <si>
    <t>Assets</t>
  </si>
  <si>
    <t>Liabilities &amp; Equities</t>
  </si>
  <si>
    <t>operational plan</t>
  </si>
  <si>
    <t>marketing plan</t>
  </si>
  <si>
    <t>Fee charged for a slot (20 mins of Batting), Fee charged for Batting equipment (if used)</t>
  </si>
  <si>
    <t>Rent, Salaries, Depreciation, maintenance expense, Electricity, marketing</t>
  </si>
  <si>
    <t>FnF Funding, Angel Investors, savings</t>
  </si>
  <si>
    <t xml:space="preserve">22x4 area near Cricket ground, continous 20 min slots  with one hour rest for employees, walk-in booking, for both Male and female students, 6 days week (Monday-Saturday), 930 am to 630 pm (with one hour break), Inventory management
2 staff members, Maintenance schedules, </t>
  </si>
  <si>
    <t>Posters, brchures, WoM, OSA Email, Collab with IBA Sports Society</t>
  </si>
  <si>
    <t>Inflation</t>
  </si>
  <si>
    <t>on p.a basis</t>
  </si>
  <si>
    <t>inflation per period</t>
  </si>
  <si>
    <t>on per period basis</t>
  </si>
  <si>
    <t>inflation index</t>
  </si>
  <si>
    <t>Jan</t>
  </si>
  <si>
    <t>Feb</t>
  </si>
  <si>
    <t>Mar</t>
  </si>
  <si>
    <t>Apr</t>
  </si>
  <si>
    <t>May</t>
  </si>
  <si>
    <t>Jun</t>
  </si>
  <si>
    <t>Jul</t>
  </si>
  <si>
    <t>Aug</t>
  </si>
  <si>
    <t>Sep</t>
  </si>
  <si>
    <t>Oct</t>
  </si>
  <si>
    <t>Nov</t>
  </si>
  <si>
    <t>Dec</t>
  </si>
  <si>
    <t>Fee Charged for a slot</t>
  </si>
  <si>
    <t>Fee charged for batting equipment used</t>
  </si>
  <si>
    <t>No. of slots equipment used x charges for equipment per slot</t>
  </si>
  <si>
    <t>No. of Slots available per day *operational days* % of slots played in a day</t>
  </si>
  <si>
    <t>Pshycological approach based on survey (Surveyed audience includes Undergrad, grad, postgrads, phd students too.)</t>
  </si>
  <si>
    <t>Charged price per slot</t>
  </si>
  <si>
    <t xml:space="preserve">percentage of customer who are willing to use provided equipments </t>
  </si>
  <si>
    <t>Based on Survey</t>
  </si>
  <si>
    <t>No. of slots available per period</t>
  </si>
  <si>
    <t xml:space="preserve">No. of customer who are willing to use provided equipments </t>
  </si>
  <si>
    <t>Electricity cost per session</t>
  </si>
  <si>
    <t>Price per KW per minute * 20 minutes * no slots played</t>
  </si>
  <si>
    <t>Maintenance i.e cleaning per session</t>
  </si>
  <si>
    <t>Cost per session x No. of slots played</t>
  </si>
  <si>
    <t>For Equipments provided</t>
  </si>
  <si>
    <t>Price per Kwh</t>
  </si>
  <si>
    <t>As Per KE Tariff</t>
  </si>
  <si>
    <t>Bowling machine intake</t>
  </si>
  <si>
    <t>As per Description</t>
  </si>
  <si>
    <t>power consumption per hour</t>
  </si>
  <si>
    <t>power consumption per slot (in Kwh)</t>
  </si>
  <si>
    <t>KwH = Unit</t>
  </si>
  <si>
    <t>rate</t>
  </si>
  <si>
    <t>method</t>
  </si>
  <si>
    <t>Useful Life</t>
  </si>
  <si>
    <t>Salvage %</t>
  </si>
  <si>
    <t>Age</t>
  </si>
  <si>
    <t>Is Useful Life left</t>
  </si>
  <si>
    <t>period</t>
  </si>
  <si>
    <t>Cost</t>
  </si>
  <si>
    <t>opening bal</t>
  </si>
  <si>
    <t>Depr Exp</t>
  </si>
  <si>
    <t>Closing Bal</t>
  </si>
  <si>
    <t>For Slots Played</t>
  </si>
  <si>
    <t>Bowling machine, Nets Structure, Batting accessories</t>
  </si>
  <si>
    <t>SLM</t>
  </si>
  <si>
    <t>Salary per slot--only paid for slots played</t>
  </si>
  <si>
    <t>variable values=&gt;</t>
  </si>
  <si>
    <t>description</t>
  </si>
  <si>
    <t>forecast basis</t>
  </si>
  <si>
    <t>static values</t>
  </si>
  <si>
    <t>6m-first</t>
  </si>
  <si>
    <t>6m-second</t>
  </si>
  <si>
    <t xml:space="preserve">Title </t>
  </si>
  <si>
    <t>Tax</t>
  </si>
  <si>
    <t>As per Income tax ordinance,2001 ---&gt;Small company</t>
  </si>
  <si>
    <t>Net Profit</t>
  </si>
  <si>
    <t>Dividends</t>
  </si>
  <si>
    <t>Addition to Retained Earnings</t>
  </si>
  <si>
    <t>Depreciation</t>
  </si>
  <si>
    <t>Closing Balance</t>
  </si>
  <si>
    <t>Cash</t>
  </si>
  <si>
    <t>from CFS</t>
  </si>
  <si>
    <t>Inventory</t>
  </si>
  <si>
    <t>Angel Investors</t>
  </si>
  <si>
    <t>1% of sales is credit for month</t>
  </si>
  <si>
    <t>Inventory Turnover</t>
  </si>
  <si>
    <t>Current Asset</t>
  </si>
  <si>
    <t>Total Assets</t>
  </si>
  <si>
    <t>accounts</t>
  </si>
  <si>
    <t>salaries</t>
  </si>
  <si>
    <t>rent</t>
  </si>
  <si>
    <t>1 month</t>
  </si>
  <si>
    <t>1 month worth of CGS (CGS=VC)</t>
  </si>
  <si>
    <t>AFN</t>
  </si>
  <si>
    <t>Savings</t>
  </si>
  <si>
    <t>Payables</t>
  </si>
  <si>
    <t>FnF</t>
  </si>
  <si>
    <t>Owner's Equity</t>
  </si>
  <si>
    <t>Retained Earnings</t>
  </si>
  <si>
    <t>Total Liabilities &amp; Equities</t>
  </si>
  <si>
    <t>Grant from IBA Shark tank after winning competition</t>
  </si>
  <si>
    <t>CFO</t>
  </si>
  <si>
    <t>NI</t>
  </si>
  <si>
    <t>changes in NWC</t>
  </si>
  <si>
    <t>changes in inventory</t>
  </si>
  <si>
    <t>changes in AR</t>
  </si>
  <si>
    <t>CFI</t>
  </si>
  <si>
    <t>changes in PPE</t>
  </si>
  <si>
    <t>CFF</t>
  </si>
  <si>
    <t>changes in debt</t>
  </si>
  <si>
    <t>changes in equity</t>
  </si>
  <si>
    <t>dividends paid</t>
  </si>
  <si>
    <t>Net changes in CFS</t>
  </si>
  <si>
    <t>opening cash</t>
  </si>
  <si>
    <t>ending cash</t>
  </si>
  <si>
    <t>check</t>
  </si>
  <si>
    <t>Terminal Value</t>
  </si>
  <si>
    <t>Semi Annually</t>
  </si>
  <si>
    <t>Annually</t>
  </si>
  <si>
    <t>Cost of equity</t>
  </si>
  <si>
    <t>Batting Paradise</t>
  </si>
  <si>
    <t>Startup Model</t>
  </si>
  <si>
    <t>Available at https://www.statista.com/statistics/383760/inflation-rate-in-pakistan/ and Trading Economis Pakistan</t>
  </si>
  <si>
    <t>Total Revenue from all Revenue Streams</t>
  </si>
  <si>
    <t>Fee per slot + Charges for Accessories Use</t>
  </si>
  <si>
    <t>`</t>
  </si>
  <si>
    <t>Accumulated Depreciation</t>
  </si>
  <si>
    <t>Accounts Recievable</t>
  </si>
  <si>
    <t>Owners Equity</t>
  </si>
  <si>
    <t>Equity:</t>
  </si>
  <si>
    <t xml:space="preserve">Rent charged under CED </t>
  </si>
  <si>
    <t>Increase semianually</t>
  </si>
  <si>
    <t>Maintenance Cost per session</t>
  </si>
  <si>
    <t>Maintenance cost</t>
  </si>
  <si>
    <t>Practical Value</t>
  </si>
  <si>
    <t>Academic calendar on IBA website</t>
  </si>
  <si>
    <t>New Machine in 4th year</t>
  </si>
  <si>
    <t>No Expansion</t>
  </si>
  <si>
    <t>Expansion</t>
  </si>
  <si>
    <t>Key Indicator Sypnosis</t>
  </si>
  <si>
    <t>Year</t>
  </si>
  <si>
    <t>Net Sales</t>
  </si>
  <si>
    <t>Profit After Tax</t>
  </si>
  <si>
    <t xml:space="preserve">Cash </t>
  </si>
  <si>
    <t>Working Days at Johar Batting Paradise (Post Expansion)</t>
  </si>
  <si>
    <t>Operational days</t>
  </si>
  <si>
    <t>Price charged for 20 min slot in IBA</t>
  </si>
  <si>
    <t>Price charged for 20 min slot outside IBA</t>
  </si>
  <si>
    <t>Based on Survey outside IBA through Social Media</t>
  </si>
  <si>
    <t>20 min slot at IBA</t>
  </si>
  <si>
    <t>20 min slot at City</t>
  </si>
  <si>
    <t>In IBA</t>
  </si>
  <si>
    <t>Outside IBA</t>
  </si>
  <si>
    <t>Survey based</t>
  </si>
  <si>
    <t>Same Everywhere</t>
  </si>
  <si>
    <t>COGS</t>
  </si>
  <si>
    <t>consists of all the costs associated with providing the services offered by the company.</t>
  </si>
  <si>
    <t>No. Of Bowling Machines</t>
  </si>
  <si>
    <t>"+1"</t>
  </si>
  <si>
    <t>Salary Expense</t>
  </si>
  <si>
    <t>Total Number of Employees</t>
  </si>
  <si>
    <t>Operator</t>
  </si>
  <si>
    <t>Gatekeeper</t>
  </si>
  <si>
    <t>Manager</t>
  </si>
  <si>
    <t>Data Manager cum Social Media Manager</t>
  </si>
  <si>
    <t>Monthly Salary</t>
  </si>
  <si>
    <t>Oprator</t>
  </si>
  <si>
    <t>Salary Rate</t>
  </si>
  <si>
    <t>Salary Per Slot</t>
  </si>
  <si>
    <t>No. of Employees x rates</t>
  </si>
  <si>
    <t>Total Salaries Expense</t>
  </si>
  <si>
    <t>Asset Schedule</t>
  </si>
  <si>
    <t>Property, Plant and Equipment</t>
  </si>
  <si>
    <t>Batting Equipments</t>
  </si>
  <si>
    <t>Machine</t>
  </si>
  <si>
    <t>Net Structure</t>
  </si>
  <si>
    <t>Laptop</t>
  </si>
  <si>
    <t>Furniture &amp; Fittings</t>
  </si>
  <si>
    <t>Based On Usage, Until Life Ends</t>
  </si>
  <si>
    <t>Market Price</t>
  </si>
  <si>
    <t>Purchased from Johar Bazaar</t>
  </si>
  <si>
    <t>Purchased from Techno City</t>
  </si>
  <si>
    <t>Purchase Price (Cost)</t>
  </si>
  <si>
    <t>Bold Cell shows additions</t>
  </si>
  <si>
    <t>Depreciation Schedules</t>
  </si>
  <si>
    <t>Equipments</t>
  </si>
  <si>
    <t>New Machine in 8th year</t>
  </si>
  <si>
    <t>Opening balance</t>
  </si>
  <si>
    <t>Additions</t>
  </si>
  <si>
    <t>New Machine in 6th year (Post Expansion)</t>
  </si>
  <si>
    <t>Laptop (Post Exp)</t>
  </si>
  <si>
    <t>Furniture and fittings  (Post Exp)</t>
  </si>
  <si>
    <t>No dividends for first four year.
% Of Profit After Tax</t>
  </si>
  <si>
    <t xml:space="preserve">1 month salary </t>
  </si>
  <si>
    <t>Rent Charged by Landlord</t>
  </si>
  <si>
    <t>Increases Annually</t>
  </si>
  <si>
    <t>Total Rent</t>
  </si>
  <si>
    <t>Paid Up Capital</t>
  </si>
  <si>
    <t>PE Fund for 5 years (IF expansion)</t>
  </si>
  <si>
    <t>Cost Of Goods Sold</t>
  </si>
  <si>
    <t>Post Expansion</t>
  </si>
  <si>
    <t xml:space="preserve">Gross Profit </t>
  </si>
  <si>
    <t>Brochures, Social Media Ad Campaigns</t>
  </si>
  <si>
    <t>Increases by Inflation</t>
  </si>
  <si>
    <t>Administrative Expenses</t>
  </si>
  <si>
    <t>Salaries</t>
  </si>
  <si>
    <t>Electricity</t>
  </si>
  <si>
    <t>Distributive and Marketing Expenses</t>
  </si>
  <si>
    <t>Advertising Expense</t>
  </si>
  <si>
    <t>Other Expenses</t>
  </si>
  <si>
    <t>Rent</t>
  </si>
  <si>
    <t>Depreciation- Laptop</t>
  </si>
  <si>
    <t>Depreciation- Furnitures</t>
  </si>
  <si>
    <t>Distribution and Marketing Expenses Expense</t>
  </si>
  <si>
    <t>Gross Profit - Expenses</t>
  </si>
  <si>
    <t>Loan Acquisition Details - After Expansion</t>
  </si>
  <si>
    <t>Loan Type</t>
  </si>
  <si>
    <t>Loan Amount</t>
  </si>
  <si>
    <t>Annual Interest Rate: KIBOR + Spread</t>
  </si>
  <si>
    <t>Loan Tenure (Years)</t>
  </si>
  <si>
    <t>Frequency of Payments</t>
  </si>
  <si>
    <t>Periods in a Year</t>
  </si>
  <si>
    <t>Periods Paid</t>
  </si>
  <si>
    <t>Annuity</t>
  </si>
  <si>
    <t>Finance Schedule - Annuity</t>
  </si>
  <si>
    <t>Period Number</t>
  </si>
  <si>
    <t>Beginning Balance</t>
  </si>
  <si>
    <t>Interest Payment</t>
  </si>
  <si>
    <t>Principal Payment</t>
  </si>
  <si>
    <t>Total Payment</t>
  </si>
  <si>
    <t>Ending Balance</t>
  </si>
  <si>
    <t>Finance Costs</t>
  </si>
  <si>
    <t>Interest Expense from Loan</t>
  </si>
  <si>
    <t>Profit Before Tax</t>
  </si>
  <si>
    <t>8am-2am=&gt;1 hour Break</t>
  </si>
  <si>
    <t>Net Book Value</t>
  </si>
  <si>
    <t>Disposal</t>
  </si>
  <si>
    <t>Machines</t>
  </si>
  <si>
    <t>Furniture and Fittings</t>
  </si>
  <si>
    <t>NBV</t>
  </si>
  <si>
    <t>Non Current Assets</t>
  </si>
  <si>
    <t>Current Portion of Long Term Loan</t>
  </si>
  <si>
    <t>Long term Loan</t>
  </si>
  <si>
    <t>Non Current Liabilities</t>
  </si>
  <si>
    <t>Long Term Borrowing</t>
  </si>
  <si>
    <t>Equal principal Repayment for 7 years to repay 200000</t>
  </si>
  <si>
    <t>long Term Grants</t>
  </si>
  <si>
    <t>Current Liabilities</t>
  </si>
  <si>
    <t>Trade Payable</t>
  </si>
  <si>
    <t>Salaries Payable</t>
  </si>
  <si>
    <t>Rent Payable</t>
  </si>
  <si>
    <t>Current Portion of Long Term Borrowing</t>
  </si>
  <si>
    <t>Changes Salaries Payable</t>
  </si>
  <si>
    <t>Changes Rent Payable</t>
  </si>
  <si>
    <t>changes Trade Payable</t>
  </si>
  <si>
    <t>Factors</t>
  </si>
  <si>
    <t>Basis</t>
  </si>
  <si>
    <t>Risk Free Rate</t>
  </si>
  <si>
    <t>10 Year Government bond yeild</t>
  </si>
  <si>
    <t>Beta of Stock</t>
  </si>
  <si>
    <t>Market return</t>
  </si>
  <si>
    <t>KSE 100</t>
  </si>
  <si>
    <t>CAPM</t>
  </si>
  <si>
    <t>Cost of Debt</t>
  </si>
  <si>
    <t>Average of all debt</t>
  </si>
  <si>
    <t>Tax Rate</t>
  </si>
  <si>
    <t>Asumptions</t>
  </si>
  <si>
    <t>Sustainable Growth Rate</t>
  </si>
  <si>
    <t>GDP growth</t>
  </si>
  <si>
    <t>Rs(000)</t>
  </si>
  <si>
    <t>Period</t>
  </si>
  <si>
    <t>Debt</t>
  </si>
  <si>
    <t>Equity</t>
  </si>
  <si>
    <t>Debt+Equity</t>
  </si>
  <si>
    <t>Weight of Debt</t>
  </si>
  <si>
    <t>Weight of Equity</t>
  </si>
  <si>
    <t>wd(rd)(1-T)</t>
  </si>
  <si>
    <t>ws(rs)</t>
  </si>
  <si>
    <t>Weighted Average Cost Of Capital (WACC)</t>
  </si>
  <si>
    <t>Cashflow from Operations</t>
  </si>
  <si>
    <t>Add Interest (Tax Adjusted)</t>
  </si>
  <si>
    <t>Less Capex</t>
  </si>
  <si>
    <t>Free Cashflow to Firm</t>
  </si>
  <si>
    <t>Discounted Cashflows</t>
  </si>
  <si>
    <t>Net Present Value</t>
  </si>
  <si>
    <t>Value of Firm</t>
  </si>
  <si>
    <t>No. Of Shares</t>
  </si>
  <si>
    <t>Value per Share</t>
  </si>
  <si>
    <t>Decision</t>
  </si>
  <si>
    <t>If Not Expanded</t>
  </si>
  <si>
    <t>No of Shares</t>
  </si>
  <si>
    <t>No Shares Yet</t>
  </si>
  <si>
    <t>2026 Jan-Jun</t>
  </si>
  <si>
    <t>2026 jul-Dec</t>
  </si>
  <si>
    <t>Price in IBA</t>
  </si>
  <si>
    <t>Price in City</t>
  </si>
  <si>
    <t>Sales Assumption</t>
  </si>
  <si>
    <t>% of Slots played
in IBA</t>
  </si>
  <si>
    <t>% of Slots played
in City</t>
  </si>
  <si>
    <t>Operator Per Slot</t>
  </si>
  <si>
    <t>GateKeeper Monthly</t>
  </si>
  <si>
    <t>Manager Monthly</t>
  </si>
  <si>
    <t>Income Tax Rate</t>
  </si>
  <si>
    <t>Dividend Rate</t>
  </si>
  <si>
    <t>Profit Controls</t>
  </si>
  <si>
    <t>KIBOR Rate</t>
  </si>
  <si>
    <t>Spread</t>
  </si>
  <si>
    <t>Loan (Tenor)</t>
  </si>
  <si>
    <t>Loan Amount(000s)</t>
  </si>
  <si>
    <t>Only If Expansion</t>
  </si>
  <si>
    <t>Loan Controls</t>
  </si>
  <si>
    <t>Summary of 10 Year Model</t>
  </si>
  <si>
    <t>Funds to be Raised at Time of Expansion</t>
  </si>
  <si>
    <t>Financed By:</t>
  </si>
  <si>
    <t>Liability &amp; Funds</t>
  </si>
  <si>
    <t>Exit strategy</t>
  </si>
  <si>
    <t>Money out/in</t>
  </si>
  <si>
    <t>Less: Debt</t>
  </si>
  <si>
    <t>Available for Equity</t>
  </si>
  <si>
    <t>Available for Ordinary Shareholders</t>
  </si>
  <si>
    <t>Private Equity Firm</t>
  </si>
  <si>
    <t>Shares:</t>
  </si>
  <si>
    <t>Total Shares</t>
  </si>
  <si>
    <t>Return on Equity</t>
  </si>
  <si>
    <t>PE</t>
  </si>
  <si>
    <t>Return on Investment</t>
  </si>
  <si>
    <t>Private Equity Fund</t>
  </si>
  <si>
    <t>Financed By</t>
  </si>
  <si>
    <t>Value Of Firm</t>
  </si>
  <si>
    <t>Expand!</t>
  </si>
  <si>
    <t>Answer Please!</t>
  </si>
  <si>
    <t>PE Controls (Post Expansion)</t>
  </si>
  <si>
    <t>10year Beta</t>
  </si>
  <si>
    <t>We Should Go For Expansion to Remain with Positive Value of Firm in Upcoming Future</t>
  </si>
  <si>
    <t>New Feature of Expanded model of My Startup.</t>
  </si>
  <si>
    <t>Now Extended to 10 Years with More Assets, Liabilities, and Equities.Now we have opened another Branch Outside IBA University. We have diiferent Plans for this Branch which are reflected in This Model.
I have come up with two scenarios for extended 5 years; Whether to do Expansion(Going out of IBA too) or not Expanding (keeping Operations in IBA)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</si>
</sst>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0.0000%"/>
    <numFmt numFmtId="165" formatCode="_(* #,##0_);_(* \(#,##0\);_(* &quot;-&quot;??_);_(@_)"/>
    <numFmt numFmtId="166" formatCode="_-* #,##0.00_-;\-* #,##0.00_-;_-* &quot;-&quot;??_-;_-@_-"/>
    <numFmt numFmtId="167" formatCode="#,##0.000"/>
    <numFmt numFmtId="168" formatCode="0.000000"/>
    <numFmt numFmtId="169" formatCode="_(* #,##0.0_);_(* \(#,##0.0\);_(* &quot;-&quot;??_);_(@_)"/>
  </numFmts>
  <fonts count="34">
    <font>
      <sz val="11"/>
      <color theme="1"/>
      <name val="Aptos Narrow"/>
      <family val="2"/>
      <scheme val="minor"/>
    </font>
    <font>
      <sz val="11"/>
      <color theme="1"/>
      <name val="Aptos Narrow"/>
      <family val="2"/>
      <scheme val="minor"/>
    </font>
    <font>
      <b/>
      <sz val="11"/>
      <color theme="1"/>
      <name val="Arial Black"/>
      <family val="2"/>
    </font>
    <font>
      <sz val="8"/>
      <name val="Aptos Narrow"/>
      <family val="2"/>
      <scheme val="minor"/>
    </font>
    <font>
      <b/>
      <sz val="11"/>
      <color theme="1"/>
      <name val="Aptos Narrow"/>
      <family val="2"/>
      <scheme val="minor"/>
    </font>
    <font>
      <b/>
      <sz val="26"/>
      <color theme="1"/>
      <name val="Bahnschrift SemiBold"/>
      <family val="2"/>
    </font>
    <font>
      <b/>
      <sz val="14"/>
      <color theme="1"/>
      <name val="Aptos Narrow"/>
      <family val="2"/>
      <scheme val="minor"/>
    </font>
    <font>
      <b/>
      <u/>
      <sz val="11"/>
      <color theme="1"/>
      <name val="Aptos Narrow"/>
      <family val="2"/>
      <scheme val="minor"/>
    </font>
    <font>
      <u/>
      <sz val="11"/>
      <color theme="1"/>
      <name val="Aptos Narrow"/>
      <family val="2"/>
      <scheme val="minor"/>
    </font>
    <font>
      <b/>
      <sz val="20"/>
      <color theme="1"/>
      <name val="Aptos Narrow"/>
      <family val="2"/>
      <scheme val="minor"/>
    </font>
    <font>
      <sz val="11"/>
      <color rgb="FFFF0000"/>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b/>
      <sz val="11"/>
      <name val="Aptos Narrow"/>
      <family val="2"/>
      <scheme val="minor"/>
    </font>
    <font>
      <b/>
      <sz val="12"/>
      <color theme="1"/>
      <name val="Times New Roman"/>
      <family val="1"/>
    </font>
    <font>
      <sz val="12"/>
      <color theme="1"/>
      <name val="Times New Roman"/>
      <family val="1"/>
    </font>
    <font>
      <b/>
      <sz val="12"/>
      <color theme="1"/>
      <name val="Aptos Narrow"/>
      <family val="2"/>
      <scheme val="minor"/>
    </font>
    <font>
      <sz val="11"/>
      <color indexed="8"/>
      <name val="Calibri"/>
      <family val="2"/>
    </font>
    <font>
      <sz val="10"/>
      <color rgb="FF040C28"/>
      <name val="Arial"/>
      <family val="2"/>
    </font>
    <font>
      <sz val="11"/>
      <color rgb="FF000000"/>
      <name val="Calibri"/>
      <family val="2"/>
    </font>
    <font>
      <sz val="10"/>
      <color indexed="8"/>
      <name val="Arial"/>
      <family val="2"/>
    </font>
    <font>
      <b/>
      <sz val="18"/>
      <color theme="1"/>
      <name val="Aptos Narrow"/>
      <family val="2"/>
      <scheme val="minor"/>
    </font>
    <font>
      <i/>
      <sz val="10"/>
      <color rgb="FF595959"/>
      <name val="Arial"/>
      <family val="2"/>
    </font>
    <font>
      <b/>
      <u/>
      <sz val="16"/>
      <color theme="1"/>
      <name val="Aptos Narrow"/>
      <family val="2"/>
      <scheme val="minor"/>
    </font>
    <font>
      <b/>
      <sz val="16"/>
      <color theme="1"/>
      <name val="Aptos Narrow"/>
      <family val="2"/>
      <scheme val="minor"/>
    </font>
    <font>
      <b/>
      <sz val="18"/>
      <color theme="1"/>
      <name val="Algerian"/>
      <family val="5"/>
    </font>
    <font>
      <b/>
      <sz val="11"/>
      <color theme="9"/>
      <name val="Aptos Narrow"/>
      <family val="2"/>
      <scheme val="minor"/>
    </font>
    <font>
      <sz val="11"/>
      <color theme="1"/>
      <name val="Times New Roman"/>
      <family val="1"/>
    </font>
    <font>
      <b/>
      <sz val="11"/>
      <color theme="1"/>
      <name val="Times New Roman"/>
      <family val="1"/>
    </font>
    <font>
      <sz val="11"/>
      <color theme="1"/>
      <name val="Helvetica Neue"/>
      <family val="2"/>
    </font>
    <font>
      <b/>
      <sz val="11"/>
      <color theme="1"/>
      <name val="Helvetica Neue"/>
      <family val="2"/>
    </font>
    <font>
      <sz val="18"/>
      <color theme="1"/>
      <name val="Aptos Narrow"/>
      <family val="2"/>
      <scheme val="minor"/>
    </font>
    <font>
      <sz val="8"/>
      <color rgb="FF000000"/>
      <name val="Segoe UI"/>
      <family val="2"/>
    </font>
  </fonts>
  <fills count="12">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theme="6" tint="0.59999389629810485"/>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s>
  <cellStyleXfs count="9">
    <xf numFmtId="0" fontId="0" fillId="0" borderId="0"/>
    <xf numFmtId="9"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166" fontId="1" fillId="0" borderId="0" applyFont="0" applyFill="0" applyBorder="0" applyAlignment="0" applyProtection="0"/>
    <xf numFmtId="0" fontId="18" fillId="0" borderId="0" applyFill="0" applyProtection="0"/>
    <xf numFmtId="0" fontId="20" fillId="0" borderId="0" applyNumberFormat="0" applyBorder="0" applyAlignment="0"/>
    <xf numFmtId="0" fontId="21" fillId="0" borderId="0" applyNumberFormat="0" applyFont="0" applyFill="0" applyBorder="0" applyAlignment="0" applyProtection="0">
      <alignment vertical="center"/>
    </xf>
    <xf numFmtId="167" fontId="23" fillId="0" borderId="0" applyFill="0" applyBorder="0" applyProtection="0">
      <alignment horizontal="right" vertical="center"/>
    </xf>
  </cellStyleXfs>
  <cellXfs count="327">
    <xf numFmtId="0" fontId="0" fillId="0" borderId="0" xfId="0"/>
    <xf numFmtId="0" fontId="0" fillId="0" borderId="0" xfId="0" applyAlignment="1">
      <alignment wrapText="1"/>
    </xf>
    <xf numFmtId="9" fontId="0" fillId="0" borderId="0" xfId="0" applyNumberFormat="1"/>
    <xf numFmtId="0" fontId="0" fillId="0" borderId="0" xfId="0" applyAlignment="1">
      <alignment horizontal="left"/>
    </xf>
    <xf numFmtId="2" fontId="0" fillId="0" borderId="0" xfId="0" applyNumberFormat="1"/>
    <xf numFmtId="9" fontId="0" fillId="0" borderId="0" xfId="1" applyFont="1"/>
    <xf numFmtId="10" fontId="0" fillId="0" borderId="0" xfId="1" applyNumberFormat="1" applyFont="1"/>
    <xf numFmtId="0" fontId="4" fillId="0" borderId="0" xfId="0" applyFont="1"/>
    <xf numFmtId="0" fontId="0" fillId="0" borderId="3" xfId="0" applyBorder="1" applyAlignment="1">
      <alignment wrapText="1"/>
    </xf>
    <xf numFmtId="0" fontId="0" fillId="0" borderId="3" xfId="0" applyBorder="1"/>
    <xf numFmtId="10" fontId="0" fillId="0" borderId="3" xfId="0" applyNumberFormat="1" applyBorder="1"/>
    <xf numFmtId="10" fontId="0" fillId="0" borderId="4" xfId="0" applyNumberFormat="1" applyBorder="1"/>
    <xf numFmtId="164" fontId="0" fillId="0" borderId="0" xfId="1" applyNumberFormat="1" applyFont="1" applyBorder="1"/>
    <xf numFmtId="10" fontId="0" fillId="0" borderId="0" xfId="0" applyNumberFormat="1"/>
    <xf numFmtId="0" fontId="0" fillId="0" borderId="8" xfId="0" applyBorder="1" applyAlignment="1">
      <alignment wrapText="1"/>
    </xf>
    <xf numFmtId="0" fontId="0" fillId="0" borderId="8" xfId="0" applyBorder="1"/>
    <xf numFmtId="9" fontId="0" fillId="0" borderId="8" xfId="0" applyNumberFormat="1" applyBorder="1"/>
    <xf numFmtId="164" fontId="0" fillId="0" borderId="8" xfId="0" applyNumberFormat="1" applyBorder="1"/>
    <xf numFmtId="10" fontId="0" fillId="0" borderId="8" xfId="0" applyNumberFormat="1" applyBorder="1"/>
    <xf numFmtId="10" fontId="0" fillId="0" borderId="9" xfId="0" applyNumberFormat="1" applyBorder="1"/>
    <xf numFmtId="0" fontId="0" fillId="0" borderId="11" xfId="0" applyBorder="1"/>
    <xf numFmtId="0" fontId="0" fillId="0" borderId="12" xfId="0" applyBorder="1"/>
    <xf numFmtId="0" fontId="0" fillId="3" borderId="11" xfId="0" applyFill="1" applyBorder="1" applyAlignment="1">
      <alignment wrapText="1"/>
    </xf>
    <xf numFmtId="0" fontId="0" fillId="3" borderId="11" xfId="0" applyFill="1" applyBorder="1"/>
    <xf numFmtId="0" fontId="0" fillId="3" borderId="12" xfId="0" applyFill="1" applyBorder="1"/>
    <xf numFmtId="0" fontId="0" fillId="0" borderId="4" xfId="0" applyBorder="1"/>
    <xf numFmtId="0" fontId="0" fillId="0" borderId="9" xfId="0" applyBorder="1"/>
    <xf numFmtId="0" fontId="0" fillId="2" borderId="3" xfId="0" applyFill="1" applyBorder="1" applyAlignment="1">
      <alignment wrapText="1"/>
    </xf>
    <xf numFmtId="0" fontId="0" fillId="2" borderId="3" xfId="0" applyFill="1" applyBorder="1"/>
    <xf numFmtId="0" fontId="0" fillId="2" borderId="4" xfId="0" applyFill="1" applyBorder="1"/>
    <xf numFmtId="0" fontId="0" fillId="2" borderId="8" xfId="0" applyFill="1" applyBorder="1"/>
    <xf numFmtId="0" fontId="0" fillId="2" borderId="8" xfId="0" applyFill="1" applyBorder="1" applyAlignment="1">
      <alignment wrapText="1"/>
    </xf>
    <xf numFmtId="0" fontId="0" fillId="2" borderId="9" xfId="0" applyFill="1" applyBorder="1"/>
    <xf numFmtId="0" fontId="0" fillId="0" borderId="6" xfId="0" applyBorder="1" applyAlignment="1">
      <alignment wrapText="1"/>
    </xf>
    <xf numFmtId="0" fontId="0" fillId="0" borderId="6" xfId="0" applyBorder="1"/>
    <xf numFmtId="0" fontId="0" fillId="0" borderId="9" xfId="0" applyBorder="1" applyAlignment="1">
      <alignment wrapText="1"/>
    </xf>
    <xf numFmtId="0" fontId="0" fillId="0" borderId="4" xfId="0" applyBorder="1" applyAlignment="1">
      <alignment wrapText="1"/>
    </xf>
    <xf numFmtId="0" fontId="0" fillId="4" borderId="2" xfId="0" applyFill="1" applyBorder="1"/>
    <xf numFmtId="0" fontId="0" fillId="4" borderId="3" xfId="0" applyFill="1" applyBorder="1"/>
    <xf numFmtId="0" fontId="0" fillId="4" borderId="5" xfId="0" applyFill="1" applyBorder="1"/>
    <xf numFmtId="0" fontId="0" fillId="4" borderId="0" xfId="0" applyFill="1"/>
    <xf numFmtId="0" fontId="0" fillId="4" borderId="7" xfId="0" applyFill="1" applyBorder="1"/>
    <xf numFmtId="0" fontId="0" fillId="4" borderId="8" xfId="0" applyFill="1" applyBorder="1"/>
    <xf numFmtId="0" fontId="0" fillId="4" borderId="0" xfId="0" applyFill="1" applyAlignment="1">
      <alignment wrapText="1"/>
    </xf>
    <xf numFmtId="9" fontId="0" fillId="4" borderId="3" xfId="1" applyFont="1"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7" borderId="26" xfId="0" applyFill="1" applyBorder="1"/>
    <xf numFmtId="0" fontId="0" fillId="7" borderId="24" xfId="0" applyFill="1" applyBorder="1"/>
    <xf numFmtId="0" fontId="0" fillId="7" borderId="28" xfId="0" applyFill="1" applyBorder="1"/>
    <xf numFmtId="0" fontId="4" fillId="7" borderId="25" xfId="0" applyFont="1" applyFill="1" applyBorder="1" applyAlignment="1">
      <alignment vertical="center"/>
    </xf>
    <xf numFmtId="0" fontId="4" fillId="7" borderId="23" xfId="0" applyFont="1" applyFill="1" applyBorder="1"/>
    <xf numFmtId="0" fontId="4" fillId="7" borderId="27" xfId="0" applyFont="1" applyFill="1" applyBorder="1"/>
    <xf numFmtId="0" fontId="0" fillId="0" borderId="12" xfId="0" applyBorder="1" applyAlignment="1">
      <alignment wrapText="1"/>
    </xf>
    <xf numFmtId="0" fontId="0" fillId="5" borderId="11" xfId="0" applyFill="1" applyBorder="1" applyAlignment="1">
      <alignment wrapText="1"/>
    </xf>
    <xf numFmtId="0" fontId="0" fillId="5" borderId="11" xfId="0" applyFill="1" applyBorder="1"/>
    <xf numFmtId="0" fontId="6" fillId="6" borderId="0" xfId="0" applyFont="1" applyFill="1"/>
    <xf numFmtId="0" fontId="6" fillId="6" borderId="0" xfId="0" applyFont="1" applyFill="1" applyAlignment="1">
      <alignment horizontal="center"/>
    </xf>
    <xf numFmtId="9" fontId="0" fillId="4" borderId="3" xfId="0" applyNumberFormat="1" applyFill="1" applyBorder="1"/>
    <xf numFmtId="0" fontId="11" fillId="0" borderId="0" xfId="0" applyFont="1"/>
    <xf numFmtId="0" fontId="10" fillId="0" borderId="0" xfId="0" applyFont="1" applyAlignment="1">
      <alignment wrapText="1"/>
    </xf>
    <xf numFmtId="0" fontId="15" fillId="6" borderId="15" xfId="0" applyFont="1" applyFill="1" applyBorder="1"/>
    <xf numFmtId="0" fontId="16" fillId="0" borderId="17" xfId="0" applyFont="1" applyBorder="1"/>
    <xf numFmtId="0" fontId="16" fillId="0" borderId="18" xfId="0" applyFont="1" applyBorder="1"/>
    <xf numFmtId="0" fontId="16" fillId="0" borderId="19" xfId="0" applyFont="1" applyBorder="1" applyAlignment="1">
      <alignment horizontal="right" vertical="center"/>
    </xf>
    <xf numFmtId="165" fontId="16" fillId="0" borderId="19" xfId="2" applyNumberFormat="1" applyFont="1" applyBorder="1" applyAlignment="1">
      <alignment horizontal="right" vertical="center"/>
    </xf>
    <xf numFmtId="10" fontId="16" fillId="0" borderId="19" xfId="0" applyNumberFormat="1" applyFont="1" applyBorder="1" applyAlignment="1">
      <alignment horizontal="right" vertical="center"/>
    </xf>
    <xf numFmtId="0" fontId="16" fillId="0" borderId="20" xfId="0" applyFont="1" applyBorder="1"/>
    <xf numFmtId="0" fontId="16" fillId="0" borderId="22" xfId="0" applyFont="1" applyBorder="1" applyAlignment="1">
      <alignment horizontal="right" vertical="center"/>
    </xf>
    <xf numFmtId="0" fontId="16" fillId="0" borderId="16" xfId="0" applyFont="1" applyBorder="1"/>
    <xf numFmtId="0" fontId="16" fillId="0" borderId="0" xfId="0" applyFont="1"/>
    <xf numFmtId="165" fontId="16" fillId="0" borderId="0" xfId="0" applyNumberFormat="1" applyFont="1"/>
    <xf numFmtId="43" fontId="16" fillId="0" borderId="0" xfId="0" applyNumberFormat="1" applyFont="1"/>
    <xf numFmtId="165" fontId="16" fillId="0" borderId="0" xfId="2" applyNumberFormat="1" applyFont="1" applyBorder="1"/>
    <xf numFmtId="165" fontId="16" fillId="0" borderId="21" xfId="2" applyNumberFormat="1" applyFont="1" applyBorder="1"/>
    <xf numFmtId="165" fontId="0" fillId="0" borderId="0" xfId="0" applyNumberFormat="1"/>
    <xf numFmtId="0" fontId="0" fillId="0" borderId="0" xfId="0" applyAlignment="1">
      <alignment vertical="top" wrapText="1"/>
    </xf>
    <xf numFmtId="0" fontId="0" fillId="7" borderId="0" xfId="0" applyFill="1"/>
    <xf numFmtId="0" fontId="0" fillId="7" borderId="0" xfId="0" applyFill="1" applyAlignment="1">
      <alignment wrapText="1"/>
    </xf>
    <xf numFmtId="0" fontId="0" fillId="7" borderId="15" xfId="0" applyFill="1" applyBorder="1"/>
    <xf numFmtId="0" fontId="4" fillId="0" borderId="0" xfId="0" applyFont="1" applyAlignment="1">
      <alignment wrapText="1"/>
    </xf>
    <xf numFmtId="165" fontId="0" fillId="0" borderId="0" xfId="2" applyNumberFormat="1" applyFont="1" applyBorder="1" applyAlignment="1">
      <alignment vertical="top"/>
    </xf>
    <xf numFmtId="165" fontId="0" fillId="0" borderId="5" xfId="2" applyNumberFormat="1" applyFont="1" applyBorder="1" applyAlignment="1">
      <alignment vertical="top"/>
    </xf>
    <xf numFmtId="9" fontId="0" fillId="0" borderId="5" xfId="1" applyFont="1" applyBorder="1" applyAlignment="1">
      <alignment vertical="top"/>
    </xf>
    <xf numFmtId="0" fontId="4" fillId="10" borderId="0" xfId="0" applyFont="1" applyFill="1"/>
    <xf numFmtId="0" fontId="0" fillId="0" borderId="34" xfId="0" applyBorder="1"/>
    <xf numFmtId="9" fontId="0" fillId="0" borderId="34" xfId="0" applyNumberFormat="1" applyBorder="1"/>
    <xf numFmtId="9" fontId="0" fillId="0" borderId="35" xfId="1" applyFont="1" applyBorder="1"/>
    <xf numFmtId="0" fontId="4" fillId="0" borderId="34" xfId="0" applyFont="1" applyBorder="1"/>
    <xf numFmtId="0" fontId="4" fillId="0" borderId="35" xfId="0" applyFont="1" applyBorder="1"/>
    <xf numFmtId="0" fontId="4" fillId="10" borderId="16" xfId="0" applyFont="1" applyFill="1" applyBorder="1"/>
    <xf numFmtId="0" fontId="4" fillId="10" borderId="18" xfId="0" applyFont="1" applyFill="1" applyBorder="1"/>
    <xf numFmtId="0" fontId="4" fillId="10" borderId="20" xfId="0" applyFont="1" applyFill="1" applyBorder="1"/>
    <xf numFmtId="0" fontId="4" fillId="10" borderId="33" xfId="0" applyFont="1" applyFill="1" applyBorder="1"/>
    <xf numFmtId="165" fontId="0" fillId="0" borderId="2" xfId="2" applyNumberFormat="1" applyFont="1" applyBorder="1" applyAlignment="1">
      <alignment vertical="top"/>
    </xf>
    <xf numFmtId="165" fontId="0" fillId="0" borderId="36" xfId="2" applyNumberFormat="1" applyFont="1" applyBorder="1" applyAlignment="1">
      <alignment vertical="top"/>
    </xf>
    <xf numFmtId="9" fontId="0" fillId="0" borderId="36" xfId="1" applyFont="1" applyBorder="1" applyAlignment="1">
      <alignment vertical="top"/>
    </xf>
    <xf numFmtId="165" fontId="0" fillId="0" borderId="7" xfId="2" applyNumberFormat="1" applyFont="1" applyBorder="1" applyAlignment="1">
      <alignment vertical="top"/>
    </xf>
    <xf numFmtId="0" fontId="4" fillId="10" borderId="1" xfId="0" applyFont="1" applyFill="1" applyBorder="1"/>
    <xf numFmtId="0" fontId="4" fillId="10" borderId="18" xfId="0" applyFont="1" applyFill="1" applyBorder="1" applyAlignment="1">
      <alignment wrapText="1"/>
    </xf>
    <xf numFmtId="0" fontId="0" fillId="0" borderId="36" xfId="0" applyBorder="1"/>
    <xf numFmtId="0" fontId="4" fillId="0" borderId="37" xfId="0" applyFont="1" applyBorder="1"/>
    <xf numFmtId="0" fontId="4" fillId="0" borderId="38" xfId="0" applyFont="1" applyBorder="1"/>
    <xf numFmtId="0" fontId="4" fillId="0" borderId="39" xfId="0" applyFont="1" applyBorder="1"/>
    <xf numFmtId="165" fontId="4" fillId="0" borderId="37" xfId="2" applyNumberFormat="1" applyFont="1" applyBorder="1" applyAlignment="1">
      <alignment vertical="top"/>
    </xf>
    <xf numFmtId="165" fontId="4" fillId="0" borderId="38" xfId="2" applyNumberFormat="1" applyFont="1" applyBorder="1" applyAlignment="1">
      <alignment vertical="top"/>
    </xf>
    <xf numFmtId="43" fontId="4" fillId="0" borderId="39" xfId="2" applyFont="1" applyBorder="1" applyAlignment="1">
      <alignment vertical="top"/>
    </xf>
    <xf numFmtId="165" fontId="4" fillId="0" borderId="13" xfId="2" applyNumberFormat="1" applyFont="1" applyBorder="1" applyAlignment="1">
      <alignment vertical="top"/>
    </xf>
    <xf numFmtId="0" fontId="0" fillId="0" borderId="42" xfId="0" applyBorder="1"/>
    <xf numFmtId="0" fontId="4" fillId="10" borderId="18" xfId="0" applyFont="1" applyFill="1" applyBorder="1" applyAlignment="1">
      <alignment horizontal="center"/>
    </xf>
    <xf numFmtId="165" fontId="0" fillId="0" borderId="0" xfId="2" applyNumberFormat="1" applyFont="1" applyFill="1" applyBorder="1" applyAlignment="1">
      <alignment vertical="top"/>
    </xf>
    <xf numFmtId="43" fontId="4" fillId="0" borderId="0" xfId="2" applyFont="1" applyFill="1" applyBorder="1" applyAlignment="1">
      <alignment vertical="top"/>
    </xf>
    <xf numFmtId="165" fontId="4" fillId="0" borderId="0" xfId="2" applyNumberFormat="1" applyFont="1" applyFill="1" applyBorder="1" applyAlignment="1">
      <alignment horizontal="right" vertical="top"/>
    </xf>
    <xf numFmtId="0" fontId="4" fillId="0" borderId="0" xfId="0" applyFont="1" applyAlignment="1">
      <alignment horizontal="center"/>
    </xf>
    <xf numFmtId="43" fontId="4" fillId="0" borderId="14" xfId="2" applyFont="1" applyBorder="1" applyAlignment="1">
      <alignment vertical="top"/>
    </xf>
    <xf numFmtId="0" fontId="0" fillId="0" borderId="13" xfId="0" applyBorder="1" applyAlignment="1">
      <alignment wrapText="1"/>
    </xf>
    <xf numFmtId="0" fontId="0" fillId="0" borderId="14" xfId="0" applyBorder="1"/>
    <xf numFmtId="0" fontId="4" fillId="0" borderId="11" xfId="0" applyFont="1" applyBorder="1"/>
    <xf numFmtId="0" fontId="4" fillId="0" borderId="3" xfId="0" applyFont="1" applyBorder="1"/>
    <xf numFmtId="0" fontId="4" fillId="0" borderId="4" xfId="0" applyFont="1" applyBorder="1"/>
    <xf numFmtId="0" fontId="0" fillId="0" borderId="43" xfId="0" applyBorder="1"/>
    <xf numFmtId="10" fontId="19" fillId="0" borderId="13" xfId="0" applyNumberFormat="1" applyFont="1" applyBorder="1"/>
    <xf numFmtId="9" fontId="0" fillId="0" borderId="36" xfId="0" applyNumberFormat="1" applyBorder="1"/>
    <xf numFmtId="9" fontId="0" fillId="0" borderId="14" xfId="1" applyFont="1" applyBorder="1"/>
    <xf numFmtId="0" fontId="4" fillId="10" borderId="30" xfId="0" applyFont="1" applyFill="1" applyBorder="1"/>
    <xf numFmtId="0" fontId="4" fillId="0" borderId="41" xfId="0" applyFont="1" applyBorder="1"/>
    <xf numFmtId="165" fontId="4" fillId="0" borderId="41" xfId="2" applyNumberFormat="1" applyFont="1" applyBorder="1" applyAlignment="1">
      <alignment vertical="top"/>
    </xf>
    <xf numFmtId="17" fontId="0" fillId="0" borderId="0" xfId="0" applyNumberFormat="1"/>
    <xf numFmtId="0" fontId="4" fillId="7" borderId="26" xfId="0" applyFont="1" applyFill="1" applyBorder="1"/>
    <xf numFmtId="1" fontId="0" fillId="7" borderId="28" xfId="0" applyNumberFormat="1" applyFill="1" applyBorder="1"/>
    <xf numFmtId="0" fontId="4" fillId="7" borderId="0" xfId="0" applyFont="1" applyFill="1"/>
    <xf numFmtId="0" fontId="0" fillId="0" borderId="0" xfId="1" applyNumberFormat="1" applyFont="1"/>
    <xf numFmtId="0" fontId="0" fillId="7" borderId="18" xfId="0" applyFill="1" applyBorder="1"/>
    <xf numFmtId="0" fontId="0" fillId="7" borderId="19" xfId="0" applyFill="1" applyBorder="1"/>
    <xf numFmtId="0" fontId="0" fillId="7" borderId="20" xfId="0" applyFill="1" applyBorder="1"/>
    <xf numFmtId="0" fontId="0" fillId="7" borderId="21" xfId="0" applyFill="1" applyBorder="1"/>
    <xf numFmtId="0" fontId="0" fillId="7" borderId="22" xfId="0" applyFill="1" applyBorder="1"/>
    <xf numFmtId="0" fontId="4" fillId="7" borderId="15" xfId="0" applyFont="1" applyFill="1" applyBorder="1"/>
    <xf numFmtId="0" fontId="4" fillId="7" borderId="16" xfId="0" applyFont="1" applyFill="1" applyBorder="1"/>
    <xf numFmtId="0" fontId="4" fillId="7" borderId="17" xfId="0" applyFont="1" applyFill="1" applyBorder="1"/>
    <xf numFmtId="0" fontId="4" fillId="7" borderId="18" xfId="0" applyFont="1" applyFill="1" applyBorder="1"/>
    <xf numFmtId="0" fontId="4" fillId="7" borderId="19" xfId="0" applyFont="1" applyFill="1" applyBorder="1"/>
    <xf numFmtId="0" fontId="4" fillId="7" borderId="18" xfId="0" applyFont="1" applyFill="1" applyBorder="1" applyAlignment="1">
      <alignment wrapText="1"/>
    </xf>
    <xf numFmtId="2" fontId="4" fillId="7" borderId="0" xfId="1" applyNumberFormat="1" applyFont="1" applyFill="1" applyBorder="1"/>
    <xf numFmtId="0" fontId="4" fillId="7" borderId="0" xfId="0" applyFont="1" applyFill="1" applyAlignment="1">
      <alignment wrapText="1"/>
    </xf>
    <xf numFmtId="0" fontId="4" fillId="7" borderId="20" xfId="0" applyFont="1" applyFill="1" applyBorder="1"/>
    <xf numFmtId="0" fontId="4" fillId="7" borderId="21" xfId="0" applyFont="1" applyFill="1" applyBorder="1"/>
    <xf numFmtId="0" fontId="4" fillId="7" borderId="22" xfId="0" applyFont="1" applyFill="1" applyBorder="1"/>
    <xf numFmtId="0" fontId="0" fillId="7" borderId="29" xfId="0" applyFill="1" applyBorder="1"/>
    <xf numFmtId="0" fontId="4" fillId="7" borderId="40" xfId="0" applyFont="1" applyFill="1" applyBorder="1"/>
    <xf numFmtId="0" fontId="0" fillId="7" borderId="40" xfId="0" applyFill="1" applyBorder="1"/>
    <xf numFmtId="0" fontId="0" fillId="7" borderId="44" xfId="0" applyFill="1" applyBorder="1"/>
    <xf numFmtId="0" fontId="25" fillId="7" borderId="40" xfId="0" applyFont="1" applyFill="1" applyBorder="1"/>
    <xf numFmtId="0" fontId="4" fillId="7" borderId="29" xfId="0" applyFont="1" applyFill="1" applyBorder="1"/>
    <xf numFmtId="0" fontId="4" fillId="7" borderId="44" xfId="0" applyFont="1" applyFill="1" applyBorder="1"/>
    <xf numFmtId="0" fontId="6" fillId="7" borderId="29" xfId="0" applyFont="1" applyFill="1" applyBorder="1"/>
    <xf numFmtId="0" fontId="6" fillId="7" borderId="40" xfId="0" applyFont="1" applyFill="1" applyBorder="1"/>
    <xf numFmtId="0" fontId="6" fillId="7" borderId="44" xfId="0" applyFont="1" applyFill="1" applyBorder="1"/>
    <xf numFmtId="0" fontId="0" fillId="7" borderId="16" xfId="0" applyFill="1" applyBorder="1"/>
    <xf numFmtId="0" fontId="0" fillId="7" borderId="17" xfId="0" applyFill="1" applyBorder="1"/>
    <xf numFmtId="0" fontId="0" fillId="7" borderId="19" xfId="0" applyFill="1" applyBorder="1" applyAlignment="1">
      <alignment horizontal="left"/>
    </xf>
    <xf numFmtId="168" fontId="0" fillId="7" borderId="19" xfId="0" applyNumberFormat="1" applyFill="1" applyBorder="1" applyAlignment="1">
      <alignment horizontal="left"/>
    </xf>
    <xf numFmtId="0" fontId="25" fillId="7" borderId="15" xfId="0" applyFont="1" applyFill="1" applyBorder="1"/>
    <xf numFmtId="0" fontId="25" fillId="7" borderId="16" xfId="0" applyFont="1" applyFill="1" applyBorder="1"/>
    <xf numFmtId="0" fontId="25" fillId="7" borderId="17" xfId="0" applyFont="1" applyFill="1" applyBorder="1"/>
    <xf numFmtId="0" fontId="25" fillId="7" borderId="20" xfId="0" applyFont="1" applyFill="1" applyBorder="1"/>
    <xf numFmtId="0" fontId="25" fillId="7" borderId="21" xfId="0" applyFont="1" applyFill="1" applyBorder="1"/>
    <xf numFmtId="0" fontId="25" fillId="7" borderId="22" xfId="0" applyFont="1" applyFill="1" applyBorder="1"/>
    <xf numFmtId="0" fontId="0" fillId="0" borderId="31" xfId="0" applyBorder="1"/>
    <xf numFmtId="0" fontId="28" fillId="0" borderId="15" xfId="0" applyFont="1" applyBorder="1"/>
    <xf numFmtId="0" fontId="28" fillId="0" borderId="18" xfId="0" applyFont="1" applyBorder="1"/>
    <xf numFmtId="0" fontId="28" fillId="0" borderId="0" xfId="0" applyFont="1"/>
    <xf numFmtId="0" fontId="28" fillId="0" borderId="0" xfId="0" applyFont="1" applyAlignment="1">
      <alignment horizontal="center"/>
    </xf>
    <xf numFmtId="0" fontId="28" fillId="0" borderId="19" xfId="0" applyFont="1" applyBorder="1" applyAlignment="1">
      <alignment horizontal="center"/>
    </xf>
    <xf numFmtId="41" fontId="28" fillId="0" borderId="6" xfId="0" applyNumberFormat="1" applyFont="1" applyBorder="1"/>
    <xf numFmtId="41" fontId="28" fillId="0" borderId="36" xfId="0" applyNumberFormat="1" applyFont="1" applyBorder="1"/>
    <xf numFmtId="0" fontId="28" fillId="0" borderId="6" xfId="0" applyFont="1" applyBorder="1"/>
    <xf numFmtId="0" fontId="28" fillId="0" borderId="36" xfId="0" applyFont="1" applyBorder="1"/>
    <xf numFmtId="0" fontId="28" fillId="0" borderId="19" xfId="0" applyFont="1" applyBorder="1"/>
    <xf numFmtId="165" fontId="28" fillId="0" borderId="6" xfId="0" applyNumberFormat="1" applyFont="1" applyBorder="1"/>
    <xf numFmtId="165" fontId="28" fillId="0" borderId="36" xfId="0" applyNumberFormat="1" applyFont="1" applyBorder="1"/>
    <xf numFmtId="9" fontId="28" fillId="0" borderId="36" xfId="1" applyFont="1" applyBorder="1"/>
    <xf numFmtId="41" fontId="28" fillId="0" borderId="36" xfId="3" applyFont="1" applyBorder="1"/>
    <xf numFmtId="41" fontId="28" fillId="0" borderId="45" xfId="3" applyFont="1" applyBorder="1"/>
    <xf numFmtId="0" fontId="29" fillId="0" borderId="18" xfId="0" applyFont="1" applyBorder="1"/>
    <xf numFmtId="1" fontId="28" fillId="0" borderId="6" xfId="0" applyNumberFormat="1" applyFont="1" applyBorder="1"/>
    <xf numFmtId="1" fontId="28" fillId="0" borderId="36" xfId="0" applyNumberFormat="1" applyFont="1" applyBorder="1"/>
    <xf numFmtId="43" fontId="28" fillId="0" borderId="36" xfId="2" applyFont="1" applyBorder="1"/>
    <xf numFmtId="0" fontId="29" fillId="0" borderId="20" xfId="0" applyFont="1" applyBorder="1"/>
    <xf numFmtId="0" fontId="28" fillId="0" borderId="32" xfId="0" applyFont="1" applyBorder="1"/>
    <xf numFmtId="0" fontId="28" fillId="0" borderId="46" xfId="0" applyFont="1" applyBorder="1"/>
    <xf numFmtId="0" fontId="15" fillId="8" borderId="31" xfId="3" applyNumberFormat="1" applyFont="1" applyFill="1" applyBorder="1" applyAlignment="1">
      <alignment horizontal="center" vertical="center" wrapText="1"/>
    </xf>
    <xf numFmtId="9" fontId="30" fillId="0" borderId="0" xfId="1" applyFont="1" applyFill="1" applyBorder="1"/>
    <xf numFmtId="0" fontId="30" fillId="0" borderId="0" xfId="0" applyFont="1"/>
    <xf numFmtId="0" fontId="30" fillId="0" borderId="0" xfId="0" applyFont="1" applyAlignment="1">
      <alignment horizontal="center" vertical="center"/>
    </xf>
    <xf numFmtId="0" fontId="30" fillId="0" borderId="0" xfId="0" applyFont="1" applyAlignment="1">
      <alignment horizontal="center"/>
    </xf>
    <xf numFmtId="41" fontId="30" fillId="0" borderId="0" xfId="0" applyNumberFormat="1" applyFont="1"/>
    <xf numFmtId="0" fontId="31" fillId="0" borderId="0" xfId="0" applyFont="1"/>
    <xf numFmtId="43" fontId="30" fillId="0" borderId="0" xfId="0" applyNumberFormat="1" applyFont="1"/>
    <xf numFmtId="165" fontId="30" fillId="0" borderId="0" xfId="0" applyNumberFormat="1" applyFont="1"/>
    <xf numFmtId="165" fontId="30" fillId="0" borderId="0" xfId="2" applyNumberFormat="1" applyFont="1" applyFill="1" applyBorder="1"/>
    <xf numFmtId="169" fontId="28" fillId="0" borderId="46" xfId="2" applyNumberFormat="1" applyFont="1" applyBorder="1"/>
    <xf numFmtId="0" fontId="4" fillId="7" borderId="33" xfId="0" applyFont="1" applyFill="1" applyBorder="1"/>
    <xf numFmtId="0" fontId="4" fillId="7" borderId="28" xfId="0" applyFont="1" applyFill="1" applyBorder="1"/>
    <xf numFmtId="0" fontId="0" fillId="7" borderId="27" xfId="0" applyFill="1" applyBorder="1"/>
    <xf numFmtId="0" fontId="0" fillId="7" borderId="25" xfId="0" applyFill="1" applyBorder="1"/>
    <xf numFmtId="0" fontId="4" fillId="9" borderId="0" xfId="0" applyFont="1" applyFill="1"/>
    <xf numFmtId="0" fontId="4" fillId="9" borderId="0" xfId="0" applyFont="1" applyFill="1" applyAlignment="1">
      <alignment wrapText="1"/>
    </xf>
    <xf numFmtId="0" fontId="0" fillId="9" borderId="0" xfId="0" applyFill="1" applyAlignment="1">
      <alignment wrapText="1"/>
    </xf>
    <xf numFmtId="0" fontId="4" fillId="9" borderId="33" xfId="0" applyFont="1" applyFill="1" applyBorder="1" applyAlignment="1">
      <alignment wrapText="1"/>
    </xf>
    <xf numFmtId="0" fontId="0" fillId="9" borderId="42" xfId="0" applyFill="1" applyBorder="1" applyAlignment="1">
      <alignment wrapText="1"/>
    </xf>
    <xf numFmtId="0" fontId="4" fillId="9" borderId="34" xfId="0" applyFont="1" applyFill="1" applyBorder="1" applyAlignment="1">
      <alignment wrapText="1"/>
    </xf>
    <xf numFmtId="0" fontId="0" fillId="9" borderId="34" xfId="0" applyFill="1" applyBorder="1" applyAlignment="1">
      <alignment wrapText="1"/>
    </xf>
    <xf numFmtId="0" fontId="4" fillId="9" borderId="35" xfId="0" applyFont="1" applyFill="1" applyBorder="1" applyAlignment="1">
      <alignment wrapText="1"/>
    </xf>
    <xf numFmtId="0" fontId="0" fillId="9" borderId="34" xfId="0" applyFill="1" applyBorder="1"/>
    <xf numFmtId="0" fontId="7" fillId="9" borderId="34" xfId="0" applyFont="1" applyFill="1" applyBorder="1" applyAlignment="1">
      <alignment wrapText="1"/>
    </xf>
    <xf numFmtId="0" fontId="4" fillId="9" borderId="34" xfId="0" applyFont="1" applyFill="1" applyBorder="1"/>
    <xf numFmtId="0" fontId="0" fillId="9" borderId="35" xfId="0" applyFill="1" applyBorder="1" applyAlignment="1">
      <alignment wrapText="1"/>
    </xf>
    <xf numFmtId="0" fontId="24" fillId="9" borderId="0" xfId="0" applyFont="1" applyFill="1" applyAlignment="1">
      <alignment wrapText="1"/>
    </xf>
    <xf numFmtId="0" fontId="4" fillId="9" borderId="0" xfId="0" applyFont="1" applyFill="1" applyAlignment="1">
      <alignment horizontal="left" wrapText="1"/>
    </xf>
    <xf numFmtId="0" fontId="4" fillId="9" borderId="2" xfId="0" applyFont="1" applyFill="1" applyBorder="1" applyAlignment="1">
      <alignment wrapText="1"/>
    </xf>
    <xf numFmtId="0" fontId="0" fillId="9" borderId="5" xfId="0" applyFill="1" applyBorder="1" applyAlignment="1">
      <alignment wrapText="1"/>
    </xf>
    <xf numFmtId="0" fontId="4" fillId="9" borderId="5" xfId="0" applyFont="1" applyFill="1" applyBorder="1" applyAlignment="1">
      <alignment wrapText="1"/>
    </xf>
    <xf numFmtId="0" fontId="4" fillId="9" borderId="7" xfId="0" applyFont="1" applyFill="1" applyBorder="1" applyAlignment="1">
      <alignment wrapText="1"/>
    </xf>
    <xf numFmtId="0" fontId="17" fillId="0" borderId="8" xfId="0" applyFont="1" applyBorder="1"/>
    <xf numFmtId="0" fontId="17" fillId="0" borderId="9" xfId="0" applyFont="1" applyBorder="1"/>
    <xf numFmtId="0" fontId="2" fillId="8" borderId="18" xfId="0" applyFont="1" applyFill="1" applyBorder="1"/>
    <xf numFmtId="0" fontId="0" fillId="8" borderId="0" xfId="0" applyFill="1"/>
    <xf numFmtId="0" fontId="6" fillId="5" borderId="0" xfId="0" applyFont="1" applyFill="1" applyAlignment="1">
      <alignment horizontal="center"/>
    </xf>
    <xf numFmtId="0" fontId="4" fillId="4" borderId="7" xfId="0" applyFont="1" applyFill="1" applyBorder="1"/>
    <xf numFmtId="0" fontId="4" fillId="4" borderId="0" xfId="0" applyFont="1" applyFill="1"/>
    <xf numFmtId="0" fontId="0" fillId="4" borderId="10" xfId="0" applyFill="1" applyBorder="1" applyAlignment="1">
      <alignment wrapText="1"/>
    </xf>
    <xf numFmtId="0" fontId="0" fillId="4" borderId="2" xfId="0" applyFill="1" applyBorder="1" applyAlignment="1">
      <alignment wrapText="1"/>
    </xf>
    <xf numFmtId="0" fontId="4" fillId="4" borderId="2" xfId="0" applyFont="1" applyFill="1" applyBorder="1" applyAlignment="1">
      <alignment wrapText="1"/>
    </xf>
    <xf numFmtId="0" fontId="0" fillId="4" borderId="7" xfId="0" applyFill="1" applyBorder="1" applyAlignment="1">
      <alignment wrapText="1"/>
    </xf>
    <xf numFmtId="0" fontId="4" fillId="4" borderId="2" xfId="0" applyFont="1" applyFill="1" applyBorder="1"/>
    <xf numFmtId="0" fontId="4" fillId="4" borderId="10" xfId="0" applyFont="1" applyFill="1" applyBorder="1"/>
    <xf numFmtId="0" fontId="12" fillId="4" borderId="0" xfId="0" applyFont="1" applyFill="1" applyAlignment="1">
      <alignment wrapText="1"/>
    </xf>
    <xf numFmtId="0" fontId="4" fillId="4" borderId="5" xfId="0" applyFont="1" applyFill="1" applyBorder="1" applyAlignment="1">
      <alignment wrapText="1"/>
    </xf>
    <xf numFmtId="0" fontId="8" fillId="4" borderId="5" xfId="0" applyFont="1" applyFill="1" applyBorder="1" applyAlignment="1">
      <alignment wrapText="1"/>
    </xf>
    <xf numFmtId="0" fontId="0" fillId="4" borderId="5" xfId="0" applyFill="1" applyBorder="1" applyAlignment="1">
      <alignment wrapText="1"/>
    </xf>
    <xf numFmtId="0" fontId="8" fillId="4" borderId="0" xfId="0" applyFont="1" applyFill="1" applyAlignment="1">
      <alignment wrapText="1"/>
    </xf>
    <xf numFmtId="0" fontId="7" fillId="4" borderId="0" xfId="0" applyFont="1" applyFill="1" applyAlignment="1">
      <alignment wrapText="1"/>
    </xf>
    <xf numFmtId="0" fontId="8" fillId="4" borderId="2" xfId="0" applyFont="1" applyFill="1" applyBorder="1" applyAlignment="1">
      <alignment wrapText="1"/>
    </xf>
    <xf numFmtId="0" fontId="4" fillId="4" borderId="10" xfId="0" applyFont="1" applyFill="1" applyBorder="1" applyAlignment="1">
      <alignment wrapText="1"/>
    </xf>
    <xf numFmtId="0" fontId="4" fillId="4" borderId="13" xfId="0" applyFont="1" applyFill="1" applyBorder="1" applyAlignment="1">
      <alignment wrapText="1"/>
    </xf>
    <xf numFmtId="0" fontId="4" fillId="4" borderId="0" xfId="0" applyFont="1" applyFill="1" applyAlignment="1">
      <alignment wrapText="1"/>
    </xf>
    <xf numFmtId="0" fontId="14" fillId="4" borderId="0" xfId="0" applyFont="1" applyFill="1" applyAlignment="1">
      <alignment wrapText="1"/>
    </xf>
    <xf numFmtId="0" fontId="7" fillId="4" borderId="0" xfId="0" applyFont="1" applyFill="1"/>
    <xf numFmtId="0" fontId="8" fillId="4" borderId="0" xfId="0" applyFont="1" applyFill="1"/>
    <xf numFmtId="0" fontId="8" fillId="4" borderId="14" xfId="0" applyFont="1" applyFill="1" applyBorder="1" applyAlignment="1">
      <alignment wrapText="1"/>
    </xf>
    <xf numFmtId="0" fontId="13" fillId="4" borderId="0" xfId="0" applyFont="1" applyFill="1" applyAlignment="1">
      <alignment wrapText="1"/>
    </xf>
    <xf numFmtId="0" fontId="10" fillId="4" borderId="0" xfId="0" applyFont="1" applyFill="1"/>
    <xf numFmtId="0" fontId="15" fillId="4" borderId="15" xfId="0" applyFont="1" applyFill="1" applyBorder="1"/>
    <xf numFmtId="0" fontId="16" fillId="4" borderId="18" xfId="0" applyFont="1" applyFill="1" applyBorder="1"/>
    <xf numFmtId="0" fontId="16" fillId="4" borderId="20" xfId="0" applyFont="1" applyFill="1" applyBorder="1"/>
    <xf numFmtId="0" fontId="0" fillId="0" borderId="0" xfId="0" applyAlignment="1">
      <alignment horizontal="center"/>
    </xf>
    <xf numFmtId="0" fontId="26" fillId="9" borderId="15" xfId="0" applyFont="1" applyFill="1" applyBorder="1" applyAlignment="1">
      <alignment horizontal="center"/>
    </xf>
    <xf numFmtId="0" fontId="26" fillId="9" borderId="17" xfId="0" applyFont="1" applyFill="1" applyBorder="1" applyAlignment="1">
      <alignment horizontal="center"/>
    </xf>
    <xf numFmtId="0" fontId="26" fillId="9" borderId="20" xfId="0" applyFont="1" applyFill="1" applyBorder="1" applyAlignment="1">
      <alignment horizontal="center"/>
    </xf>
    <xf numFmtId="0" fontId="26" fillId="9" borderId="22" xfId="0" applyFont="1" applyFill="1" applyBorder="1" applyAlignment="1">
      <alignment horizontal="center"/>
    </xf>
    <xf numFmtId="0" fontId="9" fillId="7" borderId="23" xfId="0" applyFont="1" applyFill="1" applyBorder="1" applyAlignment="1">
      <alignment horizontal="center" vertical="center"/>
    </xf>
    <xf numFmtId="0" fontId="4" fillId="7" borderId="24" xfId="0" applyFont="1" applyFill="1" applyBorder="1" applyAlignment="1">
      <alignment horizontal="center" vertical="center"/>
    </xf>
    <xf numFmtId="0" fontId="4" fillId="11" borderId="19" xfId="0" applyFont="1" applyFill="1" applyBorder="1" applyAlignment="1">
      <alignment horizontal="center" vertical="center" textRotation="90"/>
    </xf>
    <xf numFmtId="0" fontId="4" fillId="11" borderId="0" xfId="0" applyFont="1" applyFill="1" applyAlignment="1">
      <alignment horizontal="center" vertical="center" textRotation="90"/>
    </xf>
    <xf numFmtId="0" fontId="6" fillId="7" borderId="29" xfId="0" applyFont="1" applyFill="1" applyBorder="1" applyAlignment="1">
      <alignment horizontal="center"/>
    </xf>
    <xf numFmtId="0" fontId="6" fillId="7" borderId="40" xfId="0" applyFont="1" applyFill="1" applyBorder="1" applyAlignment="1">
      <alignment horizontal="center"/>
    </xf>
    <xf numFmtId="0" fontId="6" fillId="7" borderId="44" xfId="0" applyFont="1" applyFill="1" applyBorder="1" applyAlignment="1">
      <alignment horizontal="center"/>
    </xf>
    <xf numFmtId="0" fontId="4" fillId="7" borderId="15" xfId="0" applyFont="1" applyFill="1" applyBorder="1" applyAlignment="1">
      <alignment horizontal="center" vertical="center"/>
    </xf>
    <xf numFmtId="0" fontId="4" fillId="7" borderId="17" xfId="0" applyFont="1" applyFill="1" applyBorder="1" applyAlignment="1">
      <alignment horizontal="center" vertical="center"/>
    </xf>
    <xf numFmtId="0" fontId="4" fillId="7" borderId="18" xfId="0" applyFont="1" applyFill="1" applyBorder="1" applyAlignment="1">
      <alignment horizontal="center" vertical="center"/>
    </xf>
    <xf numFmtId="0" fontId="4" fillId="7" borderId="19" xfId="0" applyFont="1" applyFill="1" applyBorder="1" applyAlignment="1">
      <alignment horizontal="center" vertical="center"/>
    </xf>
    <xf numFmtId="0" fontId="4" fillId="7" borderId="20" xfId="0" applyFont="1" applyFill="1" applyBorder="1" applyAlignment="1">
      <alignment horizontal="center" vertical="center"/>
    </xf>
    <xf numFmtId="0" fontId="4" fillId="7" borderId="22" xfId="0" applyFont="1" applyFill="1" applyBorder="1" applyAlignment="1">
      <alignment horizontal="center" vertical="center"/>
    </xf>
    <xf numFmtId="0" fontId="25" fillId="7" borderId="16" xfId="0" applyFont="1" applyFill="1" applyBorder="1" applyAlignment="1">
      <alignment horizontal="center" vertical="center"/>
    </xf>
    <xf numFmtId="0" fontId="25" fillId="7" borderId="21" xfId="0" applyFont="1" applyFill="1" applyBorder="1" applyAlignment="1">
      <alignment horizontal="center" vertical="center"/>
    </xf>
    <xf numFmtId="0" fontId="5" fillId="2" borderId="29" xfId="0" applyFont="1" applyFill="1" applyBorder="1" applyAlignment="1">
      <alignment horizontal="center"/>
    </xf>
    <xf numFmtId="0" fontId="5" fillId="2" borderId="40" xfId="0" applyFont="1" applyFill="1" applyBorder="1" applyAlignment="1">
      <alignment horizontal="center"/>
    </xf>
    <xf numFmtId="0" fontId="5" fillId="2" borderId="44" xfId="0" applyFont="1" applyFill="1" applyBorder="1" applyAlignment="1">
      <alignment horizontal="center"/>
    </xf>
    <xf numFmtId="0" fontId="4" fillId="6" borderId="0" xfId="0" applyFont="1" applyFill="1" applyAlignment="1">
      <alignment horizontal="center"/>
    </xf>
    <xf numFmtId="0" fontId="0" fillId="0" borderId="0" xfId="0" applyAlignment="1">
      <alignment horizontal="center" vertical="center"/>
    </xf>
    <xf numFmtId="0" fontId="32" fillId="7" borderId="15" xfId="0" applyFont="1" applyFill="1" applyBorder="1" applyAlignment="1">
      <alignment horizontal="center" vertical="center" wrapText="1"/>
    </xf>
    <xf numFmtId="0" fontId="32" fillId="7" borderId="16" xfId="0" applyFont="1" applyFill="1" applyBorder="1" applyAlignment="1">
      <alignment horizontal="center" vertical="center" wrapText="1"/>
    </xf>
    <xf numFmtId="0" fontId="32" fillId="7" borderId="17" xfId="0" applyFont="1" applyFill="1" applyBorder="1" applyAlignment="1">
      <alignment horizontal="center" vertical="center" wrapText="1"/>
    </xf>
    <xf numFmtId="0" fontId="32" fillId="7" borderId="18" xfId="0" applyFont="1" applyFill="1" applyBorder="1" applyAlignment="1">
      <alignment horizontal="center" vertical="center" wrapText="1"/>
    </xf>
    <xf numFmtId="0" fontId="32" fillId="7" borderId="0" xfId="0" applyFont="1" applyFill="1" applyAlignment="1">
      <alignment horizontal="center" vertical="center" wrapText="1"/>
    </xf>
    <xf numFmtId="0" fontId="32" fillId="7" borderId="19" xfId="0" applyFont="1" applyFill="1" applyBorder="1" applyAlignment="1">
      <alignment horizontal="center" vertical="center" wrapText="1"/>
    </xf>
    <xf numFmtId="0" fontId="32" fillId="7" borderId="20" xfId="0" applyFont="1" applyFill="1" applyBorder="1" applyAlignment="1">
      <alignment horizontal="center" vertical="center" wrapText="1"/>
    </xf>
    <xf numFmtId="0" fontId="32" fillId="7" borderId="21" xfId="0" applyFont="1" applyFill="1" applyBorder="1" applyAlignment="1">
      <alignment horizontal="center" vertical="center" wrapText="1"/>
    </xf>
    <xf numFmtId="0" fontId="32" fillId="7" borderId="22" xfId="0" applyFont="1" applyFill="1" applyBorder="1" applyAlignment="1">
      <alignment horizontal="center" vertical="center" wrapText="1"/>
    </xf>
    <xf numFmtId="0" fontId="22" fillId="8" borderId="29" xfId="0" applyFont="1" applyFill="1" applyBorder="1" applyAlignment="1">
      <alignment horizontal="center"/>
    </xf>
    <xf numFmtId="0" fontId="22" fillId="8" borderId="40" xfId="0" applyFont="1" applyFill="1" applyBorder="1" applyAlignment="1">
      <alignment horizontal="center"/>
    </xf>
    <xf numFmtId="0" fontId="22" fillId="8" borderId="44" xfId="0" applyFont="1" applyFill="1" applyBorder="1" applyAlignment="1">
      <alignment horizontal="center"/>
    </xf>
    <xf numFmtId="0" fontId="9" fillId="9" borderId="10" xfId="0" applyFont="1" applyFill="1" applyBorder="1" applyAlignment="1">
      <alignment horizontal="center"/>
    </xf>
    <xf numFmtId="0" fontId="9" fillId="9" borderId="11" xfId="0" applyFont="1" applyFill="1" applyBorder="1" applyAlignment="1">
      <alignment horizontal="center"/>
    </xf>
    <xf numFmtId="0" fontId="9" fillId="9" borderId="12" xfId="0" applyFont="1" applyFill="1" applyBorder="1" applyAlignment="1">
      <alignment horizontal="center"/>
    </xf>
    <xf numFmtId="0" fontId="4" fillId="10" borderId="18" xfId="0" applyFont="1" applyFill="1" applyBorder="1" applyAlignment="1">
      <alignment horizontal="center"/>
    </xf>
    <xf numFmtId="0" fontId="4" fillId="10" borderId="0" xfId="0" applyFont="1" applyFill="1" applyAlignment="1">
      <alignment horizontal="center"/>
    </xf>
    <xf numFmtId="0" fontId="9" fillId="9" borderId="29" xfId="0" applyFont="1" applyFill="1" applyBorder="1" applyAlignment="1">
      <alignment horizontal="center"/>
    </xf>
    <xf numFmtId="0" fontId="9" fillId="9" borderId="40" xfId="0" applyFont="1" applyFill="1" applyBorder="1" applyAlignment="1">
      <alignment horizontal="center"/>
    </xf>
    <xf numFmtId="0" fontId="9" fillId="9" borderId="44" xfId="0" applyFont="1" applyFill="1" applyBorder="1" applyAlignment="1">
      <alignment horizontal="center"/>
    </xf>
    <xf numFmtId="0" fontId="14" fillId="0" borderId="29" xfId="0" applyFont="1" applyBorder="1" applyAlignment="1">
      <alignment horizontal="center" wrapText="1"/>
    </xf>
    <xf numFmtId="0" fontId="14" fillId="0" borderId="40" xfId="0" applyFont="1" applyBorder="1" applyAlignment="1">
      <alignment horizontal="center" wrapText="1"/>
    </xf>
    <xf numFmtId="0" fontId="14" fillId="0" borderId="44" xfId="0" applyFont="1" applyBorder="1" applyAlignment="1">
      <alignment horizontal="center" wrapText="1"/>
    </xf>
    <xf numFmtId="41" fontId="29" fillId="0" borderId="16" xfId="0" applyNumberFormat="1" applyFont="1" applyBorder="1" applyAlignment="1">
      <alignment horizontal="center"/>
    </xf>
    <xf numFmtId="41" fontId="29" fillId="0" borderId="17" xfId="0" applyNumberFormat="1" applyFont="1" applyBorder="1" applyAlignment="1">
      <alignment horizontal="center"/>
    </xf>
    <xf numFmtId="41" fontId="31" fillId="0" borderId="0" xfId="0" applyNumberFormat="1" applyFont="1" applyAlignment="1">
      <alignment horizontal="center"/>
    </xf>
    <xf numFmtId="0" fontId="4" fillId="0" borderId="15" xfId="0" applyFont="1" applyBorder="1" applyAlignment="1">
      <alignment horizontal="left"/>
    </xf>
    <xf numFmtId="0" fontId="4" fillId="0" borderId="16" xfId="0" applyFont="1" applyBorder="1" applyAlignment="1">
      <alignment horizontal="left"/>
    </xf>
    <xf numFmtId="0" fontId="4" fillId="0" borderId="17" xfId="0" applyFont="1" applyBorder="1" applyAlignment="1">
      <alignment horizontal="left"/>
    </xf>
    <xf numFmtId="0" fontId="0" fillId="0" borderId="18"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26" fillId="9" borderId="16" xfId="0" applyFont="1" applyFill="1" applyBorder="1" applyAlignment="1">
      <alignment horizontal="center"/>
    </xf>
    <xf numFmtId="0" fontId="26" fillId="9" borderId="21" xfId="0" applyFont="1" applyFill="1" applyBorder="1" applyAlignment="1">
      <alignment horizontal="center"/>
    </xf>
    <xf numFmtId="165" fontId="0" fillId="0" borderId="13" xfId="2" applyNumberFormat="1" applyFont="1" applyBorder="1" applyAlignment="1">
      <alignment vertical="top"/>
    </xf>
    <xf numFmtId="165" fontId="0" fillId="0" borderId="14" xfId="2" applyNumberFormat="1" applyFont="1" applyBorder="1" applyAlignment="1">
      <alignment vertical="top"/>
    </xf>
    <xf numFmtId="0" fontId="28" fillId="0" borderId="0" xfId="0" applyFont="1" applyAlignment="1">
      <alignment horizontal="center" wrapText="1"/>
    </xf>
    <xf numFmtId="0" fontId="27" fillId="0" borderId="31" xfId="0" applyFont="1" applyBorder="1" applyAlignment="1">
      <alignment wrapText="1"/>
    </xf>
  </cellXfs>
  <cellStyles count="9">
    <cellStyle name="Comma" xfId="2" builtinId="3"/>
    <cellStyle name="Comma [0]" xfId="3" builtinId="6"/>
    <cellStyle name="Comma 2" xfId="4" xr:uid="{5023199F-3417-4E83-936C-5AE64FBA4F0D}"/>
    <cellStyle name="DescriptorColumnStyle" xfId="7" xr:uid="{96E92FA7-C646-4E5D-9F1F-B7E5243E3776}"/>
    <cellStyle name="Normal" xfId="0" builtinId="0"/>
    <cellStyle name="Normal 2" xfId="5" xr:uid="{7B60F946-93AC-48B3-9C5D-9D07D6CC2ED5}"/>
    <cellStyle name="Normal 3" xfId="6" xr:uid="{38F13A9B-98D0-4592-BAD5-B4CDFC2CB1CA}"/>
    <cellStyle name="NumberStyle" xfId="8" xr:uid="{DBADCA2B-9610-42B7-BDF0-ABBA6FDCCB21}"/>
    <cellStyle name="Percent" xfId="1" builtinId="5"/>
  </cellStyles>
  <dxfs count="0"/>
  <tableStyles count="1" defaultTableStyle="TableStyleMedium2" defaultPivotStyle="PivotStyleLight16">
    <tableStyle name="Invisible" pivot="0" table="0" count="0" xr9:uid="{CCC107FC-D1AC-4EAE-97B3-080F5078C3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Expansion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PnL!$F$25:$AA$25</c:f>
              <c:numCache>
                <c:formatCode>General</c:formatCode>
                <c:ptCount val="22"/>
                <c:pt idx="0">
                  <c:v>-26835</c:v>
                </c:pt>
                <c:pt idx="1">
                  <c:v>25599</c:v>
                </c:pt>
                <c:pt idx="2">
                  <c:v>37638</c:v>
                </c:pt>
                <c:pt idx="3">
                  <c:v>29316</c:v>
                </c:pt>
                <c:pt idx="4">
                  <c:v>41803</c:v>
                </c:pt>
                <c:pt idx="5">
                  <c:v>3577</c:v>
                </c:pt>
                <c:pt idx="6">
                  <c:v>28115</c:v>
                </c:pt>
                <c:pt idx="7">
                  <c:v>724</c:v>
                </c:pt>
                <c:pt idx="8">
                  <c:v>35701</c:v>
                </c:pt>
                <c:pt idx="9">
                  <c:v>26351</c:v>
                </c:pt>
                <c:pt idx="10">
                  <c:v>39167</c:v>
                </c:pt>
                <c:pt idx="11">
                  <c:v>11808</c:v>
                </c:pt>
                <c:pt idx="12">
                  <c:v>160171</c:v>
                </c:pt>
                <c:pt idx="13">
                  <c:v>183766</c:v>
                </c:pt>
                <c:pt idx="14">
                  <c:v>178826</c:v>
                </c:pt>
                <c:pt idx="15">
                  <c:v>246554</c:v>
                </c:pt>
                <c:pt idx="16">
                  <c:v>313640</c:v>
                </c:pt>
                <c:pt idx="17">
                  <c:v>291992</c:v>
                </c:pt>
                <c:pt idx="18">
                  <c:v>201604</c:v>
                </c:pt>
                <c:pt idx="19">
                  <c:v>-15551</c:v>
                </c:pt>
                <c:pt idx="20">
                  <c:v>-576075</c:v>
                </c:pt>
                <c:pt idx="21">
                  <c:v>-1868637</c:v>
                </c:pt>
              </c:numCache>
            </c:numRef>
          </c:val>
          <c:smooth val="0"/>
          <c:extLst>
            <c:ext xmlns:c16="http://schemas.microsoft.com/office/drawing/2014/chart" uri="{C3380CC4-5D6E-409C-BE32-E72D297353CC}">
              <c16:uniqueId val="{00000000-4857-4CA3-83E8-35E5F1815702}"/>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PnL!$F$26:$AA$26</c:f>
              <c:numCache>
                <c:formatCode>General</c:formatCode>
                <c:ptCount val="22"/>
                <c:pt idx="0">
                  <c:v>-26835</c:v>
                </c:pt>
                <c:pt idx="1">
                  <c:v>25599</c:v>
                </c:pt>
                <c:pt idx="2">
                  <c:v>37638</c:v>
                </c:pt>
                <c:pt idx="3">
                  <c:v>29316</c:v>
                </c:pt>
                <c:pt idx="4">
                  <c:v>41803</c:v>
                </c:pt>
                <c:pt idx="5">
                  <c:v>3577</c:v>
                </c:pt>
                <c:pt idx="6">
                  <c:v>28115</c:v>
                </c:pt>
                <c:pt idx="7">
                  <c:v>724</c:v>
                </c:pt>
                <c:pt idx="8">
                  <c:v>35701</c:v>
                </c:pt>
                <c:pt idx="9">
                  <c:v>26351</c:v>
                </c:pt>
                <c:pt idx="10">
                  <c:v>39167</c:v>
                </c:pt>
                <c:pt idx="11">
                  <c:v>11808</c:v>
                </c:pt>
                <c:pt idx="12">
                  <c:v>160171</c:v>
                </c:pt>
                <c:pt idx="13">
                  <c:v>183766</c:v>
                </c:pt>
                <c:pt idx="14">
                  <c:v>178826</c:v>
                </c:pt>
                <c:pt idx="15">
                  <c:v>246554</c:v>
                </c:pt>
                <c:pt idx="16">
                  <c:v>282276</c:v>
                </c:pt>
                <c:pt idx="17">
                  <c:v>262792.8</c:v>
                </c:pt>
                <c:pt idx="18">
                  <c:v>181443.6</c:v>
                </c:pt>
                <c:pt idx="19">
                  <c:v>-15551</c:v>
                </c:pt>
                <c:pt idx="20">
                  <c:v>-576075</c:v>
                </c:pt>
                <c:pt idx="21">
                  <c:v>-1868637</c:v>
                </c:pt>
              </c:numCache>
            </c:numRef>
          </c:val>
          <c:smooth val="0"/>
          <c:extLst>
            <c:ext xmlns:c16="http://schemas.microsoft.com/office/drawing/2014/chart" uri="{C3380CC4-5D6E-409C-BE32-E72D297353CC}">
              <c16:uniqueId val="{00000001-4857-4CA3-83E8-35E5F1815702}"/>
            </c:ext>
          </c:extLst>
        </c:ser>
        <c:dLbls>
          <c:showLegendKey val="0"/>
          <c:showVal val="0"/>
          <c:showCatName val="0"/>
          <c:showSerName val="0"/>
          <c:showPercent val="0"/>
          <c:showBubbleSize val="0"/>
        </c:dLbls>
        <c:marker val="1"/>
        <c:smooth val="0"/>
        <c:axId val="1625368016"/>
        <c:axId val="1625374256"/>
      </c:lineChart>
      <c:catAx>
        <c:axId val="1625368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74256"/>
        <c:crosses val="autoZero"/>
        <c:auto val="1"/>
        <c:lblAlgn val="ctr"/>
        <c:lblOffset val="100"/>
        <c:noMultiLvlLbl val="0"/>
      </c:catAx>
      <c:valAx>
        <c:axId val="162537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6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Post</a:t>
            </a:r>
            <a:r>
              <a:rPr lang="en-US" baseline="0"/>
              <a:t> Expansion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PnL!$F$29:$AA$29</c:f>
              <c:numCache>
                <c:formatCode>General</c:formatCode>
                <c:ptCount val="22"/>
                <c:pt idx="0">
                  <c:v>-26835</c:v>
                </c:pt>
                <c:pt idx="1">
                  <c:v>25599</c:v>
                </c:pt>
                <c:pt idx="2">
                  <c:v>37638</c:v>
                </c:pt>
                <c:pt idx="3">
                  <c:v>29316</c:v>
                </c:pt>
                <c:pt idx="4">
                  <c:v>41803</c:v>
                </c:pt>
                <c:pt idx="5">
                  <c:v>3577</c:v>
                </c:pt>
                <c:pt idx="6">
                  <c:v>28115</c:v>
                </c:pt>
                <c:pt idx="7">
                  <c:v>724</c:v>
                </c:pt>
                <c:pt idx="8">
                  <c:v>35701</c:v>
                </c:pt>
                <c:pt idx="9">
                  <c:v>26351</c:v>
                </c:pt>
                <c:pt idx="10">
                  <c:v>39167</c:v>
                </c:pt>
                <c:pt idx="11">
                  <c:v>11808</c:v>
                </c:pt>
                <c:pt idx="12">
                  <c:v>160171</c:v>
                </c:pt>
                <c:pt idx="13">
                  <c:v>183766</c:v>
                </c:pt>
                <c:pt idx="14">
                  <c:v>178826</c:v>
                </c:pt>
                <c:pt idx="15">
                  <c:v>246554</c:v>
                </c:pt>
                <c:pt idx="16">
                  <c:v>313640</c:v>
                </c:pt>
                <c:pt idx="17">
                  <c:v>2536450</c:v>
                </c:pt>
                <c:pt idx="18">
                  <c:v>2691035</c:v>
                </c:pt>
                <c:pt idx="19">
                  <c:v>2870818</c:v>
                </c:pt>
                <c:pt idx="20">
                  <c:v>2619492</c:v>
                </c:pt>
                <c:pt idx="21">
                  <c:v>1719241</c:v>
                </c:pt>
              </c:numCache>
            </c:numRef>
          </c:val>
          <c:smooth val="0"/>
          <c:extLst>
            <c:ext xmlns:c16="http://schemas.microsoft.com/office/drawing/2014/chart" uri="{C3380CC4-5D6E-409C-BE32-E72D297353CC}">
              <c16:uniqueId val="{00000000-0B5E-49BA-A519-1356661FF3F0}"/>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PnL!$F$30:$AA$30</c:f>
              <c:numCache>
                <c:formatCode>General</c:formatCode>
                <c:ptCount val="22"/>
                <c:pt idx="0">
                  <c:v>-26835</c:v>
                </c:pt>
                <c:pt idx="1">
                  <c:v>25599</c:v>
                </c:pt>
                <c:pt idx="2">
                  <c:v>37638</c:v>
                </c:pt>
                <c:pt idx="3">
                  <c:v>29316</c:v>
                </c:pt>
                <c:pt idx="4">
                  <c:v>41803</c:v>
                </c:pt>
                <c:pt idx="5">
                  <c:v>3577</c:v>
                </c:pt>
                <c:pt idx="6">
                  <c:v>28115</c:v>
                </c:pt>
                <c:pt idx="7">
                  <c:v>724</c:v>
                </c:pt>
                <c:pt idx="8">
                  <c:v>35701</c:v>
                </c:pt>
                <c:pt idx="9">
                  <c:v>26351</c:v>
                </c:pt>
                <c:pt idx="10">
                  <c:v>39167</c:v>
                </c:pt>
                <c:pt idx="11">
                  <c:v>11808</c:v>
                </c:pt>
                <c:pt idx="12">
                  <c:v>160171</c:v>
                </c:pt>
                <c:pt idx="13">
                  <c:v>183766</c:v>
                </c:pt>
                <c:pt idx="14">
                  <c:v>178826</c:v>
                </c:pt>
                <c:pt idx="15">
                  <c:v>246554</c:v>
                </c:pt>
                <c:pt idx="16">
                  <c:v>282276</c:v>
                </c:pt>
                <c:pt idx="17">
                  <c:v>2282805</c:v>
                </c:pt>
                <c:pt idx="18">
                  <c:v>2421931.5</c:v>
                </c:pt>
                <c:pt idx="19">
                  <c:v>2583736.2000000002</c:v>
                </c:pt>
                <c:pt idx="20">
                  <c:v>2357542.7999999998</c:v>
                </c:pt>
                <c:pt idx="21">
                  <c:v>1547316.9</c:v>
                </c:pt>
              </c:numCache>
            </c:numRef>
          </c:val>
          <c:smooth val="0"/>
          <c:extLst>
            <c:ext xmlns:c16="http://schemas.microsoft.com/office/drawing/2014/chart" uri="{C3380CC4-5D6E-409C-BE32-E72D297353CC}">
              <c16:uniqueId val="{00000001-0B5E-49BA-A519-1356661FF3F0}"/>
            </c:ext>
          </c:extLst>
        </c:ser>
        <c:dLbls>
          <c:showLegendKey val="0"/>
          <c:showVal val="0"/>
          <c:showCatName val="0"/>
          <c:showSerName val="0"/>
          <c:showPercent val="0"/>
          <c:showBubbleSize val="0"/>
        </c:dLbls>
        <c:marker val="1"/>
        <c:smooth val="0"/>
        <c:axId val="493031263"/>
        <c:axId val="493031743"/>
      </c:lineChart>
      <c:catAx>
        <c:axId val="4930312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1743"/>
        <c:crosses val="autoZero"/>
        <c:auto val="0"/>
        <c:lblAlgn val="ctr"/>
        <c:lblOffset val="100"/>
        <c:noMultiLvlLbl val="0"/>
      </c:catAx>
      <c:valAx>
        <c:axId val="493031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1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31" fmlaLink="$C$21" inc="5" max="300" min="230" page="10" val="260"/>
</file>

<file path=xl/ctrlProps/ctrlProp10.xml><?xml version="1.0" encoding="utf-8"?>
<formControlPr xmlns="http://schemas.microsoft.com/office/spreadsheetml/2009/9/main" objectType="Scroll" dx="31" fmlaLink="$C$52" inc="0" max="17" min="12" page="0" val="15"/>
</file>

<file path=xl/ctrlProps/ctrlProp11.xml><?xml version="1.0" encoding="utf-8"?>
<formControlPr xmlns="http://schemas.microsoft.com/office/spreadsheetml/2009/9/main" objectType="Scroll" dx="31" fmlaLink="$C$56" inc="0" max="2" page="0" val="0"/>
</file>

<file path=xl/ctrlProps/ctrlProp12.xml><?xml version="1.0" encoding="utf-8"?>
<formControlPr xmlns="http://schemas.microsoft.com/office/spreadsheetml/2009/9/main" objectType="Spin" dx="31" fmlaLink="$F$52" max="8" min="3" page="10" val="5"/>
</file>

<file path=xl/ctrlProps/ctrlProp13.xml><?xml version="1.0" encoding="utf-8"?>
<formControlPr xmlns="http://schemas.microsoft.com/office/spreadsheetml/2009/9/main" objectType="Spin" dx="31" fmlaLink="$F$56" inc="500" max="4000" min="2000" page="10" val="3000"/>
</file>

<file path=xl/ctrlProps/ctrlProp14.xml><?xml version="1.0" encoding="utf-8"?>
<formControlPr xmlns="http://schemas.microsoft.com/office/spreadsheetml/2009/9/main" objectType="Spin" dx="31" fmlaLink="$D$64" inc="5" max="100" page="10" val="50"/>
</file>

<file path=xl/ctrlProps/ctrlProp15.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Spin" dx="31" fmlaLink="$G$21" inc="5" max="300" min="220" page="10" val="250"/>
</file>

<file path=xl/ctrlProps/ctrlProp3.xml><?xml version="1.0" encoding="utf-8"?>
<formControlPr xmlns="http://schemas.microsoft.com/office/spreadsheetml/2009/9/main" objectType="Spin" dx="31" fmlaLink="$C$26" inc="5" max="100" min="60" page="10" val="90"/>
</file>

<file path=xl/ctrlProps/ctrlProp4.xml><?xml version="1.0" encoding="utf-8"?>
<formControlPr xmlns="http://schemas.microsoft.com/office/spreadsheetml/2009/9/main" objectType="Spin" dx="31" fmlaLink="$G$26" inc="5" max="100" min="60" page="10" val="80"/>
</file>

<file path=xl/ctrlProps/ctrlProp5.xml><?xml version="1.0" encoding="utf-8"?>
<formControlPr xmlns="http://schemas.microsoft.com/office/spreadsheetml/2009/9/main" objectType="Spin" dx="31" fmlaLink="$C$35" inc="5" max="90" min="40" page="10" val="60"/>
</file>

<file path=xl/ctrlProps/ctrlProp6.xml><?xml version="1.0" encoding="utf-8"?>
<formControlPr xmlns="http://schemas.microsoft.com/office/spreadsheetml/2009/9/main" objectType="Spin" dx="31" fmlaLink="$C$39" inc="500" max="27000" min="18000" page="10" val="22000"/>
</file>

<file path=xl/ctrlProps/ctrlProp7.xml><?xml version="1.0" encoding="utf-8"?>
<formControlPr xmlns="http://schemas.microsoft.com/office/spreadsheetml/2009/9/main" objectType="Spin" dx="31" fmlaLink="$C$43" inc="500" max="30000" min="25000" page="10" val="29000"/>
</file>

<file path=xl/ctrlProps/ctrlProp8.xml><?xml version="1.0" encoding="utf-8"?>
<formControlPr xmlns="http://schemas.microsoft.com/office/spreadsheetml/2009/9/main" objectType="Scroll" dx="31" fmlaLink="$G$35" max="30" min="15" page="5" val="20"/>
</file>

<file path=xl/ctrlProps/ctrlProp9.xml><?xml version="1.0" encoding="utf-8"?>
<formControlPr xmlns="http://schemas.microsoft.com/office/spreadsheetml/2009/9/main" objectType="Scroll" dx="31" fmlaLink="$G$39" max="25" min="5" page="0" val="10"/>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266700</xdr:colOff>
          <xdr:row>18</xdr:row>
          <xdr:rowOff>165100</xdr:rowOff>
        </xdr:from>
        <xdr:to>
          <xdr:col>1</xdr:col>
          <xdr:colOff>1054100</xdr:colOff>
          <xdr:row>22</xdr:row>
          <xdr:rowOff>95250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165100</xdr:colOff>
          <xdr:row>18</xdr:row>
          <xdr:rowOff>120650</xdr:rowOff>
        </xdr:from>
        <xdr:to>
          <xdr:col>5</xdr:col>
          <xdr:colOff>952500</xdr:colOff>
          <xdr:row>22</xdr:row>
          <xdr:rowOff>50800</xdr:rowOff>
        </xdr:to>
        <xdr:sp macro="" textlink="">
          <xdr:nvSpPr>
            <xdr:cNvPr id="1029" name="Spinner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292100</xdr:colOff>
          <xdr:row>24</xdr:row>
          <xdr:rowOff>101600</xdr:rowOff>
        </xdr:from>
        <xdr:to>
          <xdr:col>1</xdr:col>
          <xdr:colOff>1092200</xdr:colOff>
          <xdr:row>27</xdr:row>
          <xdr:rowOff>95250</xdr:rowOff>
        </xdr:to>
        <xdr:sp macro="" textlink="">
          <xdr:nvSpPr>
            <xdr:cNvPr id="1038" name="Spinner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165100</xdr:colOff>
          <xdr:row>24</xdr:row>
          <xdr:rowOff>44450</xdr:rowOff>
        </xdr:from>
        <xdr:to>
          <xdr:col>5</xdr:col>
          <xdr:colOff>977900</xdr:colOff>
          <xdr:row>27</xdr:row>
          <xdr:rowOff>38100</xdr:rowOff>
        </xdr:to>
        <xdr:sp macro="" textlink="">
          <xdr:nvSpPr>
            <xdr:cNvPr id="1039" name="Spinner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482600</xdr:colOff>
          <xdr:row>33</xdr:row>
          <xdr:rowOff>171450</xdr:rowOff>
        </xdr:from>
        <xdr:to>
          <xdr:col>1</xdr:col>
          <xdr:colOff>901700</xdr:colOff>
          <xdr:row>36</xdr:row>
          <xdr:rowOff>146050</xdr:rowOff>
        </xdr:to>
        <xdr:sp macro="" textlink="">
          <xdr:nvSpPr>
            <xdr:cNvPr id="1040" name="Spinner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482600</xdr:colOff>
          <xdr:row>37</xdr:row>
          <xdr:rowOff>146050</xdr:rowOff>
        </xdr:from>
        <xdr:to>
          <xdr:col>1</xdr:col>
          <xdr:colOff>901700</xdr:colOff>
          <xdr:row>40</xdr:row>
          <xdr:rowOff>114300</xdr:rowOff>
        </xdr:to>
        <xdr:sp macro="" textlink="">
          <xdr:nvSpPr>
            <xdr:cNvPr id="1042" name="Spinner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495300</xdr:colOff>
          <xdr:row>41</xdr:row>
          <xdr:rowOff>171450</xdr:rowOff>
        </xdr:from>
        <xdr:to>
          <xdr:col>1</xdr:col>
          <xdr:colOff>882650</xdr:colOff>
          <xdr:row>44</xdr:row>
          <xdr:rowOff>133350</xdr:rowOff>
        </xdr:to>
        <xdr:sp macro="" textlink="">
          <xdr:nvSpPr>
            <xdr:cNvPr id="1043" name="Spinner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527050</xdr:colOff>
          <xdr:row>33</xdr:row>
          <xdr:rowOff>63500</xdr:rowOff>
        </xdr:from>
        <xdr:to>
          <xdr:col>5</xdr:col>
          <xdr:colOff>742950</xdr:colOff>
          <xdr:row>37</xdr:row>
          <xdr:rowOff>44450</xdr:rowOff>
        </xdr:to>
        <xdr:sp macro="" textlink="">
          <xdr:nvSpPr>
            <xdr:cNvPr id="1044" name="Scroll Bar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527050</xdr:colOff>
          <xdr:row>37</xdr:row>
          <xdr:rowOff>165100</xdr:rowOff>
        </xdr:from>
        <xdr:to>
          <xdr:col>5</xdr:col>
          <xdr:colOff>723900</xdr:colOff>
          <xdr:row>41</xdr:row>
          <xdr:rowOff>95249</xdr:rowOff>
        </xdr:to>
        <xdr:sp macro="" textlink="">
          <xdr:nvSpPr>
            <xdr:cNvPr id="1045" name="Scroll Bar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1047750</xdr:colOff>
          <xdr:row>50</xdr:row>
          <xdr:rowOff>38100</xdr:rowOff>
        </xdr:from>
        <xdr:to>
          <xdr:col>1</xdr:col>
          <xdr:colOff>1168400</xdr:colOff>
          <xdr:row>53</xdr:row>
          <xdr:rowOff>146051</xdr:rowOff>
        </xdr:to>
        <xdr:sp macro="" textlink="">
          <xdr:nvSpPr>
            <xdr:cNvPr id="1048" name="Scroll Bar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1054100</xdr:colOff>
          <xdr:row>54</xdr:row>
          <xdr:rowOff>101600</xdr:rowOff>
        </xdr:from>
        <xdr:to>
          <xdr:col>1</xdr:col>
          <xdr:colOff>1174750</xdr:colOff>
          <xdr:row>58</xdr:row>
          <xdr:rowOff>25400</xdr:rowOff>
        </xdr:to>
        <xdr:sp macro="" textlink="">
          <xdr:nvSpPr>
            <xdr:cNvPr id="1050" name="Scroll Bar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50</xdr:row>
          <xdr:rowOff>25400</xdr:rowOff>
        </xdr:from>
        <xdr:to>
          <xdr:col>4</xdr:col>
          <xdr:colOff>774700</xdr:colOff>
          <xdr:row>53</xdr:row>
          <xdr:rowOff>114300</xdr:rowOff>
        </xdr:to>
        <xdr:sp macro="" textlink="">
          <xdr:nvSpPr>
            <xdr:cNvPr id="1051" name="Spinner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317500</xdr:colOff>
          <xdr:row>54</xdr:row>
          <xdr:rowOff>57150</xdr:rowOff>
        </xdr:from>
        <xdr:to>
          <xdr:col>4</xdr:col>
          <xdr:colOff>787400</xdr:colOff>
          <xdr:row>57</xdr:row>
          <xdr:rowOff>139700</xdr:rowOff>
        </xdr:to>
        <xdr:sp macro="" textlink="">
          <xdr:nvSpPr>
            <xdr:cNvPr id="1053" name="Spinner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146050</xdr:colOff>
          <xdr:row>62</xdr:row>
          <xdr:rowOff>50800</xdr:rowOff>
        </xdr:from>
        <xdr:to>
          <xdr:col>2</xdr:col>
          <xdr:colOff>635000</xdr:colOff>
          <xdr:row>65</xdr:row>
          <xdr:rowOff>177800</xdr:rowOff>
        </xdr:to>
        <xdr:sp macro="" textlink="">
          <xdr:nvSpPr>
            <xdr:cNvPr id="1054" name="Spinner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62</xdr:row>
          <xdr:rowOff>63500</xdr:rowOff>
        </xdr:from>
        <xdr:to>
          <xdr:col>6</xdr:col>
          <xdr:colOff>774700</xdr:colOff>
          <xdr:row>64</xdr:row>
          <xdr:rowOff>82550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Should Expansion Be Taken</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9</xdr:col>
      <xdr:colOff>0</xdr:colOff>
      <xdr:row>30</xdr:row>
      <xdr:rowOff>115455</xdr:rowOff>
    </xdr:from>
    <xdr:to>
      <xdr:col>13</xdr:col>
      <xdr:colOff>663864</xdr:colOff>
      <xdr:row>43</xdr:row>
      <xdr:rowOff>129592</xdr:rowOff>
    </xdr:to>
    <xdr:graphicFrame macro="">
      <xdr:nvGraphicFramePr>
        <xdr:cNvPr id="2" name="Chart 1">
          <a:extLst>
            <a:ext uri="{FF2B5EF4-FFF2-40B4-BE49-F238E27FC236}">
              <a16:creationId xmlns:a16="http://schemas.microsoft.com/office/drawing/2014/main" id="{1F30EFB7-1341-4A53-B316-EBF010954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72159</xdr:colOff>
      <xdr:row>30</xdr:row>
      <xdr:rowOff>129886</xdr:rowOff>
    </xdr:from>
    <xdr:to>
      <xdr:col>21</xdr:col>
      <xdr:colOff>764886</xdr:colOff>
      <xdr:row>43</xdr:row>
      <xdr:rowOff>116632</xdr:rowOff>
    </xdr:to>
    <xdr:graphicFrame macro="">
      <xdr:nvGraphicFramePr>
        <xdr:cNvPr id="3" name="Chart 2">
          <a:extLst>
            <a:ext uri="{FF2B5EF4-FFF2-40B4-BE49-F238E27FC236}">
              <a16:creationId xmlns:a16="http://schemas.microsoft.com/office/drawing/2014/main" id="{45605A2B-239D-489E-9A6D-10AD050AC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343958</xdr:colOff>
      <xdr:row>1</xdr:row>
      <xdr:rowOff>79376</xdr:rowOff>
    </xdr:from>
    <xdr:to>
      <xdr:col>31</xdr:col>
      <xdr:colOff>52917</xdr:colOff>
      <xdr:row>37</xdr:row>
      <xdr:rowOff>158750</xdr:rowOff>
    </xdr:to>
    <xdr:pic>
      <xdr:nvPicPr>
        <xdr:cNvPr id="6" name="Picture 5">
          <a:extLst>
            <a:ext uri="{FF2B5EF4-FFF2-40B4-BE49-F238E27FC236}">
              <a16:creationId xmlns:a16="http://schemas.microsoft.com/office/drawing/2014/main" id="{F0D762B6-736B-9951-94C5-E0779F523CC5}"/>
            </a:ext>
          </a:extLst>
        </xdr:cNvPr>
        <xdr:cNvPicPr>
          <a:picLocks noChangeAspect="1"/>
        </xdr:cNvPicPr>
      </xdr:nvPicPr>
      <xdr:blipFill>
        <a:blip xmlns:r="http://schemas.openxmlformats.org/officeDocument/2006/relationships" r:embed="rId3"/>
        <a:stretch>
          <a:fillRect/>
        </a:stretch>
      </xdr:blipFill>
      <xdr:spPr>
        <a:xfrm>
          <a:off x="18838333" y="264584"/>
          <a:ext cx="5185834" cy="72628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E6BA8-5EAF-47EB-A199-EA932B0CAA1A}">
  <dimension ref="A1:H68"/>
  <sheetViews>
    <sheetView topLeftCell="A9" zoomScale="62" zoomScaleNormal="62" workbookViewId="0">
      <selection activeCell="I33" sqref="I33"/>
    </sheetView>
  </sheetViews>
  <sheetFormatPr defaultRowHeight="14.5"/>
  <cols>
    <col min="1" max="1" width="11.90625" customWidth="1"/>
    <col min="2" max="2" width="23.08984375" customWidth="1"/>
    <col min="3" max="3" width="19.54296875" customWidth="1"/>
    <col min="4" max="4" width="16.36328125" customWidth="1"/>
    <col min="5" max="5" width="17.08984375" customWidth="1"/>
    <col min="6" max="6" width="23.1796875" customWidth="1"/>
    <col min="7" max="7" width="20.90625" customWidth="1"/>
  </cols>
  <sheetData>
    <row r="1" spans="1:7" ht="15" thickBot="1"/>
    <row r="2" spans="1:7">
      <c r="B2" s="262" t="s">
        <v>147</v>
      </c>
      <c r="C2" s="263"/>
    </row>
    <row r="3" spans="1:7" ht="15" thickBot="1">
      <c r="B3" s="264"/>
      <c r="C3" s="265"/>
    </row>
    <row r="4" spans="1:7" ht="29.5" thickBot="1">
      <c r="B4" s="326" t="s">
        <v>338</v>
      </c>
    </row>
    <row r="5" spans="1:7" hidden="1"/>
    <row r="6" spans="1:7" hidden="1"/>
    <row r="7" spans="1:7" hidden="1"/>
    <row r="8" spans="1:7" ht="15" thickBot="1"/>
    <row r="9" spans="1:7" ht="37.5" customHeight="1">
      <c r="B9" s="266" t="s">
        <v>166</v>
      </c>
      <c r="C9" s="267"/>
      <c r="F9" s="266" t="s">
        <v>166</v>
      </c>
      <c r="G9" s="267"/>
    </row>
    <row r="10" spans="1:7" ht="25.5" customHeight="1" thickBot="1">
      <c r="B10" s="55" t="s">
        <v>167</v>
      </c>
      <c r="C10" s="133">
        <v>2030</v>
      </c>
      <c r="F10" s="55" t="s">
        <v>167</v>
      </c>
      <c r="G10" s="133">
        <v>2030</v>
      </c>
    </row>
    <row r="11" spans="1:7">
      <c r="A11" s="268" t="s">
        <v>164</v>
      </c>
      <c r="B11" s="56" t="s">
        <v>168</v>
      </c>
      <c r="C11" s="53">
        <f>HLOOKUP(C10,PnL!Y1:AC5,5,FALSE)</f>
        <v>2136240</v>
      </c>
      <c r="E11" s="268" t="s">
        <v>227</v>
      </c>
      <c r="F11" s="56" t="s">
        <v>168</v>
      </c>
      <c r="G11" s="53">
        <f>HLOOKUP(G10,PnL!AG1:AK5,5,FALSE)</f>
        <v>7382240</v>
      </c>
    </row>
    <row r="12" spans="1:7">
      <c r="A12" s="268"/>
      <c r="B12" s="57" t="s">
        <v>169</v>
      </c>
      <c r="C12" s="54">
        <f>HLOOKUP(C10,PnL!Y1:AC15,15,FALSE)</f>
        <v>291992</v>
      </c>
      <c r="E12" s="268"/>
      <c r="F12" s="57" t="s">
        <v>169</v>
      </c>
      <c r="G12" s="54">
        <f>HLOOKUP(G10,PnL!AG1:AK15,15,FALSE)</f>
        <v>2536450</v>
      </c>
    </row>
    <row r="13" spans="1:7">
      <c r="A13" s="268"/>
      <c r="B13" s="57" t="s">
        <v>170</v>
      </c>
      <c r="C13" s="134">
        <f>HLOOKUP(C10,CFS!Y2:AC28,27,FALSE)</f>
        <v>3422399</v>
      </c>
      <c r="E13" s="268"/>
      <c r="F13" s="57" t="s">
        <v>170</v>
      </c>
      <c r="G13" s="134">
        <f>HLOOKUP(G10,CFS!AG2:AK28,27,FALSE)</f>
        <v>9101584</v>
      </c>
    </row>
    <row r="14" spans="1:7">
      <c r="A14" s="268"/>
      <c r="B14" s="57" t="s">
        <v>114</v>
      </c>
      <c r="C14" s="54">
        <f>HLOOKUP(C10,'Balance Sheet'!Y2:AC36,35,FALSE)</f>
        <v>3486769</v>
      </c>
      <c r="E14" s="268"/>
      <c r="F14" s="57" t="s">
        <v>114</v>
      </c>
      <c r="G14" s="54">
        <f>HLOOKUP(G10,'Balance Sheet'!AG2:AK36,35,FALSE)</f>
        <v>9264427</v>
      </c>
    </row>
    <row r="15" spans="1:7">
      <c r="A15" s="269"/>
      <c r="B15" s="7"/>
      <c r="E15" s="268"/>
    </row>
    <row r="16" spans="1:7">
      <c r="A16" s="269"/>
      <c r="B16" s="7"/>
      <c r="E16" s="268"/>
    </row>
    <row r="17" spans="1:7" ht="15" thickBot="1"/>
    <row r="18" spans="1:7" ht="21.5" thickBot="1">
      <c r="A18" s="153"/>
      <c r="B18" s="157" t="s">
        <v>323</v>
      </c>
      <c r="C18" s="155"/>
      <c r="D18" s="155"/>
      <c r="E18" s="155"/>
      <c r="F18" s="155"/>
      <c r="G18" s="156"/>
    </row>
    <row r="19" spans="1:7">
      <c r="A19" s="142"/>
      <c r="B19" s="143"/>
      <c r="C19" s="143"/>
      <c r="D19" s="143"/>
      <c r="E19" s="143"/>
      <c r="F19" s="143"/>
      <c r="G19" s="144"/>
    </row>
    <row r="20" spans="1:7">
      <c r="A20" s="145" t="s">
        <v>321</v>
      </c>
      <c r="B20" s="135"/>
      <c r="C20" s="135"/>
      <c r="D20" s="135"/>
      <c r="E20" s="135" t="s">
        <v>322</v>
      </c>
      <c r="F20" s="135"/>
      <c r="G20" s="146"/>
    </row>
    <row r="21" spans="1:7">
      <c r="A21" s="145"/>
      <c r="B21" s="135"/>
      <c r="C21" s="135">
        <v>260</v>
      </c>
      <c r="D21" s="135"/>
      <c r="E21" s="135"/>
      <c r="F21" s="135"/>
      <c r="G21" s="146">
        <v>250</v>
      </c>
    </row>
    <row r="22" spans="1:7">
      <c r="A22" s="145"/>
      <c r="B22" s="135"/>
      <c r="C22" s="135"/>
      <c r="D22" s="135"/>
      <c r="E22" s="135"/>
      <c r="F22" s="135"/>
      <c r="G22" s="146"/>
    </row>
    <row r="23" spans="1:7">
      <c r="A23" s="145"/>
      <c r="B23" s="135"/>
      <c r="C23" s="135"/>
      <c r="D23" s="135"/>
      <c r="E23" s="135"/>
      <c r="F23" s="135"/>
      <c r="G23" s="146"/>
    </row>
    <row r="24" spans="1:7">
      <c r="A24" s="145"/>
      <c r="B24" s="135"/>
      <c r="C24" s="135"/>
      <c r="D24" s="135"/>
      <c r="E24" s="135"/>
      <c r="F24" s="135"/>
      <c r="G24" s="146"/>
    </row>
    <row r="25" spans="1:7">
      <c r="A25" s="145"/>
      <c r="B25" s="135"/>
      <c r="C25" s="135"/>
      <c r="D25" s="135"/>
      <c r="E25" s="135"/>
      <c r="F25" s="135"/>
      <c r="G25" s="146"/>
    </row>
    <row r="26" spans="1:7" ht="43.5">
      <c r="A26" s="147" t="s">
        <v>324</v>
      </c>
      <c r="B26" s="135"/>
      <c r="C26" s="148">
        <v>90</v>
      </c>
      <c r="D26" s="135"/>
      <c r="E26" s="149" t="s">
        <v>325</v>
      </c>
      <c r="F26" s="135"/>
      <c r="G26" s="146">
        <v>80</v>
      </c>
    </row>
    <row r="27" spans="1:7">
      <c r="A27" s="145"/>
      <c r="B27" s="135"/>
      <c r="C27" s="135"/>
      <c r="D27" s="135"/>
      <c r="E27" s="135"/>
      <c r="F27" s="135"/>
      <c r="G27" s="146"/>
    </row>
    <row r="28" spans="1:7" ht="15" thickBot="1">
      <c r="A28" s="150"/>
      <c r="B28" s="151"/>
      <c r="C28" s="151"/>
      <c r="D28" s="151"/>
      <c r="E28" s="151"/>
      <c r="F28" s="151"/>
      <c r="G28" s="152"/>
    </row>
    <row r="32" spans="1:7" ht="15" thickBot="1"/>
    <row r="33" spans="1:7" ht="19" thickBot="1">
      <c r="A33" s="160"/>
      <c r="B33" s="161" t="s">
        <v>194</v>
      </c>
      <c r="C33" s="162"/>
      <c r="E33" s="270" t="s">
        <v>331</v>
      </c>
      <c r="F33" s="271"/>
      <c r="G33" s="272"/>
    </row>
    <row r="34" spans="1:7">
      <c r="A34" s="142"/>
      <c r="B34" s="143"/>
      <c r="C34" s="144"/>
      <c r="E34" s="137"/>
      <c r="F34" s="82"/>
      <c r="G34" s="138"/>
    </row>
    <row r="35" spans="1:7">
      <c r="A35" s="145"/>
      <c r="B35" s="135"/>
      <c r="C35" s="146">
        <v>60</v>
      </c>
      <c r="E35" s="137" t="s">
        <v>329</v>
      </c>
      <c r="F35" s="82"/>
      <c r="G35" s="138">
        <v>20</v>
      </c>
    </row>
    <row r="36" spans="1:7">
      <c r="A36" s="145" t="s">
        <v>326</v>
      </c>
      <c r="B36" s="135"/>
      <c r="C36" s="146"/>
      <c r="E36" s="137"/>
      <c r="F36" s="82"/>
      <c r="G36" s="138"/>
    </row>
    <row r="37" spans="1:7">
      <c r="A37" s="145"/>
      <c r="B37" s="135"/>
      <c r="C37" s="146"/>
      <c r="E37" s="137"/>
      <c r="F37" s="82"/>
      <c r="G37" s="138"/>
    </row>
    <row r="38" spans="1:7">
      <c r="A38" s="145"/>
      <c r="B38" s="135"/>
      <c r="C38" s="146"/>
      <c r="E38" s="137"/>
      <c r="F38" s="82"/>
      <c r="G38" s="138"/>
    </row>
    <row r="39" spans="1:7">
      <c r="A39" s="145"/>
      <c r="B39" s="135"/>
      <c r="C39" s="146">
        <v>22000</v>
      </c>
      <c r="E39" s="137"/>
      <c r="F39" s="82"/>
      <c r="G39" s="138">
        <v>10</v>
      </c>
    </row>
    <row r="40" spans="1:7">
      <c r="A40" s="145" t="s">
        <v>327</v>
      </c>
      <c r="B40" s="135"/>
      <c r="C40" s="146"/>
      <c r="E40" s="137" t="s">
        <v>330</v>
      </c>
      <c r="F40" s="82"/>
      <c r="G40" s="138"/>
    </row>
    <row r="41" spans="1:7">
      <c r="A41" s="145"/>
      <c r="B41" s="135"/>
      <c r="C41" s="146"/>
      <c r="E41" s="137"/>
      <c r="F41" s="82"/>
      <c r="G41" s="138"/>
    </row>
    <row r="42" spans="1:7" ht="15" thickBot="1">
      <c r="A42" s="145"/>
      <c r="B42" s="135"/>
      <c r="C42" s="146"/>
      <c r="E42" s="139"/>
      <c r="F42" s="140"/>
      <c r="G42" s="141"/>
    </row>
    <row r="43" spans="1:7">
      <c r="A43" s="145"/>
      <c r="B43" s="135"/>
      <c r="C43" s="146">
        <v>29000</v>
      </c>
    </row>
    <row r="44" spans="1:7">
      <c r="A44" s="145" t="s">
        <v>328</v>
      </c>
      <c r="B44" s="135"/>
      <c r="C44" s="146"/>
    </row>
    <row r="45" spans="1:7" ht="15" thickBot="1">
      <c r="A45" s="150"/>
      <c r="B45" s="151"/>
      <c r="C45" s="152"/>
    </row>
    <row r="48" spans="1:7" ht="15" thickBot="1"/>
    <row r="49" spans="1:8" ht="14" customHeight="1">
      <c r="A49" s="167"/>
      <c r="B49" s="279" t="s">
        <v>337</v>
      </c>
      <c r="C49" s="168"/>
      <c r="D49" s="168"/>
      <c r="E49" s="168"/>
      <c r="F49" s="168"/>
      <c r="G49" s="168"/>
      <c r="H49" s="169"/>
    </row>
    <row r="50" spans="1:8" ht="11" customHeight="1" thickBot="1">
      <c r="A50" s="170"/>
      <c r="B50" s="280"/>
      <c r="C50" s="171"/>
      <c r="D50" s="171"/>
      <c r="E50" s="171"/>
      <c r="F50" s="171"/>
      <c r="G50" s="171"/>
      <c r="H50" s="172"/>
    </row>
    <row r="51" spans="1:8">
      <c r="A51" s="84"/>
      <c r="B51" s="163"/>
      <c r="C51" s="164"/>
      <c r="D51" s="84"/>
      <c r="E51" s="163"/>
      <c r="F51" s="164"/>
      <c r="G51" s="273" t="s">
        <v>336</v>
      </c>
      <c r="H51" s="274"/>
    </row>
    <row r="52" spans="1:8">
      <c r="A52" s="137" t="s">
        <v>332</v>
      </c>
      <c r="B52" s="82"/>
      <c r="C52" s="165">
        <v>15</v>
      </c>
      <c r="D52" s="137" t="s">
        <v>334</v>
      </c>
      <c r="E52" s="82"/>
      <c r="F52" s="138">
        <v>5</v>
      </c>
      <c r="G52" s="275"/>
      <c r="H52" s="276"/>
    </row>
    <row r="53" spans="1:8">
      <c r="A53" s="137"/>
      <c r="B53" s="82"/>
      <c r="C53" s="165"/>
      <c r="D53" s="137"/>
      <c r="E53" s="82"/>
      <c r="F53" s="138"/>
      <c r="G53" s="275"/>
      <c r="H53" s="276"/>
    </row>
    <row r="54" spans="1:8">
      <c r="A54" s="137"/>
      <c r="B54" s="82"/>
      <c r="C54" s="165"/>
      <c r="D54" s="137"/>
      <c r="E54" s="82"/>
      <c r="F54" s="138"/>
      <c r="G54" s="275"/>
      <c r="H54" s="276"/>
    </row>
    <row r="55" spans="1:8">
      <c r="A55" s="137"/>
      <c r="B55" s="82"/>
      <c r="C55" s="165"/>
      <c r="D55" s="137"/>
      <c r="E55" s="82"/>
      <c r="F55" s="138"/>
      <c r="G55" s="275"/>
      <c r="H55" s="276"/>
    </row>
    <row r="56" spans="1:8">
      <c r="A56" s="137" t="s">
        <v>333</v>
      </c>
      <c r="B56" s="82"/>
      <c r="C56" s="166">
        <v>0</v>
      </c>
      <c r="D56" s="137" t="s">
        <v>335</v>
      </c>
      <c r="E56" s="82"/>
      <c r="F56" s="138">
        <v>3000</v>
      </c>
      <c r="G56" s="275"/>
      <c r="H56" s="276"/>
    </row>
    <row r="57" spans="1:8">
      <c r="A57" s="137"/>
      <c r="B57" s="82"/>
      <c r="C57" s="138"/>
      <c r="D57" s="137"/>
      <c r="E57" s="82"/>
      <c r="F57" s="138"/>
      <c r="G57" s="275"/>
      <c r="H57" s="276"/>
    </row>
    <row r="58" spans="1:8">
      <c r="A58" s="137"/>
      <c r="B58" s="82"/>
      <c r="C58" s="138"/>
      <c r="D58" s="137"/>
      <c r="E58" s="82"/>
      <c r="F58" s="138"/>
      <c r="G58" s="275"/>
      <c r="H58" s="276"/>
    </row>
    <row r="59" spans="1:8" ht="15" thickBot="1">
      <c r="A59" s="139"/>
      <c r="B59" s="140"/>
      <c r="C59" s="141"/>
      <c r="D59" s="139"/>
      <c r="E59" s="140"/>
      <c r="F59" s="141"/>
      <c r="G59" s="277"/>
      <c r="H59" s="278"/>
    </row>
    <row r="61" spans="1:8" ht="15" thickBot="1"/>
    <row r="62" spans="1:8" ht="15" thickBot="1">
      <c r="A62" s="158"/>
      <c r="B62" s="154" t="s">
        <v>358</v>
      </c>
      <c r="C62" s="154"/>
      <c r="D62" s="159"/>
      <c r="E62" s="207" t="s">
        <v>357</v>
      </c>
    </row>
    <row r="63" spans="1:8">
      <c r="A63" s="137" t="s">
        <v>354</v>
      </c>
      <c r="B63" s="82"/>
      <c r="C63" s="82"/>
      <c r="D63" s="138"/>
      <c r="E63" s="84"/>
      <c r="F63" s="164"/>
    </row>
    <row r="64" spans="1:8">
      <c r="A64" s="145" t="s">
        <v>298</v>
      </c>
      <c r="B64" s="82"/>
      <c r="C64" s="82"/>
      <c r="D64" s="138">
        <v>50</v>
      </c>
      <c r="E64" s="137"/>
      <c r="F64" s="138"/>
    </row>
    <row r="65" spans="1:6">
      <c r="A65" s="145"/>
      <c r="B65" s="82"/>
      <c r="C65" s="82"/>
      <c r="D65" s="138"/>
      <c r="E65" s="137"/>
      <c r="F65" s="138"/>
    </row>
    <row r="66" spans="1:6">
      <c r="A66" s="145" t="s">
        <v>299</v>
      </c>
      <c r="B66" s="82"/>
      <c r="C66" s="82"/>
      <c r="D66" s="138">
        <f>100-D64</f>
        <v>50</v>
      </c>
      <c r="E66" s="57" t="s">
        <v>315</v>
      </c>
      <c r="F66" s="208" t="s">
        <v>355</v>
      </c>
    </row>
    <row r="67" spans="1:6" ht="15" thickBot="1">
      <c r="A67" s="150"/>
      <c r="B67" s="140"/>
      <c r="C67" s="140"/>
      <c r="D67" s="141"/>
      <c r="E67" s="209" t="s">
        <v>164</v>
      </c>
      <c r="F67" s="54">
        <f>Valuation!C36</f>
        <v>1638620.664343073</v>
      </c>
    </row>
    <row r="68" spans="1:6" ht="15" thickBot="1">
      <c r="E68" s="210" t="s">
        <v>356</v>
      </c>
      <c r="F68" s="52">
        <f>Valuation!G36</f>
        <v>6539571.7400261387</v>
      </c>
    </row>
  </sheetData>
  <mergeCells count="8">
    <mergeCell ref="E33:G33"/>
    <mergeCell ref="G51:H59"/>
    <mergeCell ref="B49:B50"/>
    <mergeCell ref="B2:C3"/>
    <mergeCell ref="B9:C9"/>
    <mergeCell ref="A11:A16"/>
    <mergeCell ref="E11:E16"/>
    <mergeCell ref="F9:G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7" r:id="rId3" name="Spinner 3">
              <controlPr defaultSize="0" autoPict="0">
                <anchor moveWithCells="1" sizeWithCells="1">
                  <from>
                    <xdr:col>1</xdr:col>
                    <xdr:colOff>266700</xdr:colOff>
                    <xdr:row>18</xdr:row>
                    <xdr:rowOff>165100</xdr:rowOff>
                  </from>
                  <to>
                    <xdr:col>1</xdr:col>
                    <xdr:colOff>1054100</xdr:colOff>
                    <xdr:row>22</xdr:row>
                    <xdr:rowOff>95250</xdr:rowOff>
                  </to>
                </anchor>
              </controlPr>
            </control>
          </mc:Choice>
        </mc:AlternateContent>
        <mc:AlternateContent xmlns:mc="http://schemas.openxmlformats.org/markup-compatibility/2006">
          <mc:Choice Requires="x14">
            <control shapeId="1029" r:id="rId4" name="Spinner 5">
              <controlPr defaultSize="0" autoPict="0">
                <anchor moveWithCells="1" sizeWithCells="1">
                  <from>
                    <xdr:col>5</xdr:col>
                    <xdr:colOff>165100</xdr:colOff>
                    <xdr:row>18</xdr:row>
                    <xdr:rowOff>120650</xdr:rowOff>
                  </from>
                  <to>
                    <xdr:col>5</xdr:col>
                    <xdr:colOff>952500</xdr:colOff>
                    <xdr:row>22</xdr:row>
                    <xdr:rowOff>50800</xdr:rowOff>
                  </to>
                </anchor>
              </controlPr>
            </control>
          </mc:Choice>
        </mc:AlternateContent>
        <mc:AlternateContent xmlns:mc="http://schemas.openxmlformats.org/markup-compatibility/2006">
          <mc:Choice Requires="x14">
            <control shapeId="1038" r:id="rId5" name="Spinner 14">
              <controlPr defaultSize="0" autoPict="0">
                <anchor moveWithCells="1" sizeWithCells="1">
                  <from>
                    <xdr:col>1</xdr:col>
                    <xdr:colOff>292100</xdr:colOff>
                    <xdr:row>24</xdr:row>
                    <xdr:rowOff>101600</xdr:rowOff>
                  </from>
                  <to>
                    <xdr:col>1</xdr:col>
                    <xdr:colOff>1092200</xdr:colOff>
                    <xdr:row>27</xdr:row>
                    <xdr:rowOff>95250</xdr:rowOff>
                  </to>
                </anchor>
              </controlPr>
            </control>
          </mc:Choice>
        </mc:AlternateContent>
        <mc:AlternateContent xmlns:mc="http://schemas.openxmlformats.org/markup-compatibility/2006">
          <mc:Choice Requires="x14">
            <control shapeId="1039" r:id="rId6" name="Spinner 15">
              <controlPr defaultSize="0" autoPict="0">
                <anchor moveWithCells="1" sizeWithCells="1">
                  <from>
                    <xdr:col>5</xdr:col>
                    <xdr:colOff>165100</xdr:colOff>
                    <xdr:row>24</xdr:row>
                    <xdr:rowOff>44450</xdr:rowOff>
                  </from>
                  <to>
                    <xdr:col>5</xdr:col>
                    <xdr:colOff>977900</xdr:colOff>
                    <xdr:row>27</xdr:row>
                    <xdr:rowOff>38100</xdr:rowOff>
                  </to>
                </anchor>
              </controlPr>
            </control>
          </mc:Choice>
        </mc:AlternateContent>
        <mc:AlternateContent xmlns:mc="http://schemas.openxmlformats.org/markup-compatibility/2006">
          <mc:Choice Requires="x14">
            <control shapeId="1040" r:id="rId7" name="Spinner 16">
              <controlPr defaultSize="0" autoPict="0">
                <anchor moveWithCells="1" sizeWithCells="1">
                  <from>
                    <xdr:col>1</xdr:col>
                    <xdr:colOff>482600</xdr:colOff>
                    <xdr:row>33</xdr:row>
                    <xdr:rowOff>171450</xdr:rowOff>
                  </from>
                  <to>
                    <xdr:col>1</xdr:col>
                    <xdr:colOff>901700</xdr:colOff>
                    <xdr:row>36</xdr:row>
                    <xdr:rowOff>146050</xdr:rowOff>
                  </to>
                </anchor>
              </controlPr>
            </control>
          </mc:Choice>
        </mc:AlternateContent>
        <mc:AlternateContent xmlns:mc="http://schemas.openxmlformats.org/markup-compatibility/2006">
          <mc:Choice Requires="x14">
            <control shapeId="1042" r:id="rId8" name="Spinner 18">
              <controlPr defaultSize="0" autoPict="0">
                <anchor moveWithCells="1" sizeWithCells="1">
                  <from>
                    <xdr:col>1</xdr:col>
                    <xdr:colOff>482600</xdr:colOff>
                    <xdr:row>37</xdr:row>
                    <xdr:rowOff>146050</xdr:rowOff>
                  </from>
                  <to>
                    <xdr:col>1</xdr:col>
                    <xdr:colOff>901700</xdr:colOff>
                    <xdr:row>40</xdr:row>
                    <xdr:rowOff>114300</xdr:rowOff>
                  </to>
                </anchor>
              </controlPr>
            </control>
          </mc:Choice>
        </mc:AlternateContent>
        <mc:AlternateContent xmlns:mc="http://schemas.openxmlformats.org/markup-compatibility/2006">
          <mc:Choice Requires="x14">
            <control shapeId="1043" r:id="rId9" name="Spinner 19">
              <controlPr defaultSize="0" autoPict="0">
                <anchor moveWithCells="1" sizeWithCells="1">
                  <from>
                    <xdr:col>1</xdr:col>
                    <xdr:colOff>495300</xdr:colOff>
                    <xdr:row>41</xdr:row>
                    <xdr:rowOff>171450</xdr:rowOff>
                  </from>
                  <to>
                    <xdr:col>1</xdr:col>
                    <xdr:colOff>882650</xdr:colOff>
                    <xdr:row>44</xdr:row>
                    <xdr:rowOff>133350</xdr:rowOff>
                  </to>
                </anchor>
              </controlPr>
            </control>
          </mc:Choice>
        </mc:AlternateContent>
        <mc:AlternateContent xmlns:mc="http://schemas.openxmlformats.org/markup-compatibility/2006">
          <mc:Choice Requires="x14">
            <control shapeId="1044" r:id="rId10" name="Scroll Bar 20">
              <controlPr defaultSize="0" autoPict="0">
                <anchor moveWithCells="1">
                  <from>
                    <xdr:col>5</xdr:col>
                    <xdr:colOff>527050</xdr:colOff>
                    <xdr:row>33</xdr:row>
                    <xdr:rowOff>63500</xdr:rowOff>
                  </from>
                  <to>
                    <xdr:col>5</xdr:col>
                    <xdr:colOff>742950</xdr:colOff>
                    <xdr:row>37</xdr:row>
                    <xdr:rowOff>44450</xdr:rowOff>
                  </to>
                </anchor>
              </controlPr>
            </control>
          </mc:Choice>
        </mc:AlternateContent>
        <mc:AlternateContent xmlns:mc="http://schemas.openxmlformats.org/markup-compatibility/2006">
          <mc:Choice Requires="x14">
            <control shapeId="1045" r:id="rId11" name="Scroll Bar 21">
              <controlPr defaultSize="0" autoPict="0">
                <anchor moveWithCells="1">
                  <from>
                    <xdr:col>5</xdr:col>
                    <xdr:colOff>527050</xdr:colOff>
                    <xdr:row>37</xdr:row>
                    <xdr:rowOff>165100</xdr:rowOff>
                  </from>
                  <to>
                    <xdr:col>5</xdr:col>
                    <xdr:colOff>723900</xdr:colOff>
                    <xdr:row>41</xdr:row>
                    <xdr:rowOff>95250</xdr:rowOff>
                  </to>
                </anchor>
              </controlPr>
            </control>
          </mc:Choice>
        </mc:AlternateContent>
        <mc:AlternateContent xmlns:mc="http://schemas.openxmlformats.org/markup-compatibility/2006">
          <mc:Choice Requires="x14">
            <control shapeId="1048" r:id="rId12" name="Scroll Bar 24">
              <controlPr defaultSize="0" autoPict="0">
                <anchor moveWithCells="1">
                  <from>
                    <xdr:col>1</xdr:col>
                    <xdr:colOff>1047750</xdr:colOff>
                    <xdr:row>50</xdr:row>
                    <xdr:rowOff>38100</xdr:rowOff>
                  </from>
                  <to>
                    <xdr:col>1</xdr:col>
                    <xdr:colOff>1168400</xdr:colOff>
                    <xdr:row>53</xdr:row>
                    <xdr:rowOff>146050</xdr:rowOff>
                  </to>
                </anchor>
              </controlPr>
            </control>
          </mc:Choice>
        </mc:AlternateContent>
        <mc:AlternateContent xmlns:mc="http://schemas.openxmlformats.org/markup-compatibility/2006">
          <mc:Choice Requires="x14">
            <control shapeId="1050" r:id="rId13" name="Scroll Bar 26">
              <controlPr defaultSize="0" autoPict="0">
                <anchor moveWithCells="1">
                  <from>
                    <xdr:col>1</xdr:col>
                    <xdr:colOff>1054100</xdr:colOff>
                    <xdr:row>54</xdr:row>
                    <xdr:rowOff>101600</xdr:rowOff>
                  </from>
                  <to>
                    <xdr:col>1</xdr:col>
                    <xdr:colOff>1174750</xdr:colOff>
                    <xdr:row>58</xdr:row>
                    <xdr:rowOff>25400</xdr:rowOff>
                  </to>
                </anchor>
              </controlPr>
            </control>
          </mc:Choice>
        </mc:AlternateContent>
        <mc:AlternateContent xmlns:mc="http://schemas.openxmlformats.org/markup-compatibility/2006">
          <mc:Choice Requires="x14">
            <control shapeId="1051" r:id="rId14" name="Spinner 27">
              <controlPr defaultSize="0" autoPict="0">
                <anchor moveWithCells="1" sizeWithCells="1">
                  <from>
                    <xdr:col>4</xdr:col>
                    <xdr:colOff>304800</xdr:colOff>
                    <xdr:row>50</xdr:row>
                    <xdr:rowOff>25400</xdr:rowOff>
                  </from>
                  <to>
                    <xdr:col>4</xdr:col>
                    <xdr:colOff>774700</xdr:colOff>
                    <xdr:row>53</xdr:row>
                    <xdr:rowOff>114300</xdr:rowOff>
                  </to>
                </anchor>
              </controlPr>
            </control>
          </mc:Choice>
        </mc:AlternateContent>
        <mc:AlternateContent xmlns:mc="http://schemas.openxmlformats.org/markup-compatibility/2006">
          <mc:Choice Requires="x14">
            <control shapeId="1053" r:id="rId15" name="Spinner 29">
              <controlPr defaultSize="0" autoPict="0">
                <anchor moveWithCells="1" sizeWithCells="1">
                  <from>
                    <xdr:col>4</xdr:col>
                    <xdr:colOff>317500</xdr:colOff>
                    <xdr:row>54</xdr:row>
                    <xdr:rowOff>57150</xdr:rowOff>
                  </from>
                  <to>
                    <xdr:col>4</xdr:col>
                    <xdr:colOff>787400</xdr:colOff>
                    <xdr:row>57</xdr:row>
                    <xdr:rowOff>139700</xdr:rowOff>
                  </to>
                </anchor>
              </controlPr>
            </control>
          </mc:Choice>
        </mc:AlternateContent>
        <mc:AlternateContent xmlns:mc="http://schemas.openxmlformats.org/markup-compatibility/2006">
          <mc:Choice Requires="x14">
            <control shapeId="1054" r:id="rId16" name="Spinner 30">
              <controlPr defaultSize="0" autoPict="0">
                <anchor moveWithCells="1" sizeWithCells="1">
                  <from>
                    <xdr:col>2</xdr:col>
                    <xdr:colOff>146050</xdr:colOff>
                    <xdr:row>62</xdr:row>
                    <xdr:rowOff>50800</xdr:rowOff>
                  </from>
                  <to>
                    <xdr:col>2</xdr:col>
                    <xdr:colOff>635000</xdr:colOff>
                    <xdr:row>65</xdr:row>
                    <xdr:rowOff>177800</xdr:rowOff>
                  </to>
                </anchor>
              </controlPr>
            </control>
          </mc:Choice>
        </mc:AlternateContent>
        <mc:AlternateContent xmlns:mc="http://schemas.openxmlformats.org/markup-compatibility/2006">
          <mc:Choice Requires="x14">
            <control shapeId="1055" r:id="rId17" name="Check Box 31">
              <controlPr defaultSize="0" autoFill="0" autoLine="0" autoPict="0">
                <anchor moveWithCells="1">
                  <from>
                    <xdr:col>5</xdr:col>
                    <xdr:colOff>0</xdr:colOff>
                    <xdr:row>62</xdr:row>
                    <xdr:rowOff>63500</xdr:rowOff>
                  </from>
                  <to>
                    <xdr:col>6</xdr:col>
                    <xdr:colOff>774700</xdr:colOff>
                    <xdr:row>64</xdr:row>
                    <xdr:rowOff>82550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3F83E99-BC70-4136-9D6B-EEE901F4163A}">
          <x14:formula1>
            <xm:f>Assumptions!$B$303:$B$307</xm:f>
          </x14:formula1>
          <xm:sqref>C10 G10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31E99-C673-4CD4-B743-2F46DA7C96AC}">
  <dimension ref="A1:DW307"/>
  <sheetViews>
    <sheetView topLeftCell="A12" zoomScale="69" zoomScaleNormal="77" workbookViewId="0">
      <selection activeCell="Z14" sqref="Z14"/>
    </sheetView>
  </sheetViews>
  <sheetFormatPr defaultRowHeight="14.5"/>
  <cols>
    <col min="1" max="1" width="28.08984375" customWidth="1"/>
    <col min="2" max="2" width="33.26953125" customWidth="1"/>
    <col min="3" max="3" width="22.6328125" customWidth="1"/>
    <col min="4" max="4" width="12.453125" customWidth="1"/>
    <col min="5" max="5" width="17.1796875" customWidth="1"/>
    <col min="6" max="6" width="18.1796875" customWidth="1"/>
    <col min="7" max="16" width="22.1796875" bestFit="1" customWidth="1"/>
    <col min="17" max="17" width="22.26953125" bestFit="1" customWidth="1"/>
    <col min="18" max="18" width="13.36328125" customWidth="1"/>
    <col min="19" max="19" width="12.7265625" customWidth="1"/>
    <col min="20" max="20" width="12.36328125" customWidth="1"/>
    <col min="21" max="22" width="12" bestFit="1" customWidth="1"/>
    <col min="32" max="32" width="12.6328125" customWidth="1"/>
  </cols>
  <sheetData>
    <row r="1" spans="1:37" ht="32.5" thickBot="1">
      <c r="A1" s="281" t="s">
        <v>147</v>
      </c>
      <c r="B1" s="282"/>
      <c r="C1" s="283"/>
      <c r="D1" s="45"/>
      <c r="E1" s="46"/>
    </row>
    <row r="2" spans="1:37" ht="19" thickBot="1">
      <c r="A2" s="47"/>
      <c r="B2" s="233" t="s">
        <v>148</v>
      </c>
      <c r="E2" s="48"/>
    </row>
    <row r="3" spans="1:37" ht="24" thickBot="1">
      <c r="A3" s="231" t="s">
        <v>27</v>
      </c>
      <c r="B3" s="232"/>
      <c r="C3" s="232"/>
      <c r="E3" s="48"/>
      <c r="F3" s="295" t="s">
        <v>361</v>
      </c>
      <c r="G3" s="296"/>
      <c r="H3" s="297"/>
    </row>
    <row r="4" spans="1:37" ht="43.5">
      <c r="A4" s="145" t="s">
        <v>28</v>
      </c>
      <c r="B4" s="83" t="s">
        <v>34</v>
      </c>
      <c r="C4" s="82"/>
      <c r="E4" s="48"/>
      <c r="F4" s="286" t="s">
        <v>362</v>
      </c>
      <c r="G4" s="287"/>
      <c r="H4" s="288"/>
    </row>
    <row r="5" spans="1:37" ht="43.5">
      <c r="A5" s="145" t="s">
        <v>29</v>
      </c>
      <c r="B5" s="83" t="s">
        <v>35</v>
      </c>
      <c r="C5" s="82"/>
      <c r="E5" s="48"/>
      <c r="F5" s="289"/>
      <c r="G5" s="290"/>
      <c r="H5" s="291"/>
    </row>
    <row r="6" spans="1:37" ht="33.5" customHeight="1">
      <c r="A6" s="145" t="s">
        <v>30</v>
      </c>
      <c r="B6" s="83" t="s">
        <v>90</v>
      </c>
      <c r="C6" s="82"/>
      <c r="E6" s="48"/>
      <c r="F6" s="289"/>
      <c r="G6" s="290"/>
      <c r="H6" s="291"/>
    </row>
    <row r="7" spans="1:37">
      <c r="A7" s="145" t="s">
        <v>31</v>
      </c>
      <c r="B7" s="83" t="s">
        <v>36</v>
      </c>
      <c r="C7" s="82"/>
      <c r="E7" s="48"/>
      <c r="F7" s="289"/>
      <c r="G7" s="290"/>
      <c r="H7" s="291"/>
    </row>
    <row r="8" spans="1:37" ht="131" thickBot="1">
      <c r="A8" s="145" t="s">
        <v>32</v>
      </c>
      <c r="B8" s="83" t="s">
        <v>37</v>
      </c>
      <c r="C8" s="82"/>
      <c r="E8" s="48"/>
      <c r="F8" s="292"/>
      <c r="G8" s="293"/>
      <c r="H8" s="294"/>
    </row>
    <row r="9" spans="1:37" ht="29">
      <c r="A9" s="145" t="s">
        <v>33</v>
      </c>
      <c r="B9" s="83" t="s">
        <v>38</v>
      </c>
      <c r="C9" s="82"/>
      <c r="E9" s="48"/>
    </row>
    <row r="10" spans="1:37" ht="15" thickBot="1">
      <c r="A10" s="49"/>
      <c r="B10" s="50"/>
      <c r="C10" s="50"/>
      <c r="D10" s="50"/>
      <c r="E10" s="51"/>
    </row>
    <row r="12" spans="1:37">
      <c r="F12">
        <v>2025</v>
      </c>
      <c r="Y12" s="284" t="s">
        <v>164</v>
      </c>
      <c r="Z12" s="284"/>
      <c r="AA12" s="284"/>
      <c r="AB12" s="284"/>
      <c r="AC12" s="284"/>
      <c r="AG12" s="284" t="s">
        <v>165</v>
      </c>
      <c r="AH12" s="284"/>
      <c r="AI12" s="284"/>
      <c r="AJ12" s="284"/>
      <c r="AK12" s="284"/>
    </row>
    <row r="13" spans="1:37" ht="18.5">
      <c r="A13" s="61"/>
      <c r="B13" s="61"/>
      <c r="C13" s="61"/>
      <c r="D13" s="61"/>
      <c r="E13" s="61"/>
      <c r="F13" s="62" t="s">
        <v>44</v>
      </c>
      <c r="G13" s="61" t="s">
        <v>45</v>
      </c>
      <c r="H13" s="61" t="s">
        <v>46</v>
      </c>
      <c r="I13" s="61" t="s">
        <v>47</v>
      </c>
      <c r="J13" s="61" t="s">
        <v>48</v>
      </c>
      <c r="K13" s="61" t="s">
        <v>49</v>
      </c>
      <c r="L13" s="61" t="s">
        <v>50</v>
      </c>
      <c r="M13" s="61" t="s">
        <v>51</v>
      </c>
      <c r="N13" s="61" t="s">
        <v>52</v>
      </c>
      <c r="O13" s="61" t="s">
        <v>53</v>
      </c>
      <c r="P13" s="61" t="s">
        <v>54</v>
      </c>
      <c r="Q13" s="61" t="s">
        <v>55</v>
      </c>
      <c r="R13" s="61">
        <v>2026</v>
      </c>
      <c r="S13" s="61"/>
      <c r="T13" s="61">
        <v>2027</v>
      </c>
      <c r="U13" s="61">
        <v>2028</v>
      </c>
      <c r="V13" s="61">
        <v>2029</v>
      </c>
      <c r="W13" s="61"/>
      <c r="X13" s="61"/>
      <c r="Y13" s="61">
        <v>2030</v>
      </c>
      <c r="Z13" s="61">
        <v>2031</v>
      </c>
      <c r="AA13" s="61">
        <v>2032</v>
      </c>
      <c r="AB13" s="61">
        <v>2033</v>
      </c>
      <c r="AC13" s="61">
        <v>2034</v>
      </c>
      <c r="AD13" s="61"/>
      <c r="AE13" s="61"/>
      <c r="AF13" s="61"/>
      <c r="AG13" s="61">
        <v>2030</v>
      </c>
      <c r="AH13" s="61">
        <v>2031</v>
      </c>
      <c r="AI13" s="61">
        <v>2032</v>
      </c>
      <c r="AJ13" s="61">
        <v>2033</v>
      </c>
      <c r="AK13" s="61">
        <v>2034</v>
      </c>
    </row>
    <row r="14" spans="1:37" ht="18.5">
      <c r="A14" s="61"/>
      <c r="B14" s="61"/>
      <c r="C14" s="61"/>
      <c r="D14" s="61" t="s">
        <v>5</v>
      </c>
      <c r="E14" s="61" t="s">
        <v>6</v>
      </c>
      <c r="F14" s="61">
        <v>1</v>
      </c>
      <c r="G14" s="61">
        <v>1</v>
      </c>
      <c r="H14" s="61">
        <v>1</v>
      </c>
      <c r="I14" s="61">
        <v>1</v>
      </c>
      <c r="J14" s="61">
        <v>1</v>
      </c>
      <c r="K14" s="61">
        <v>1</v>
      </c>
      <c r="L14" s="61">
        <v>1</v>
      </c>
      <c r="M14" s="61">
        <v>1</v>
      </c>
      <c r="N14" s="61">
        <v>1</v>
      </c>
      <c r="O14" s="61">
        <v>1</v>
      </c>
      <c r="P14" s="61">
        <v>1</v>
      </c>
      <c r="Q14" s="61">
        <v>1</v>
      </c>
      <c r="R14" s="61">
        <v>2</v>
      </c>
      <c r="S14" s="61">
        <v>2</v>
      </c>
      <c r="T14" s="61">
        <v>3</v>
      </c>
      <c r="U14" s="61">
        <v>4</v>
      </c>
      <c r="V14" s="61">
        <v>5</v>
      </c>
      <c r="W14" s="61"/>
      <c r="X14" s="61"/>
      <c r="Y14" s="61"/>
      <c r="Z14" s="61"/>
      <c r="AA14" s="61"/>
      <c r="AB14" s="61"/>
      <c r="AC14" s="61"/>
      <c r="AD14" s="61"/>
      <c r="AE14" s="61"/>
      <c r="AF14" s="61"/>
      <c r="AG14" s="61"/>
      <c r="AH14" s="61"/>
      <c r="AI14" s="61"/>
      <c r="AJ14" s="61"/>
      <c r="AK14" s="61"/>
    </row>
    <row r="15" spans="1:37" ht="18.5">
      <c r="A15" s="61" t="s">
        <v>0</v>
      </c>
      <c r="B15" s="61" t="s">
        <v>1</v>
      </c>
      <c r="C15" s="61" t="s">
        <v>2</v>
      </c>
      <c r="D15" s="61" t="s">
        <v>3</v>
      </c>
      <c r="E15" s="61" t="s">
        <v>4</v>
      </c>
      <c r="F15" s="61">
        <v>1</v>
      </c>
      <c r="G15" s="61">
        <v>2</v>
      </c>
      <c r="H15" s="61">
        <v>3</v>
      </c>
      <c r="I15" s="61">
        <v>4</v>
      </c>
      <c r="J15" s="61">
        <v>5</v>
      </c>
      <c r="K15" s="61">
        <v>6</v>
      </c>
      <c r="L15" s="61">
        <v>7</v>
      </c>
      <c r="M15" s="61">
        <v>8</v>
      </c>
      <c r="N15" s="61">
        <v>9</v>
      </c>
      <c r="O15" s="61">
        <v>10</v>
      </c>
      <c r="P15" s="61">
        <v>11</v>
      </c>
      <c r="Q15" s="61">
        <v>12</v>
      </c>
      <c r="R15" s="61" t="s">
        <v>7</v>
      </c>
      <c r="S15" s="61" t="s">
        <v>8</v>
      </c>
      <c r="T15" s="61" t="s">
        <v>9</v>
      </c>
      <c r="U15" s="61" t="s">
        <v>9</v>
      </c>
      <c r="V15" s="61" t="s">
        <v>9</v>
      </c>
      <c r="W15" s="61"/>
      <c r="X15" s="61"/>
      <c r="Y15" s="61"/>
      <c r="Z15" s="61"/>
      <c r="AA15" s="61"/>
      <c r="AB15" s="61"/>
      <c r="AC15" s="61"/>
      <c r="AD15" s="61"/>
      <c r="AE15" s="61"/>
      <c r="AF15" s="61" t="s">
        <v>3</v>
      </c>
      <c r="AG15" s="61"/>
      <c r="AH15" s="61"/>
      <c r="AI15" s="61"/>
      <c r="AJ15" s="61"/>
      <c r="AK15" s="61"/>
    </row>
    <row r="17" spans="1:37" ht="72.5">
      <c r="A17" s="37" t="s">
        <v>39</v>
      </c>
      <c r="B17" s="8" t="s">
        <v>40</v>
      </c>
      <c r="C17" s="8" t="s">
        <v>149</v>
      </c>
      <c r="D17" s="9"/>
      <c r="E17" s="9"/>
      <c r="F17" s="10">
        <v>0.1</v>
      </c>
      <c r="G17" s="10">
        <v>0.1</v>
      </c>
      <c r="H17" s="10">
        <v>0.1</v>
      </c>
      <c r="I17" s="10">
        <v>0.1</v>
      </c>
      <c r="J17" s="10">
        <v>0.1</v>
      </c>
      <c r="K17" s="10">
        <v>0.1</v>
      </c>
      <c r="L17" s="10">
        <v>0.1</v>
      </c>
      <c r="M17" s="10">
        <v>0.1</v>
      </c>
      <c r="N17" s="10">
        <v>0.1</v>
      </c>
      <c r="O17" s="10">
        <v>0.1</v>
      </c>
      <c r="P17" s="10">
        <v>0.1</v>
      </c>
      <c r="Q17" s="10">
        <v>0.1</v>
      </c>
      <c r="R17" s="10">
        <v>0.08</v>
      </c>
      <c r="S17" s="10">
        <v>0.08</v>
      </c>
      <c r="T17" s="10">
        <v>7.5700000000000003E-2</v>
      </c>
      <c r="U17" s="10">
        <v>6.5000000000000002E-2</v>
      </c>
      <c r="V17" s="11">
        <v>6.4899999999999999E-2</v>
      </c>
      <c r="Y17" s="13">
        <f>AVERAGE(T17:V17)</f>
        <v>6.8533333333333335E-2</v>
      </c>
      <c r="Z17" s="13">
        <f>AVERAGE(U17:W17)</f>
        <v>6.4950000000000008E-2</v>
      </c>
      <c r="AA17" s="13">
        <f>AVERAGE(V17:X17)</f>
        <v>6.4899999999999999E-2</v>
      </c>
      <c r="AB17" s="13">
        <f>AVERAGE(W17:Y17)</f>
        <v>6.8533333333333335E-2</v>
      </c>
      <c r="AC17" s="13">
        <f>AVERAGE(X17:Z17)</f>
        <v>6.6741666666666671E-2</v>
      </c>
      <c r="AG17" s="13">
        <f>Y17</f>
        <v>6.8533333333333335E-2</v>
      </c>
      <c r="AH17" s="13">
        <f t="shared" ref="AH17:AK19" si="0">Z17</f>
        <v>6.4950000000000008E-2</v>
      </c>
      <c r="AI17" s="13">
        <f t="shared" si="0"/>
        <v>6.4899999999999999E-2</v>
      </c>
      <c r="AJ17" s="13">
        <f t="shared" si="0"/>
        <v>6.8533333333333335E-2</v>
      </c>
      <c r="AK17" s="13">
        <f t="shared" si="0"/>
        <v>6.6741666666666671E-2</v>
      </c>
    </row>
    <row r="18" spans="1:37" ht="29">
      <c r="A18" s="39" t="s">
        <v>41</v>
      </c>
      <c r="B18" s="1" t="s">
        <v>42</v>
      </c>
      <c r="C18" s="1" t="s">
        <v>10</v>
      </c>
      <c r="F18" s="12">
        <f>F17/12</f>
        <v>8.3333333333333332E-3</v>
      </c>
      <c r="G18" s="12">
        <f t="shared" ref="G18:Q18" si="1">G17/12</f>
        <v>8.3333333333333332E-3</v>
      </c>
      <c r="H18" s="12">
        <f t="shared" si="1"/>
        <v>8.3333333333333332E-3</v>
      </c>
      <c r="I18" s="12">
        <f t="shared" si="1"/>
        <v>8.3333333333333332E-3</v>
      </c>
      <c r="J18" s="12">
        <f t="shared" si="1"/>
        <v>8.3333333333333332E-3</v>
      </c>
      <c r="K18" s="12">
        <f t="shared" si="1"/>
        <v>8.3333333333333332E-3</v>
      </c>
      <c r="L18" s="12">
        <f t="shared" si="1"/>
        <v>8.3333333333333332E-3</v>
      </c>
      <c r="M18" s="12">
        <f t="shared" si="1"/>
        <v>8.3333333333333332E-3</v>
      </c>
      <c r="N18" s="12">
        <f t="shared" si="1"/>
        <v>8.3333333333333332E-3</v>
      </c>
      <c r="O18" s="12">
        <f t="shared" si="1"/>
        <v>8.3333333333333332E-3</v>
      </c>
      <c r="P18" s="12">
        <f t="shared" si="1"/>
        <v>8.3333333333333332E-3</v>
      </c>
      <c r="Q18" s="12">
        <f t="shared" si="1"/>
        <v>8.3333333333333332E-3</v>
      </c>
      <c r="R18" s="12">
        <f>R17/2</f>
        <v>0.04</v>
      </c>
      <c r="S18" s="12">
        <f>S17/2</f>
        <v>0.04</v>
      </c>
      <c r="T18" s="13">
        <f>T17</f>
        <v>7.5700000000000003E-2</v>
      </c>
      <c r="U18" s="13">
        <f t="shared" ref="U18:V18" si="2">U17</f>
        <v>6.5000000000000002E-2</v>
      </c>
      <c r="V18" s="13">
        <f t="shared" si="2"/>
        <v>6.4899999999999999E-2</v>
      </c>
      <c r="W18" s="13"/>
      <c r="X18" s="13"/>
      <c r="Y18" s="13">
        <f t="shared" ref="Y18" si="3">Y17</f>
        <v>6.8533333333333335E-2</v>
      </c>
      <c r="Z18" s="13">
        <f t="shared" ref="Z18" si="4">Z17</f>
        <v>6.4950000000000008E-2</v>
      </c>
      <c r="AA18" s="13">
        <f t="shared" ref="AA18" si="5">AA17</f>
        <v>6.4899999999999999E-2</v>
      </c>
      <c r="AB18" s="13">
        <f t="shared" ref="AB18" si="6">AB17</f>
        <v>6.8533333333333335E-2</v>
      </c>
      <c r="AC18" s="13">
        <f t="shared" ref="AC18" si="7">AC17</f>
        <v>6.6741666666666671E-2</v>
      </c>
      <c r="AD18" s="13"/>
      <c r="AE18" s="13"/>
      <c r="AF18" s="13"/>
      <c r="AG18" s="13">
        <f t="shared" ref="AG18:AG19" si="8">Y18</f>
        <v>6.8533333333333335E-2</v>
      </c>
      <c r="AH18" s="13">
        <f t="shared" si="0"/>
        <v>6.4950000000000008E-2</v>
      </c>
      <c r="AI18" s="13">
        <f t="shared" si="0"/>
        <v>6.4899999999999999E-2</v>
      </c>
      <c r="AJ18" s="13">
        <f t="shared" si="0"/>
        <v>6.8533333333333335E-2</v>
      </c>
      <c r="AK18" s="13">
        <f t="shared" si="0"/>
        <v>6.6741666666666671E-2</v>
      </c>
    </row>
    <row r="19" spans="1:37">
      <c r="A19" s="234" t="s">
        <v>43</v>
      </c>
      <c r="B19" s="14"/>
      <c r="C19" s="14"/>
      <c r="D19" s="15"/>
      <c r="E19" s="15"/>
      <c r="F19" s="16">
        <v>1</v>
      </c>
      <c r="G19" s="17">
        <f>F19*(1+G18)</f>
        <v>1.0083333333333333</v>
      </c>
      <c r="H19" s="17">
        <f t="shared" ref="H19:Q19" si="9">G19*(1+H18)</f>
        <v>1.0167361111111111</v>
      </c>
      <c r="I19" s="17">
        <f t="shared" si="9"/>
        <v>1.0252089120370369</v>
      </c>
      <c r="J19" s="17">
        <f>I19*(1+J18)</f>
        <v>1.0337523196373455</v>
      </c>
      <c r="K19" s="17">
        <f t="shared" si="9"/>
        <v>1.0423669223009899</v>
      </c>
      <c r="L19" s="17">
        <f t="shared" si="9"/>
        <v>1.0510533133201647</v>
      </c>
      <c r="M19" s="17">
        <f t="shared" si="9"/>
        <v>1.0598120909311661</v>
      </c>
      <c r="N19" s="17">
        <f t="shared" si="9"/>
        <v>1.0686438583555924</v>
      </c>
      <c r="O19" s="17">
        <f t="shared" si="9"/>
        <v>1.0775492238418889</v>
      </c>
      <c r="P19" s="17">
        <f t="shared" si="9"/>
        <v>1.086528800707238</v>
      </c>
      <c r="Q19" s="18">
        <f t="shared" si="9"/>
        <v>1.0955832073797982</v>
      </c>
      <c r="R19" s="18">
        <f>Q19*(1+R18)</f>
        <v>1.1394065356749901</v>
      </c>
      <c r="S19" s="18">
        <f t="shared" ref="S19" si="10">R19*(1+S18)</f>
        <v>1.1849827971019897</v>
      </c>
      <c r="T19" s="18">
        <f t="shared" ref="T19" si="11">S19*(1+T18)</f>
        <v>1.2746859948426104</v>
      </c>
      <c r="U19" s="18">
        <f t="shared" ref="U19" si="12">T19*(1+U18)</f>
        <v>1.35754058450738</v>
      </c>
      <c r="V19" s="19">
        <f t="shared" ref="V19" si="13">U19*(1+V18)</f>
        <v>1.4456449684419088</v>
      </c>
      <c r="W19" s="19"/>
      <c r="X19" s="19"/>
      <c r="Y19" s="19">
        <f>V19*(1+Y18)</f>
        <v>1.5447198369457944</v>
      </c>
      <c r="Z19" s="19">
        <f t="shared" ref="Z19" si="14">Y19*(1+Z18)</f>
        <v>1.6450493903554237</v>
      </c>
      <c r="AA19" s="19">
        <f t="shared" ref="AA19" si="15">Z19*(1+AA18)</f>
        <v>1.7518130957894906</v>
      </c>
      <c r="AB19" s="19">
        <f t="shared" ref="AB19" si="16">AA19*(1+AB18)</f>
        <v>1.8718706866209305</v>
      </c>
      <c r="AC19" s="19">
        <f t="shared" ref="AC19" si="17">AB19*(1+AC18)</f>
        <v>1.9968024560304891</v>
      </c>
      <c r="AD19" s="19"/>
      <c r="AE19" s="19"/>
      <c r="AF19" s="19"/>
      <c r="AG19" s="13">
        <f t="shared" si="8"/>
        <v>1.5447198369457944</v>
      </c>
      <c r="AH19" s="13">
        <f t="shared" si="0"/>
        <v>1.6450493903554237</v>
      </c>
      <c r="AI19" s="13">
        <f t="shared" si="0"/>
        <v>1.7518130957894906</v>
      </c>
      <c r="AJ19" s="13">
        <f t="shared" si="0"/>
        <v>1.8718706866209305</v>
      </c>
      <c r="AK19" s="13">
        <f t="shared" si="0"/>
        <v>1.9968024560304891</v>
      </c>
    </row>
    <row r="20" spans="1:37">
      <c r="A20" s="40"/>
      <c r="B20" s="1"/>
      <c r="C20" s="1"/>
    </row>
    <row r="21" spans="1:37">
      <c r="A21" s="235" t="s">
        <v>172</v>
      </c>
      <c r="B21" s="1"/>
      <c r="C21" s="1"/>
      <c r="F21">
        <f>F22+F23</f>
        <v>10</v>
      </c>
      <c r="G21">
        <f t="shared" ref="G21:L21" si="18">G22+G23</f>
        <v>23</v>
      </c>
      <c r="H21">
        <f t="shared" si="18"/>
        <v>26</v>
      </c>
      <c r="I21">
        <f t="shared" si="18"/>
        <v>23</v>
      </c>
      <c r="J21">
        <f t="shared" si="18"/>
        <v>26</v>
      </c>
      <c r="K21">
        <f t="shared" si="18"/>
        <v>17</v>
      </c>
      <c r="L21">
        <f t="shared" si="18"/>
        <v>23</v>
      </c>
      <c r="M21">
        <f t="shared" ref="M21" si="19">M22+M23</f>
        <v>16</v>
      </c>
      <c r="N21">
        <f t="shared" ref="N21" si="20">N22+N23</f>
        <v>24</v>
      </c>
      <c r="O21">
        <f t="shared" ref="O21" si="21">O22+O23</f>
        <v>22</v>
      </c>
      <c r="P21">
        <f t="shared" ref="P21" si="22">P22+P23</f>
        <v>25</v>
      </c>
      <c r="Q21">
        <f t="shared" ref="Q21:R21" si="23">Q22+Q23</f>
        <v>19</v>
      </c>
      <c r="R21">
        <f t="shared" si="23"/>
        <v>123</v>
      </c>
      <c r="S21">
        <f t="shared" ref="S21" si="24">S22+S23</f>
        <v>128</v>
      </c>
      <c r="T21">
        <f t="shared" ref="T21" si="25">T22+T23</f>
        <v>215</v>
      </c>
      <c r="U21">
        <f t="shared" ref="U21" si="26">U22+U23</f>
        <v>215</v>
      </c>
      <c r="V21">
        <f t="shared" ref="V21" si="27">V22+V23</f>
        <v>215</v>
      </c>
      <c r="Y21">
        <f t="shared" ref="Y21" si="28">Y22+Y23</f>
        <v>215</v>
      </c>
      <c r="Z21">
        <f t="shared" ref="Z21" si="29">Z22+Z23</f>
        <v>215</v>
      </c>
      <c r="AA21">
        <f t="shared" ref="AA21" si="30">AA22+AA23</f>
        <v>215</v>
      </c>
      <c r="AB21">
        <f t="shared" ref="AB21" si="31">AB22+AB23</f>
        <v>215</v>
      </c>
      <c r="AC21">
        <f t="shared" ref="AC21" si="32">AC22+AC23</f>
        <v>215</v>
      </c>
      <c r="AG21">
        <f t="shared" ref="AG21" si="33">AG22+AG23</f>
        <v>514</v>
      </c>
      <c r="AH21">
        <f t="shared" ref="AH21" si="34">AH22+AH23</f>
        <v>514</v>
      </c>
      <c r="AI21">
        <f t="shared" ref="AI21:AJ21" si="35">AI22+AI23</f>
        <v>514</v>
      </c>
      <c r="AJ21">
        <f t="shared" si="35"/>
        <v>514</v>
      </c>
      <c r="AK21">
        <f t="shared" ref="AK21" si="36">AK22+AK23</f>
        <v>514</v>
      </c>
    </row>
    <row r="22" spans="1:37" ht="29">
      <c r="A22" s="40"/>
      <c r="B22" s="1"/>
      <c r="C22" s="1" t="s">
        <v>162</v>
      </c>
      <c r="F22">
        <v>10</v>
      </c>
      <c r="G22">
        <v>23</v>
      </c>
      <c r="H22">
        <v>26</v>
      </c>
      <c r="I22">
        <v>23</v>
      </c>
      <c r="J22">
        <v>26</v>
      </c>
      <c r="K22">
        <v>17</v>
      </c>
      <c r="L22" s="3">
        <v>23</v>
      </c>
      <c r="M22">
        <v>16</v>
      </c>
      <c r="N22">
        <v>24</v>
      </c>
      <c r="O22">
        <v>22</v>
      </c>
      <c r="P22">
        <v>25</v>
      </c>
      <c r="Q22">
        <v>19</v>
      </c>
      <c r="R22">
        <v>123</v>
      </c>
      <c r="S22">
        <v>128</v>
      </c>
      <c r="T22">
        <v>215</v>
      </c>
      <c r="U22">
        <f>T22</f>
        <v>215</v>
      </c>
      <c r="V22">
        <f>U22</f>
        <v>215</v>
      </c>
      <c r="Y22">
        <f>V22</f>
        <v>215</v>
      </c>
      <c r="Z22">
        <f>Y22</f>
        <v>215</v>
      </c>
      <c r="AA22">
        <f t="shared" ref="AA22:AC22" si="37">Z22</f>
        <v>215</v>
      </c>
      <c r="AB22">
        <f t="shared" si="37"/>
        <v>215</v>
      </c>
      <c r="AC22">
        <f t="shared" si="37"/>
        <v>215</v>
      </c>
      <c r="AG22">
        <f>Y22</f>
        <v>215</v>
      </c>
      <c r="AH22">
        <f t="shared" ref="AH22:AK22" si="38">Z22</f>
        <v>215</v>
      </c>
      <c r="AI22">
        <f t="shared" si="38"/>
        <v>215</v>
      </c>
      <c r="AJ22">
        <f t="shared" si="38"/>
        <v>215</v>
      </c>
      <c r="AK22">
        <f t="shared" si="38"/>
        <v>215</v>
      </c>
    </row>
    <row r="23" spans="1:37" ht="43.5">
      <c r="A23" s="40"/>
      <c r="B23" s="1"/>
      <c r="C23" s="1" t="s">
        <v>171</v>
      </c>
      <c r="L23" s="3"/>
      <c r="AF23">
        <f>((30-4)*12)-13</f>
        <v>299</v>
      </c>
      <c r="AG23">
        <f>$AF$23</f>
        <v>299</v>
      </c>
      <c r="AH23">
        <f t="shared" ref="AH23:AK23" si="39">$AF$23</f>
        <v>299</v>
      </c>
      <c r="AI23">
        <f t="shared" si="39"/>
        <v>299</v>
      </c>
      <c r="AJ23">
        <f t="shared" si="39"/>
        <v>299</v>
      </c>
      <c r="AK23">
        <f t="shared" si="39"/>
        <v>299</v>
      </c>
    </row>
    <row r="24" spans="1:37">
      <c r="A24" s="40"/>
    </row>
    <row r="25" spans="1:37" ht="29">
      <c r="A25" s="236" t="s">
        <v>11</v>
      </c>
      <c r="B25" s="22" t="s">
        <v>150</v>
      </c>
      <c r="C25" s="22" t="s">
        <v>151</v>
      </c>
      <c r="D25" s="23"/>
      <c r="E25" s="23"/>
      <c r="F25" s="23">
        <f>SUM(F26:F27)</f>
        <v>64260</v>
      </c>
      <c r="G25" s="23">
        <f t="shared" ref="G25:U25" si="40">SUM(G26:G27)</f>
        <v>147870</v>
      </c>
      <c r="H25" s="23">
        <f t="shared" si="40"/>
        <v>167220</v>
      </c>
      <c r="I25" s="23">
        <f t="shared" si="40"/>
        <v>152840</v>
      </c>
      <c r="J25" s="23">
        <f t="shared" si="40"/>
        <v>172840</v>
      </c>
      <c r="K25" s="23">
        <f t="shared" si="40"/>
        <v>112840</v>
      </c>
      <c r="L25" s="23">
        <f t="shared" si="40"/>
        <v>154705</v>
      </c>
      <c r="M25" s="23">
        <f t="shared" si="40"/>
        <v>111180</v>
      </c>
      <c r="N25" s="23">
        <f t="shared" si="40"/>
        <v>166435</v>
      </c>
      <c r="O25" s="23">
        <f t="shared" si="40"/>
        <v>152580</v>
      </c>
      <c r="P25" s="23">
        <f t="shared" si="40"/>
        <v>173475</v>
      </c>
      <c r="Q25" s="23">
        <f t="shared" si="40"/>
        <v>131740</v>
      </c>
      <c r="R25" s="23">
        <f t="shared" si="40"/>
        <v>916680</v>
      </c>
      <c r="S25" s="23">
        <f t="shared" si="40"/>
        <v>981590</v>
      </c>
      <c r="T25" s="23">
        <f t="shared" si="40"/>
        <v>1741500</v>
      </c>
      <c r="U25" s="23">
        <f t="shared" si="40"/>
        <v>1869210</v>
      </c>
      <c r="V25" s="24">
        <f>SUM(V26:V27)</f>
        <v>2008530</v>
      </c>
      <c r="Y25" s="24">
        <f>SUM(Y26:Y27)</f>
        <v>2136240</v>
      </c>
      <c r="Z25" s="24">
        <f t="shared" ref="Z25:AC25" si="41">SUM(Z26:Z27)</f>
        <v>2275560</v>
      </c>
      <c r="AA25" s="24">
        <f t="shared" si="41"/>
        <v>2449710</v>
      </c>
      <c r="AB25" s="24">
        <f t="shared" si="41"/>
        <v>2589030</v>
      </c>
      <c r="AC25" s="24">
        <f t="shared" si="41"/>
        <v>2763180</v>
      </c>
      <c r="AG25" s="24">
        <f>AG26+AG27</f>
        <v>7382240</v>
      </c>
      <c r="AH25" s="24">
        <f t="shared" ref="AH25:AK25" si="42">AH26+AH27</f>
        <v>7765560</v>
      </c>
      <c r="AI25" s="24">
        <f t="shared" si="42"/>
        <v>8366710</v>
      </c>
      <c r="AJ25" s="24">
        <f t="shared" si="42"/>
        <v>8872030</v>
      </c>
      <c r="AK25" s="24">
        <f t="shared" si="42"/>
        <v>9473180</v>
      </c>
    </row>
    <row r="26" spans="1:37" ht="29">
      <c r="A26" s="237" t="s">
        <v>56</v>
      </c>
      <c r="B26" s="27"/>
      <c r="C26" s="27" t="s">
        <v>12</v>
      </c>
      <c r="D26" s="28"/>
      <c r="E26" s="28"/>
      <c r="F26" s="28">
        <f t="shared" ref="F26:U26" si="43">F29*F31</f>
        <v>56160</v>
      </c>
      <c r="G26" s="28">
        <f t="shared" si="43"/>
        <v>129220</v>
      </c>
      <c r="H26" s="28">
        <f t="shared" si="43"/>
        <v>146120</v>
      </c>
      <c r="I26" s="28">
        <f t="shared" si="43"/>
        <v>134190</v>
      </c>
      <c r="J26" s="28">
        <f t="shared" si="43"/>
        <v>151740</v>
      </c>
      <c r="K26" s="28">
        <f t="shared" si="43"/>
        <v>99090</v>
      </c>
      <c r="L26" s="28">
        <f t="shared" si="43"/>
        <v>134190</v>
      </c>
      <c r="M26" s="28">
        <f t="shared" si="43"/>
        <v>96880</v>
      </c>
      <c r="N26" s="28">
        <f t="shared" si="43"/>
        <v>145040</v>
      </c>
      <c r="O26" s="28">
        <f t="shared" si="43"/>
        <v>133000</v>
      </c>
      <c r="P26" s="28">
        <f t="shared" si="43"/>
        <v>151200</v>
      </c>
      <c r="Q26" s="28">
        <f t="shared" si="43"/>
        <v>114800</v>
      </c>
      <c r="R26" s="28">
        <f t="shared" si="43"/>
        <v>797100</v>
      </c>
      <c r="S26" s="28">
        <f t="shared" si="43"/>
        <v>857150</v>
      </c>
      <c r="T26" s="28">
        <f t="shared" si="43"/>
        <v>1532520</v>
      </c>
      <c r="U26" s="28">
        <f t="shared" si="43"/>
        <v>1625400</v>
      </c>
      <c r="V26" s="29">
        <f>V29*V31</f>
        <v>1764720</v>
      </c>
      <c r="Y26" s="29">
        <f>Y29*Y31</f>
        <v>1857600</v>
      </c>
      <c r="Z26" s="29">
        <f t="shared" ref="Z26:AB26" si="44">Z29*Z31</f>
        <v>1996920</v>
      </c>
      <c r="AA26" s="29">
        <f t="shared" si="44"/>
        <v>2136240</v>
      </c>
      <c r="AB26" s="29">
        <f t="shared" si="44"/>
        <v>2275560</v>
      </c>
      <c r="AC26" s="29">
        <f>AC29*AC31</f>
        <v>2414880</v>
      </c>
      <c r="AG26" s="29">
        <f>AG29*AG31+AG30*AG32</f>
        <v>6615600</v>
      </c>
      <c r="AH26" s="29">
        <f t="shared" ref="AH26:AK26" si="45">AH29*AH31+AH30*AH32</f>
        <v>6998920</v>
      </c>
      <c r="AI26" s="29">
        <f t="shared" si="45"/>
        <v>7504240</v>
      </c>
      <c r="AJ26" s="29">
        <f t="shared" si="45"/>
        <v>8009560</v>
      </c>
      <c r="AK26" s="29">
        <f t="shared" si="45"/>
        <v>8514880</v>
      </c>
    </row>
    <row r="27" spans="1:37" ht="73" customHeight="1">
      <c r="A27" s="41" t="s">
        <v>57</v>
      </c>
      <c r="B27" s="30"/>
      <c r="C27" s="31" t="s">
        <v>58</v>
      </c>
      <c r="D27" s="30"/>
      <c r="E27" s="30"/>
      <c r="F27" s="30">
        <f t="shared" ref="F27:V27" si="46">F42*F45</f>
        <v>8100</v>
      </c>
      <c r="G27" s="30">
        <f t="shared" si="46"/>
        <v>18650</v>
      </c>
      <c r="H27" s="30">
        <f t="shared" si="46"/>
        <v>21100</v>
      </c>
      <c r="I27" s="30">
        <f t="shared" si="46"/>
        <v>18650</v>
      </c>
      <c r="J27" s="30">
        <f t="shared" si="46"/>
        <v>21100</v>
      </c>
      <c r="K27" s="30">
        <f t="shared" si="46"/>
        <v>13750</v>
      </c>
      <c r="L27" s="30">
        <f t="shared" si="46"/>
        <v>20515</v>
      </c>
      <c r="M27" s="30">
        <f t="shared" si="46"/>
        <v>14300</v>
      </c>
      <c r="N27" s="30">
        <f t="shared" si="46"/>
        <v>21395</v>
      </c>
      <c r="O27" s="30">
        <f t="shared" si="46"/>
        <v>19580</v>
      </c>
      <c r="P27" s="30">
        <f t="shared" si="46"/>
        <v>22275</v>
      </c>
      <c r="Q27" s="30">
        <f t="shared" si="46"/>
        <v>16940</v>
      </c>
      <c r="R27" s="30">
        <f t="shared" si="46"/>
        <v>119580</v>
      </c>
      <c r="S27" s="30">
        <f t="shared" si="46"/>
        <v>124440</v>
      </c>
      <c r="T27" s="30">
        <f t="shared" si="46"/>
        <v>208980</v>
      </c>
      <c r="U27" s="30">
        <f t="shared" si="46"/>
        <v>243810</v>
      </c>
      <c r="V27" s="32">
        <f t="shared" si="46"/>
        <v>243810</v>
      </c>
      <c r="Y27" s="32">
        <f>Y42*Y45</f>
        <v>278640</v>
      </c>
      <c r="Z27" s="32">
        <f>Z42*Z45</f>
        <v>278640</v>
      </c>
      <c r="AA27" s="32">
        <f>AA42*AA45</f>
        <v>313470</v>
      </c>
      <c r="AB27" s="32">
        <f>AB42*AB45</f>
        <v>313470</v>
      </c>
      <c r="AC27" s="32">
        <f>AC42*AC45</f>
        <v>348300</v>
      </c>
      <c r="AG27" s="32">
        <f>AG42*(AG45+AG46)</f>
        <v>766640</v>
      </c>
      <c r="AH27" s="32">
        <f t="shared" ref="AH27:AK27" si="47">AH42*(AH45+AH46)</f>
        <v>766640</v>
      </c>
      <c r="AI27" s="32">
        <f t="shared" si="47"/>
        <v>862470</v>
      </c>
      <c r="AJ27" s="32">
        <f t="shared" si="47"/>
        <v>862470</v>
      </c>
      <c r="AK27" s="32">
        <f t="shared" si="47"/>
        <v>958300</v>
      </c>
    </row>
    <row r="28" spans="1:37">
      <c r="A28" s="238" t="s">
        <v>56</v>
      </c>
      <c r="B28" s="9"/>
      <c r="C28" s="25"/>
    </row>
    <row r="29" spans="1:37">
      <c r="A29" s="238" t="s">
        <v>13</v>
      </c>
      <c r="B29" s="8" t="s">
        <v>173</v>
      </c>
      <c r="C29" s="36" t="s">
        <v>14</v>
      </c>
      <c r="D29" s="4">
        <f>'Control Sheet'!C21</f>
        <v>260</v>
      </c>
      <c r="F29">
        <f>ROUND($D$29*F19,-1)</f>
        <v>260</v>
      </c>
      <c r="G29">
        <f t="shared" ref="G29:J29" si="48">ROUND($F$29*G19,-1)</f>
        <v>260</v>
      </c>
      <c r="H29">
        <f t="shared" si="48"/>
        <v>260</v>
      </c>
      <c r="I29">
        <f t="shared" si="48"/>
        <v>270</v>
      </c>
      <c r="J29">
        <f t="shared" si="48"/>
        <v>270</v>
      </c>
      <c r="K29">
        <f>ROUND($D$29*K19,-1)</f>
        <v>270</v>
      </c>
      <c r="L29">
        <f>ROUND($D$29*L19,-1)</f>
        <v>270</v>
      </c>
      <c r="M29">
        <f t="shared" ref="M29:Q29" si="49">ROUND($D$29*M19,-1)</f>
        <v>280</v>
      </c>
      <c r="N29">
        <f t="shared" si="49"/>
        <v>280</v>
      </c>
      <c r="O29">
        <f t="shared" si="49"/>
        <v>280</v>
      </c>
      <c r="P29">
        <f t="shared" si="49"/>
        <v>280</v>
      </c>
      <c r="Q29">
        <f t="shared" si="49"/>
        <v>280</v>
      </c>
      <c r="R29">
        <f>ROUND(ROUND(($F$29*R19)*6,-1)/6,-1)</f>
        <v>300</v>
      </c>
      <c r="S29">
        <f>ROUND(ROUND(($F$29*S19)*6,-1)/6,-1)</f>
        <v>310</v>
      </c>
      <c r="T29">
        <f>ROUND(ROUND(($F$29*T19)*12,-1)/12,-1)</f>
        <v>330</v>
      </c>
      <c r="U29">
        <f t="shared" ref="U29" si="50">ROUND(ROUND(($F$29*U19)*12,-1)/12,-1)</f>
        <v>350</v>
      </c>
      <c r="V29">
        <f>ROUND(ROUND(($F$29*V19)*12,-1)/12,-1)</f>
        <v>380</v>
      </c>
      <c r="Y29">
        <f>ROUND(ROUND(($F$29*Y19)*12,-1)/12,-1)</f>
        <v>400</v>
      </c>
      <c r="Z29">
        <f t="shared" ref="Z29:AC29" si="51">ROUND(ROUND(($F$29*Z19)*12,-1)/12,-1)</f>
        <v>430</v>
      </c>
      <c r="AA29">
        <f t="shared" si="51"/>
        <v>460</v>
      </c>
      <c r="AB29">
        <f t="shared" si="51"/>
        <v>490</v>
      </c>
      <c r="AC29">
        <f t="shared" si="51"/>
        <v>520</v>
      </c>
      <c r="AG29">
        <f>Y29</f>
        <v>400</v>
      </c>
      <c r="AH29">
        <f t="shared" ref="AH29:AK29" si="52">Z29</f>
        <v>430</v>
      </c>
      <c r="AI29">
        <f t="shared" si="52"/>
        <v>460</v>
      </c>
      <c r="AJ29">
        <f t="shared" si="52"/>
        <v>490</v>
      </c>
      <c r="AK29">
        <f t="shared" si="52"/>
        <v>520</v>
      </c>
    </row>
    <row r="30" spans="1:37" ht="29">
      <c r="A30" s="239"/>
      <c r="B30" s="14" t="s">
        <v>174</v>
      </c>
      <c r="C30" s="35"/>
      <c r="D30" s="4">
        <f>'Control Sheet'!$G$21</f>
        <v>250</v>
      </c>
      <c r="AF30" s="4"/>
      <c r="AG30" s="4">
        <f>ROUND($D$30*AG19,-1)</f>
        <v>390</v>
      </c>
      <c r="AH30" s="4">
        <f t="shared" ref="AH30:AK30" si="53">ROUND($D$30*AH19,-1)</f>
        <v>410</v>
      </c>
      <c r="AI30" s="4">
        <f t="shared" si="53"/>
        <v>440</v>
      </c>
      <c r="AJ30" s="4">
        <f t="shared" si="53"/>
        <v>470</v>
      </c>
      <c r="AK30" s="4">
        <f t="shared" si="53"/>
        <v>500</v>
      </c>
    </row>
    <row r="31" spans="1:37" ht="43.5">
      <c r="A31" s="238" t="s">
        <v>15</v>
      </c>
      <c r="B31" s="8" t="s">
        <v>178</v>
      </c>
      <c r="C31" s="36" t="s">
        <v>59</v>
      </c>
      <c r="F31">
        <f>ROUND(F37*$D$39,0)</f>
        <v>216</v>
      </c>
      <c r="G31">
        <f t="shared" ref="G31" si="54">ROUND(G37*$D$39,0)</f>
        <v>497</v>
      </c>
      <c r="H31">
        <f t="shared" ref="H31:AK31" si="55">ROUND(H37*$D$39,0)</f>
        <v>562</v>
      </c>
      <c r="I31">
        <f t="shared" si="55"/>
        <v>497</v>
      </c>
      <c r="J31">
        <f t="shared" si="55"/>
        <v>562</v>
      </c>
      <c r="K31">
        <f t="shared" si="55"/>
        <v>367</v>
      </c>
      <c r="L31">
        <f t="shared" si="55"/>
        <v>497</v>
      </c>
      <c r="M31">
        <f t="shared" si="55"/>
        <v>346</v>
      </c>
      <c r="N31">
        <f t="shared" si="55"/>
        <v>518</v>
      </c>
      <c r="O31">
        <f t="shared" si="55"/>
        <v>475</v>
      </c>
      <c r="P31">
        <f t="shared" si="55"/>
        <v>540</v>
      </c>
      <c r="Q31">
        <f t="shared" si="55"/>
        <v>410</v>
      </c>
      <c r="R31">
        <f t="shared" si="55"/>
        <v>2657</v>
      </c>
      <c r="S31">
        <f t="shared" si="55"/>
        <v>2765</v>
      </c>
      <c r="T31">
        <f t="shared" si="55"/>
        <v>4644</v>
      </c>
      <c r="U31">
        <f t="shared" si="55"/>
        <v>4644</v>
      </c>
      <c r="V31">
        <f t="shared" si="55"/>
        <v>4644</v>
      </c>
      <c r="Y31">
        <f t="shared" si="55"/>
        <v>4644</v>
      </c>
      <c r="Z31">
        <f t="shared" si="55"/>
        <v>4644</v>
      </c>
      <c r="AA31">
        <f t="shared" si="55"/>
        <v>4644</v>
      </c>
      <c r="AB31">
        <f t="shared" si="55"/>
        <v>4644</v>
      </c>
      <c r="AC31">
        <f t="shared" si="55"/>
        <v>4644</v>
      </c>
      <c r="AG31">
        <f t="shared" si="55"/>
        <v>4644</v>
      </c>
      <c r="AH31">
        <f t="shared" si="55"/>
        <v>4644</v>
      </c>
      <c r="AI31">
        <f t="shared" si="55"/>
        <v>4644</v>
      </c>
      <c r="AJ31">
        <f t="shared" si="55"/>
        <v>4644</v>
      </c>
      <c r="AK31">
        <f t="shared" si="55"/>
        <v>4644</v>
      </c>
    </row>
    <row r="32" spans="1:37" ht="43.5">
      <c r="A32" s="239"/>
      <c r="B32" s="14" t="s">
        <v>179</v>
      </c>
      <c r="C32" s="35" t="s">
        <v>59</v>
      </c>
      <c r="F32">
        <f>ROUND(F38*$D$40,-1)</f>
        <v>0</v>
      </c>
      <c r="G32">
        <f t="shared" ref="G32" si="56">ROUND(G38*$D$40,-1)</f>
        <v>0</v>
      </c>
      <c r="H32">
        <f t="shared" ref="H32:AK32" si="57">ROUND(H38*$D$40,-1)</f>
        <v>0</v>
      </c>
      <c r="I32">
        <f t="shared" si="57"/>
        <v>0</v>
      </c>
      <c r="J32">
        <f t="shared" si="57"/>
        <v>0</v>
      </c>
      <c r="K32">
        <f t="shared" si="57"/>
        <v>0</v>
      </c>
      <c r="L32">
        <f t="shared" si="57"/>
        <v>0</v>
      </c>
      <c r="M32">
        <f t="shared" si="57"/>
        <v>0</v>
      </c>
      <c r="N32">
        <f t="shared" si="57"/>
        <v>0</v>
      </c>
      <c r="O32">
        <f t="shared" si="57"/>
        <v>0</v>
      </c>
      <c r="P32">
        <f t="shared" si="57"/>
        <v>0</v>
      </c>
      <c r="Q32">
        <f t="shared" si="57"/>
        <v>0</v>
      </c>
      <c r="R32">
        <f t="shared" si="57"/>
        <v>0</v>
      </c>
      <c r="S32">
        <f t="shared" si="57"/>
        <v>0</v>
      </c>
      <c r="T32">
        <f t="shared" si="57"/>
        <v>0</v>
      </c>
      <c r="U32">
        <f t="shared" si="57"/>
        <v>0</v>
      </c>
      <c r="V32">
        <f t="shared" si="57"/>
        <v>0</v>
      </c>
      <c r="Y32">
        <f t="shared" si="57"/>
        <v>0</v>
      </c>
      <c r="Z32">
        <f t="shared" si="57"/>
        <v>0</v>
      </c>
      <c r="AA32">
        <f t="shared" si="57"/>
        <v>0</v>
      </c>
      <c r="AB32">
        <f t="shared" si="57"/>
        <v>0</v>
      </c>
      <c r="AC32">
        <f t="shared" si="57"/>
        <v>0</v>
      </c>
      <c r="AG32">
        <f t="shared" si="57"/>
        <v>12200</v>
      </c>
      <c r="AH32">
        <f t="shared" si="57"/>
        <v>12200</v>
      </c>
      <c r="AI32">
        <f t="shared" si="57"/>
        <v>12200</v>
      </c>
      <c r="AJ32">
        <f t="shared" si="57"/>
        <v>12200</v>
      </c>
      <c r="AK32">
        <f t="shared" si="57"/>
        <v>12200</v>
      </c>
    </row>
    <row r="33" spans="1:37">
      <c r="A33" s="238" t="s">
        <v>16</v>
      </c>
      <c r="B33" s="8" t="s">
        <v>17</v>
      </c>
      <c r="C33" s="36" t="s">
        <v>176</v>
      </c>
      <c r="D33">
        <v>24</v>
      </c>
    </row>
    <row r="34" spans="1:37">
      <c r="A34" s="239"/>
      <c r="B34" s="14" t="s">
        <v>261</v>
      </c>
      <c r="C34" s="35" t="s">
        <v>177</v>
      </c>
      <c r="D34">
        <f>17*3</f>
        <v>51</v>
      </c>
    </row>
    <row r="35" spans="1:37" ht="29">
      <c r="A35" s="238" t="str">
        <f>A21</f>
        <v>Operational days</v>
      </c>
      <c r="B35" s="8"/>
      <c r="C35" s="36" t="str">
        <f>C22</f>
        <v>Academic calendar on IBA website</v>
      </c>
      <c r="D35" s="1">
        <f t="shared" ref="D35:V35" si="58">D21</f>
        <v>0</v>
      </c>
      <c r="E35" s="1">
        <f t="shared" si="58"/>
        <v>0</v>
      </c>
      <c r="F35" s="1">
        <f t="shared" si="58"/>
        <v>10</v>
      </c>
      <c r="G35" s="1">
        <f t="shared" si="58"/>
        <v>23</v>
      </c>
      <c r="H35" s="1">
        <f t="shared" si="58"/>
        <v>26</v>
      </c>
      <c r="I35" s="1">
        <f t="shared" si="58"/>
        <v>23</v>
      </c>
      <c r="J35" s="1">
        <f t="shared" si="58"/>
        <v>26</v>
      </c>
      <c r="K35" s="1">
        <f t="shared" si="58"/>
        <v>17</v>
      </c>
      <c r="L35" s="1">
        <f t="shared" si="58"/>
        <v>23</v>
      </c>
      <c r="M35" s="1">
        <f t="shared" si="58"/>
        <v>16</v>
      </c>
      <c r="N35" s="1">
        <f t="shared" si="58"/>
        <v>24</v>
      </c>
      <c r="O35" s="1">
        <f t="shared" si="58"/>
        <v>22</v>
      </c>
      <c r="P35" s="1">
        <f t="shared" si="58"/>
        <v>25</v>
      </c>
      <c r="Q35" s="1">
        <f t="shared" si="58"/>
        <v>19</v>
      </c>
      <c r="R35" s="1">
        <f t="shared" si="58"/>
        <v>123</v>
      </c>
      <c r="S35" s="1">
        <f t="shared" si="58"/>
        <v>128</v>
      </c>
      <c r="T35" s="1">
        <f t="shared" si="58"/>
        <v>215</v>
      </c>
      <c r="U35" s="1">
        <f t="shared" si="58"/>
        <v>215</v>
      </c>
      <c r="V35" s="1">
        <f t="shared" si="58"/>
        <v>215</v>
      </c>
      <c r="W35" s="1"/>
      <c r="X35" s="1"/>
      <c r="Y35" s="1">
        <f>Y21</f>
        <v>215</v>
      </c>
      <c r="Z35" s="1">
        <f>Z21</f>
        <v>215</v>
      </c>
      <c r="AA35" s="1">
        <f>AA21</f>
        <v>215</v>
      </c>
      <c r="AB35" s="1">
        <f>AB21</f>
        <v>215</v>
      </c>
      <c r="AC35" s="1">
        <f>AC21</f>
        <v>215</v>
      </c>
      <c r="AD35" s="1"/>
      <c r="AE35" s="1"/>
      <c r="AF35" s="1"/>
      <c r="AG35" s="1">
        <f>Y35</f>
        <v>215</v>
      </c>
      <c r="AH35" s="1">
        <f t="shared" ref="AH35:AK35" si="59">Z35</f>
        <v>215</v>
      </c>
      <c r="AI35" s="1">
        <f t="shared" si="59"/>
        <v>215</v>
      </c>
      <c r="AJ35" s="1">
        <f t="shared" si="59"/>
        <v>215</v>
      </c>
      <c r="AK35" s="1">
        <f t="shared" si="59"/>
        <v>215</v>
      </c>
    </row>
    <row r="36" spans="1:37" ht="33.5" customHeight="1">
      <c r="A36" s="239"/>
      <c r="B36" s="14"/>
      <c r="C36" s="35" t="str">
        <f>C23</f>
        <v>Working Days at Johar Batting Paradise (Post Expansion)</v>
      </c>
      <c r="D36" s="33">
        <f t="shared" ref="D36:V36" si="60">D23</f>
        <v>0</v>
      </c>
      <c r="E36" s="33">
        <f t="shared" si="60"/>
        <v>0</v>
      </c>
      <c r="F36" s="33">
        <f t="shared" si="60"/>
        <v>0</v>
      </c>
      <c r="G36" s="33">
        <f t="shared" si="60"/>
        <v>0</v>
      </c>
      <c r="H36" s="33">
        <f t="shared" si="60"/>
        <v>0</v>
      </c>
      <c r="I36" s="33">
        <f t="shared" si="60"/>
        <v>0</v>
      </c>
      <c r="J36" s="33">
        <f t="shared" si="60"/>
        <v>0</v>
      </c>
      <c r="K36" s="33">
        <f t="shared" si="60"/>
        <v>0</v>
      </c>
      <c r="L36" s="33">
        <f t="shared" si="60"/>
        <v>0</v>
      </c>
      <c r="M36" s="33">
        <f t="shared" si="60"/>
        <v>0</v>
      </c>
      <c r="N36" s="33">
        <f t="shared" si="60"/>
        <v>0</v>
      </c>
      <c r="O36" s="33">
        <f t="shared" si="60"/>
        <v>0</v>
      </c>
      <c r="P36" s="33">
        <f t="shared" si="60"/>
        <v>0</v>
      </c>
      <c r="Q36" s="33">
        <f t="shared" si="60"/>
        <v>0</v>
      </c>
      <c r="R36" s="33">
        <f t="shared" si="60"/>
        <v>0</v>
      </c>
      <c r="S36" s="33">
        <f t="shared" si="60"/>
        <v>0</v>
      </c>
      <c r="T36" s="33">
        <f t="shared" si="60"/>
        <v>0</v>
      </c>
      <c r="U36" s="33">
        <f t="shared" si="60"/>
        <v>0</v>
      </c>
      <c r="V36" s="33">
        <f t="shared" si="60"/>
        <v>0</v>
      </c>
      <c r="W36" s="33"/>
      <c r="X36" s="33"/>
      <c r="Y36" s="33">
        <f>Y23</f>
        <v>0</v>
      </c>
      <c r="Z36" s="33">
        <f>Z23</f>
        <v>0</v>
      </c>
      <c r="AA36" s="33">
        <f>AA23</f>
        <v>0</v>
      </c>
      <c r="AB36" s="33">
        <f>AB23</f>
        <v>0</v>
      </c>
      <c r="AC36" s="33">
        <f>AC23</f>
        <v>0</v>
      </c>
      <c r="AD36" s="33"/>
      <c r="AE36" s="33"/>
      <c r="AF36" s="33"/>
      <c r="AG36" s="33">
        <f>AG23</f>
        <v>299</v>
      </c>
      <c r="AH36" s="33">
        <f>AH23</f>
        <v>299</v>
      </c>
      <c r="AI36" s="33">
        <f>AI23</f>
        <v>299</v>
      </c>
      <c r="AJ36" s="33">
        <f>AJ23</f>
        <v>299</v>
      </c>
      <c r="AK36" s="33">
        <f>AK23</f>
        <v>299</v>
      </c>
    </row>
    <row r="37" spans="1:37">
      <c r="A37" s="238" t="s">
        <v>64</v>
      </c>
      <c r="B37" s="9"/>
      <c r="C37" s="25" t="s">
        <v>178</v>
      </c>
      <c r="F37">
        <f t="shared" ref="F37:V37" si="61">$D$33*F35</f>
        <v>240</v>
      </c>
      <c r="G37">
        <f t="shared" si="61"/>
        <v>552</v>
      </c>
      <c r="H37">
        <f t="shared" si="61"/>
        <v>624</v>
      </c>
      <c r="I37">
        <f t="shared" si="61"/>
        <v>552</v>
      </c>
      <c r="J37">
        <f t="shared" si="61"/>
        <v>624</v>
      </c>
      <c r="K37">
        <f t="shared" si="61"/>
        <v>408</v>
      </c>
      <c r="L37">
        <f t="shared" si="61"/>
        <v>552</v>
      </c>
      <c r="M37">
        <f t="shared" si="61"/>
        <v>384</v>
      </c>
      <c r="N37">
        <f t="shared" si="61"/>
        <v>576</v>
      </c>
      <c r="O37">
        <f t="shared" si="61"/>
        <v>528</v>
      </c>
      <c r="P37">
        <f t="shared" si="61"/>
        <v>600</v>
      </c>
      <c r="Q37">
        <f t="shared" si="61"/>
        <v>456</v>
      </c>
      <c r="R37">
        <f t="shared" si="61"/>
        <v>2952</v>
      </c>
      <c r="S37">
        <f t="shared" si="61"/>
        <v>3072</v>
      </c>
      <c r="T37">
        <f t="shared" si="61"/>
        <v>5160</v>
      </c>
      <c r="U37">
        <f t="shared" si="61"/>
        <v>5160</v>
      </c>
      <c r="V37">
        <f t="shared" si="61"/>
        <v>5160</v>
      </c>
      <c r="Y37">
        <f>$D$33*Y35</f>
        <v>5160</v>
      </c>
      <c r="Z37">
        <f>$D$33*Z35</f>
        <v>5160</v>
      </c>
      <c r="AA37">
        <f>$D$33*AA35</f>
        <v>5160</v>
      </c>
      <c r="AB37">
        <f>$D$33*AB35</f>
        <v>5160</v>
      </c>
      <c r="AC37">
        <f>$D$33*AC35</f>
        <v>5160</v>
      </c>
      <c r="AG37">
        <f t="shared" ref="AG37:AK37" si="62">$D$33*AG35</f>
        <v>5160</v>
      </c>
      <c r="AH37">
        <f t="shared" si="62"/>
        <v>5160</v>
      </c>
      <c r="AI37">
        <f t="shared" si="62"/>
        <v>5160</v>
      </c>
      <c r="AJ37">
        <f t="shared" si="62"/>
        <v>5160</v>
      </c>
      <c r="AK37">
        <f t="shared" si="62"/>
        <v>5160</v>
      </c>
    </row>
    <row r="38" spans="1:37">
      <c r="A38" s="239"/>
      <c r="B38" s="15"/>
      <c r="C38" s="26" t="s">
        <v>179</v>
      </c>
      <c r="F38">
        <f t="shared" ref="F38:V38" si="63">$D$34*F36</f>
        <v>0</v>
      </c>
      <c r="G38">
        <f t="shared" si="63"/>
        <v>0</v>
      </c>
      <c r="H38">
        <f t="shared" si="63"/>
        <v>0</v>
      </c>
      <c r="I38">
        <f t="shared" si="63"/>
        <v>0</v>
      </c>
      <c r="J38">
        <f t="shared" si="63"/>
        <v>0</v>
      </c>
      <c r="K38">
        <f t="shared" si="63"/>
        <v>0</v>
      </c>
      <c r="L38">
        <f t="shared" si="63"/>
        <v>0</v>
      </c>
      <c r="M38">
        <f t="shared" si="63"/>
        <v>0</v>
      </c>
      <c r="N38">
        <f t="shared" si="63"/>
        <v>0</v>
      </c>
      <c r="O38">
        <f t="shared" si="63"/>
        <v>0</v>
      </c>
      <c r="P38">
        <f t="shared" si="63"/>
        <v>0</v>
      </c>
      <c r="Q38">
        <f t="shared" si="63"/>
        <v>0</v>
      </c>
      <c r="R38">
        <f t="shared" si="63"/>
        <v>0</v>
      </c>
      <c r="S38">
        <f t="shared" si="63"/>
        <v>0</v>
      </c>
      <c r="T38">
        <f t="shared" si="63"/>
        <v>0</v>
      </c>
      <c r="U38">
        <f t="shared" si="63"/>
        <v>0</v>
      </c>
      <c r="V38">
        <f t="shared" si="63"/>
        <v>0</v>
      </c>
      <c r="Y38">
        <f>$D$34*Y36</f>
        <v>0</v>
      </c>
      <c r="Z38">
        <f t="shared" ref="Z38:AC38" si="64">$D$34*Z36</f>
        <v>0</v>
      </c>
      <c r="AA38">
        <f t="shared" si="64"/>
        <v>0</v>
      </c>
      <c r="AB38">
        <f t="shared" si="64"/>
        <v>0</v>
      </c>
      <c r="AC38">
        <f t="shared" si="64"/>
        <v>0</v>
      </c>
      <c r="AG38">
        <f t="shared" ref="AG38:AK38" si="65">$D$34*AG36</f>
        <v>15249</v>
      </c>
      <c r="AH38">
        <f t="shared" si="65"/>
        <v>15249</v>
      </c>
      <c r="AI38">
        <f t="shared" si="65"/>
        <v>15249</v>
      </c>
      <c r="AJ38">
        <f t="shared" si="65"/>
        <v>15249</v>
      </c>
      <c r="AK38">
        <f t="shared" si="65"/>
        <v>15249</v>
      </c>
    </row>
    <row r="39" spans="1:37" ht="87">
      <c r="A39" s="238" t="s">
        <v>18</v>
      </c>
      <c r="B39" s="8" t="s">
        <v>178</v>
      </c>
      <c r="C39" s="36" t="s">
        <v>60</v>
      </c>
      <c r="D39" s="136">
        <f>'Control Sheet'!C26/100</f>
        <v>0.9</v>
      </c>
    </row>
    <row r="40" spans="1:37">
      <c r="A40" s="239"/>
      <c r="B40" s="14" t="s">
        <v>179</v>
      </c>
      <c r="C40" s="35" t="s">
        <v>180</v>
      </c>
      <c r="D40" s="136">
        <f>'Control Sheet'!G26/100</f>
        <v>0.8</v>
      </c>
    </row>
    <row r="41" spans="1:37">
      <c r="A41" s="240" t="s">
        <v>57</v>
      </c>
      <c r="B41" s="9"/>
      <c r="C41" s="25"/>
    </row>
    <row r="42" spans="1:37">
      <c r="A42" s="236" t="s">
        <v>61</v>
      </c>
      <c r="B42" s="20" t="s">
        <v>181</v>
      </c>
      <c r="C42" s="58" t="s">
        <v>14</v>
      </c>
      <c r="D42">
        <v>50</v>
      </c>
      <c r="F42">
        <f t="shared" ref="F42:Q42" si="66">IF(OR(($D$42*F19)&lt;52.5, ($D$42*F19)&gt;57.5), ROUND($D$42*F19, -1), CEILING($D$42*F19, 5))</f>
        <v>50</v>
      </c>
      <c r="G42">
        <f t="shared" si="66"/>
        <v>50</v>
      </c>
      <c r="H42">
        <f t="shared" si="66"/>
        <v>50</v>
      </c>
      <c r="I42">
        <f t="shared" si="66"/>
        <v>50</v>
      </c>
      <c r="J42">
        <f t="shared" si="66"/>
        <v>50</v>
      </c>
      <c r="K42">
        <f t="shared" si="66"/>
        <v>50</v>
      </c>
      <c r="L42">
        <f t="shared" si="66"/>
        <v>55</v>
      </c>
      <c r="M42">
        <f t="shared" si="66"/>
        <v>55</v>
      </c>
      <c r="N42">
        <f t="shared" si="66"/>
        <v>55</v>
      </c>
      <c r="O42">
        <f t="shared" si="66"/>
        <v>55</v>
      </c>
      <c r="P42">
        <f t="shared" si="66"/>
        <v>55</v>
      </c>
      <c r="Q42">
        <f t="shared" si="66"/>
        <v>55</v>
      </c>
      <c r="R42">
        <f>IF(OR(($D$42*R19)&lt;52.5,($D$42*R19)&gt;57.5),ROUND(ROUND(($D$42*R19)*6,-1)/6,-1),CEILING(CEILING(($D$42*R19)*6,5)/6,5))</f>
        <v>60</v>
      </c>
      <c r="S42">
        <f>IF(OR(($D$42*S19)&lt;52.5,($D$42*S19)&gt;57.5),ROUND(ROUND(($D$42*S19)*6,-1)/6,-1),CEILING(CEILING(($D$42*S19)*6,5)/6,5))</f>
        <v>60</v>
      </c>
      <c r="T42">
        <f>IF(OR(($D$42*T19)&lt;52.5,($D$42*T19)&gt;57.5),ROUND(ROUND(($D$42*T19)*12,-1)/12,-1),CEILING(CEILING(($D$42*T19)*12,5)/12,5))</f>
        <v>60</v>
      </c>
      <c r="U42">
        <f>IF(OR(($D$42*U19)&lt;52.5,($D$42*U19)&gt;57.5),ROUND(ROUND(($D$42*U19)*12,-1)/12,-1),CEILING(CEILING(($D$42*U19)*12,5)/12,5))</f>
        <v>70</v>
      </c>
      <c r="V42">
        <f>IF(OR(($D$42*V19)&lt;52.5,($D$42*V19)&gt;57.5),ROUND(ROUND(($D$42*V19)*12,-1)/12,-1),CEILING(CEILING(($D$42*V19)*12,5)/12,5))</f>
        <v>70</v>
      </c>
      <c r="Y42">
        <f>ROUND($D$42*Y19,-1)</f>
        <v>80</v>
      </c>
      <c r="Z42">
        <f>ROUND($D$42*Z19,-1)</f>
        <v>80</v>
      </c>
      <c r="AA42">
        <f>ROUND($D$42*AA19,-1)</f>
        <v>90</v>
      </c>
      <c r="AB42">
        <f>ROUND($D$42*AB19,-1)</f>
        <v>90</v>
      </c>
      <c r="AC42">
        <f>ROUND($D$42*AC19,-1)</f>
        <v>100</v>
      </c>
      <c r="AG42">
        <f>Y42</f>
        <v>80</v>
      </c>
      <c r="AH42">
        <f t="shared" ref="AH42:AK42" si="67">Z42</f>
        <v>80</v>
      </c>
      <c r="AI42">
        <f t="shared" si="67"/>
        <v>90</v>
      </c>
      <c r="AJ42">
        <f t="shared" si="67"/>
        <v>90</v>
      </c>
      <c r="AK42">
        <f t="shared" si="67"/>
        <v>100</v>
      </c>
    </row>
    <row r="43" spans="1:37" ht="43.5">
      <c r="A43" s="237" t="s">
        <v>62</v>
      </c>
      <c r="B43" s="9"/>
      <c r="C43" s="36" t="s">
        <v>63</v>
      </c>
      <c r="D43" s="2">
        <v>0.75</v>
      </c>
    </row>
    <row r="44" spans="1:37" ht="29">
      <c r="A44" s="239"/>
      <c r="B44" s="15"/>
      <c r="C44" s="35" t="s">
        <v>175</v>
      </c>
      <c r="D44" s="2">
        <v>0.5</v>
      </c>
    </row>
    <row r="45" spans="1:37" ht="29">
      <c r="A45" s="237" t="s">
        <v>65</v>
      </c>
      <c r="B45" s="9"/>
      <c r="C45" s="25" t="s">
        <v>178</v>
      </c>
      <c r="F45">
        <f t="shared" ref="F45:V45" si="68">ROUND(F31*$D$43,0)</f>
        <v>162</v>
      </c>
      <c r="G45">
        <f t="shared" si="68"/>
        <v>373</v>
      </c>
      <c r="H45">
        <f t="shared" si="68"/>
        <v>422</v>
      </c>
      <c r="I45">
        <f t="shared" si="68"/>
        <v>373</v>
      </c>
      <c r="J45">
        <f t="shared" si="68"/>
        <v>422</v>
      </c>
      <c r="K45">
        <f t="shared" si="68"/>
        <v>275</v>
      </c>
      <c r="L45">
        <f t="shared" si="68"/>
        <v>373</v>
      </c>
      <c r="M45">
        <f t="shared" si="68"/>
        <v>260</v>
      </c>
      <c r="N45">
        <f t="shared" si="68"/>
        <v>389</v>
      </c>
      <c r="O45">
        <f t="shared" si="68"/>
        <v>356</v>
      </c>
      <c r="P45">
        <f t="shared" si="68"/>
        <v>405</v>
      </c>
      <c r="Q45">
        <f t="shared" si="68"/>
        <v>308</v>
      </c>
      <c r="R45">
        <f t="shared" si="68"/>
        <v>1993</v>
      </c>
      <c r="S45">
        <f t="shared" si="68"/>
        <v>2074</v>
      </c>
      <c r="T45">
        <f t="shared" si="68"/>
        <v>3483</v>
      </c>
      <c r="U45">
        <f t="shared" si="68"/>
        <v>3483</v>
      </c>
      <c r="V45">
        <f t="shared" si="68"/>
        <v>3483</v>
      </c>
      <c r="Y45">
        <f t="shared" ref="Y45:AK45" si="69">ROUND(Y31*$D$43,0)</f>
        <v>3483</v>
      </c>
      <c r="Z45">
        <f t="shared" si="69"/>
        <v>3483</v>
      </c>
      <c r="AA45">
        <f t="shared" si="69"/>
        <v>3483</v>
      </c>
      <c r="AB45">
        <f t="shared" si="69"/>
        <v>3483</v>
      </c>
      <c r="AC45">
        <f t="shared" si="69"/>
        <v>3483</v>
      </c>
      <c r="AG45">
        <f t="shared" si="69"/>
        <v>3483</v>
      </c>
      <c r="AH45">
        <f t="shared" si="69"/>
        <v>3483</v>
      </c>
      <c r="AI45">
        <f t="shared" si="69"/>
        <v>3483</v>
      </c>
      <c r="AJ45">
        <f t="shared" si="69"/>
        <v>3483</v>
      </c>
      <c r="AK45">
        <f t="shared" si="69"/>
        <v>3483</v>
      </c>
    </row>
    <row r="46" spans="1:37">
      <c r="A46" s="239"/>
      <c r="B46" s="15"/>
      <c r="C46" s="35" t="s">
        <v>179</v>
      </c>
      <c r="F46">
        <f>ROUND(F32*$D$44,0)</f>
        <v>0</v>
      </c>
      <c r="G46">
        <f t="shared" ref="G46:AK46" si="70">ROUND(G32*$D$44,0)</f>
        <v>0</v>
      </c>
      <c r="H46">
        <f t="shared" si="70"/>
        <v>0</v>
      </c>
      <c r="I46">
        <f t="shared" si="70"/>
        <v>0</v>
      </c>
      <c r="J46">
        <f t="shared" si="70"/>
        <v>0</v>
      </c>
      <c r="K46">
        <f t="shared" si="70"/>
        <v>0</v>
      </c>
      <c r="L46">
        <f t="shared" si="70"/>
        <v>0</v>
      </c>
      <c r="M46">
        <f t="shared" si="70"/>
        <v>0</v>
      </c>
      <c r="N46">
        <f t="shared" si="70"/>
        <v>0</v>
      </c>
      <c r="O46">
        <f t="shared" si="70"/>
        <v>0</v>
      </c>
      <c r="P46">
        <f t="shared" si="70"/>
        <v>0</v>
      </c>
      <c r="Q46">
        <f t="shared" si="70"/>
        <v>0</v>
      </c>
      <c r="R46">
        <f t="shared" si="70"/>
        <v>0</v>
      </c>
      <c r="S46">
        <f t="shared" si="70"/>
        <v>0</v>
      </c>
      <c r="T46">
        <f t="shared" si="70"/>
        <v>0</v>
      </c>
      <c r="U46">
        <f t="shared" si="70"/>
        <v>0</v>
      </c>
      <c r="V46">
        <f t="shared" si="70"/>
        <v>0</v>
      </c>
      <c r="Y46">
        <f t="shared" si="70"/>
        <v>0</v>
      </c>
      <c r="Z46">
        <f t="shared" si="70"/>
        <v>0</v>
      </c>
      <c r="AA46">
        <f t="shared" si="70"/>
        <v>0</v>
      </c>
      <c r="AB46">
        <f t="shared" si="70"/>
        <v>0</v>
      </c>
      <c r="AC46">
        <f t="shared" si="70"/>
        <v>0</v>
      </c>
      <c r="AG46">
        <f t="shared" si="70"/>
        <v>6100</v>
      </c>
      <c r="AH46">
        <f t="shared" si="70"/>
        <v>6100</v>
      </c>
      <c r="AI46">
        <f t="shared" si="70"/>
        <v>6100</v>
      </c>
      <c r="AJ46">
        <f t="shared" si="70"/>
        <v>6100</v>
      </c>
      <c r="AK46">
        <f t="shared" si="70"/>
        <v>6100</v>
      </c>
    </row>
    <row r="47" spans="1:37">
      <c r="A47" s="40"/>
    </row>
    <row r="48" spans="1:37" ht="43.5">
      <c r="A48" s="241" t="s">
        <v>182</v>
      </c>
      <c r="B48" s="59" t="s">
        <v>183</v>
      </c>
      <c r="C48" s="60"/>
      <c r="D48" s="60"/>
      <c r="E48" s="60"/>
      <c r="F48" s="60">
        <f t="shared" ref="F48:AF48" si="71">F54+F56+F165+F175+F184</f>
        <v>6252.3333333333339</v>
      </c>
      <c r="G48" s="60">
        <f t="shared" si="71"/>
        <v>7408.1111111111113</v>
      </c>
      <c r="H48" s="60">
        <f t="shared" si="71"/>
        <v>7735.9259259259261</v>
      </c>
      <c r="I48" s="60">
        <f t="shared" si="71"/>
        <v>7553.7771604938271</v>
      </c>
      <c r="J48" s="60">
        <f t="shared" si="71"/>
        <v>7921.6642078189298</v>
      </c>
      <c r="K48" s="60">
        <f t="shared" si="71"/>
        <v>7249.5864710219475</v>
      </c>
      <c r="L48" s="60">
        <f t="shared" si="71"/>
        <v>7957.5433631715823</v>
      </c>
      <c r="M48" s="60">
        <f t="shared" si="71"/>
        <v>7515.5343071187226</v>
      </c>
      <c r="N48" s="60">
        <f t="shared" si="71"/>
        <v>8473.5587353334104</v>
      </c>
      <c r="O48" s="60">
        <f t="shared" si="71"/>
        <v>8581.6160897445188</v>
      </c>
      <c r="P48" s="60">
        <f t="shared" si="71"/>
        <v>9199.7058215821125</v>
      </c>
      <c r="Q48" s="60">
        <f t="shared" si="71"/>
        <v>9037.8273912224104</v>
      </c>
      <c r="R48" s="60">
        <f t="shared" si="71"/>
        <v>59248.518894662731</v>
      </c>
      <c r="S48" s="60">
        <f t="shared" si="71"/>
        <v>65823.940364888505</v>
      </c>
      <c r="T48" s="60">
        <f t="shared" si="71"/>
        <v>148814.69745283591</v>
      </c>
      <c r="U48" s="60">
        <f t="shared" si="71"/>
        <v>149081.09278727026</v>
      </c>
      <c r="V48" s="60">
        <f t="shared" si="71"/>
        <v>159535.24602916409</v>
      </c>
      <c r="W48" s="60">
        <f t="shared" si="71"/>
        <v>0</v>
      </c>
      <c r="X48" s="60">
        <f t="shared" si="71"/>
        <v>0</v>
      </c>
      <c r="Y48" s="60">
        <f t="shared" si="71"/>
        <v>216802.3020368031</v>
      </c>
      <c r="Z48" s="60">
        <f t="shared" si="71"/>
        <v>322402.82688833284</v>
      </c>
      <c r="AA48" s="60">
        <f t="shared" si="71"/>
        <v>523670.24933589681</v>
      </c>
      <c r="AB48" s="60">
        <f t="shared" si="71"/>
        <v>911175.5796066341</v>
      </c>
      <c r="AC48" s="60">
        <f t="shared" si="71"/>
        <v>1783960.9484137211</v>
      </c>
      <c r="AD48" s="60">
        <f t="shared" si="71"/>
        <v>0</v>
      </c>
      <c r="AE48" s="60">
        <f t="shared" si="71"/>
        <v>0</v>
      </c>
      <c r="AF48" s="60">
        <f t="shared" si="71"/>
        <v>0</v>
      </c>
      <c r="AG48" s="60">
        <f>AG54+AG56+AG165+AG176+AG184</f>
        <v>557083.28616566746</v>
      </c>
      <c r="AH48" s="60">
        <f>AH54+AH56+AH165+AH176+AH184</f>
        <v>656958.05763636692</v>
      </c>
      <c r="AI48" s="60">
        <f>AI54+AI56+AI165+AI176+AI184</f>
        <v>853833.68655947829</v>
      </c>
      <c r="AJ48" s="60">
        <f>AJ54+AJ56+AJ165+AJ176+AJ184</f>
        <v>1294489.0481279383</v>
      </c>
      <c r="AK48" s="60">
        <f>AK54+AK56+AK165+AK176+AK184</f>
        <v>2189429.2279765848</v>
      </c>
    </row>
    <row r="49" spans="1:37">
      <c r="A49" s="40"/>
    </row>
    <row r="50" spans="1:37">
      <c r="A50" s="40"/>
    </row>
    <row r="51" spans="1:37">
      <c r="A51" s="40"/>
    </row>
    <row r="52" spans="1:37">
      <c r="A52" s="242"/>
      <c r="B52" s="65"/>
      <c r="C52" s="1"/>
    </row>
    <row r="53" spans="1:37">
      <c r="A53" s="243"/>
      <c r="B53" s="1"/>
      <c r="C53" s="33"/>
    </row>
    <row r="54" spans="1:37" ht="29">
      <c r="A54" s="244" t="s">
        <v>160</v>
      </c>
      <c r="B54" s="1" t="s">
        <v>68</v>
      </c>
      <c r="C54" s="33" t="s">
        <v>69</v>
      </c>
      <c r="D54" s="1"/>
      <c r="F54">
        <f t="shared" ref="F54:V54" si="72">ROUND($D$55*F31*F19,-1)</f>
        <v>860</v>
      </c>
      <c r="G54">
        <f t="shared" si="72"/>
        <v>2000</v>
      </c>
      <c r="H54">
        <f t="shared" si="72"/>
        <v>2290</v>
      </c>
      <c r="I54">
        <f t="shared" si="72"/>
        <v>2040</v>
      </c>
      <c r="J54">
        <f t="shared" si="72"/>
        <v>2320</v>
      </c>
      <c r="K54">
        <f t="shared" si="72"/>
        <v>1530</v>
      </c>
      <c r="L54">
        <f t="shared" si="72"/>
        <v>2090</v>
      </c>
      <c r="M54">
        <f t="shared" si="72"/>
        <v>1470</v>
      </c>
      <c r="N54">
        <f t="shared" si="72"/>
        <v>2210</v>
      </c>
      <c r="O54">
        <f t="shared" si="72"/>
        <v>2050</v>
      </c>
      <c r="P54">
        <f t="shared" si="72"/>
        <v>2350</v>
      </c>
      <c r="Q54">
        <f t="shared" si="72"/>
        <v>1800</v>
      </c>
      <c r="R54">
        <f t="shared" si="72"/>
        <v>12110</v>
      </c>
      <c r="S54">
        <f t="shared" si="72"/>
        <v>13110</v>
      </c>
      <c r="T54">
        <f t="shared" si="72"/>
        <v>23680</v>
      </c>
      <c r="U54">
        <f t="shared" si="72"/>
        <v>25220</v>
      </c>
      <c r="V54">
        <f t="shared" si="72"/>
        <v>26850</v>
      </c>
      <c r="Y54">
        <f>ROUND($D$55*Y31*Y19,-1)</f>
        <v>28690</v>
      </c>
      <c r="Z54">
        <f>ROUND($D$55*Z31*Z19,-1)</f>
        <v>30560</v>
      </c>
      <c r="AA54">
        <f>ROUND($D$55*AA31*AA19,-1)</f>
        <v>32540</v>
      </c>
      <c r="AB54">
        <f>ROUND($D$55*AB31*AB19,-1)</f>
        <v>34770</v>
      </c>
      <c r="AC54">
        <f>ROUND($D$55*AC31*AC19,-1)</f>
        <v>37090</v>
      </c>
      <c r="AG54">
        <f>ROUND($D$55*(AG31+AG32)*AG19,-1)</f>
        <v>104080</v>
      </c>
      <c r="AH54">
        <f t="shared" ref="AH54:AK54" si="73">ROUND($D$55*(AH31+AH32)*AH19,-1)</f>
        <v>110840</v>
      </c>
      <c r="AI54">
        <f t="shared" si="73"/>
        <v>118030</v>
      </c>
      <c r="AJ54">
        <f t="shared" si="73"/>
        <v>126120</v>
      </c>
      <c r="AK54">
        <f t="shared" si="73"/>
        <v>134540</v>
      </c>
    </row>
    <row r="55" spans="1:37">
      <c r="A55" s="245" t="s">
        <v>159</v>
      </c>
      <c r="B55" s="1"/>
      <c r="C55" s="33" t="s">
        <v>161</v>
      </c>
      <c r="D55" s="1">
        <v>4</v>
      </c>
    </row>
    <row r="56" spans="1:37" ht="43.5">
      <c r="A56" s="244" t="s">
        <v>20</v>
      </c>
      <c r="B56" s="1" t="s">
        <v>66</v>
      </c>
      <c r="C56" s="33" t="s">
        <v>67</v>
      </c>
      <c r="F56">
        <f>(($D$57*$D$59)/$D$58)*F31*D60</f>
        <v>2592</v>
      </c>
      <c r="G56">
        <f t="shared" ref="G56:Q56" si="74">ROUND(F56*G19,-1)</f>
        <v>2610</v>
      </c>
      <c r="H56">
        <f t="shared" si="74"/>
        <v>2650</v>
      </c>
      <c r="I56">
        <f t="shared" si="74"/>
        <v>2720</v>
      </c>
      <c r="J56">
        <f t="shared" si="74"/>
        <v>2810</v>
      </c>
      <c r="K56">
        <f t="shared" si="74"/>
        <v>2930</v>
      </c>
      <c r="L56">
        <f t="shared" si="74"/>
        <v>3080</v>
      </c>
      <c r="M56">
        <f t="shared" si="74"/>
        <v>3260</v>
      </c>
      <c r="N56">
        <f t="shared" si="74"/>
        <v>3480</v>
      </c>
      <c r="O56">
        <f t="shared" si="74"/>
        <v>3750</v>
      </c>
      <c r="P56">
        <f t="shared" si="74"/>
        <v>4070</v>
      </c>
      <c r="Q56">
        <f t="shared" si="74"/>
        <v>4460</v>
      </c>
      <c r="R56">
        <f>R19*Q56*6</f>
        <v>30490.518894662731</v>
      </c>
      <c r="S56">
        <f>S19*R56</f>
        <v>36130.740364888508</v>
      </c>
      <c r="T56">
        <f>S56*2*T19</f>
        <v>92110.697452835928</v>
      </c>
      <c r="U56">
        <f>S56*2*U19</f>
        <v>98097.892787270262</v>
      </c>
      <c r="V56">
        <f>S56*2*V19</f>
        <v>104464.4460291641</v>
      </c>
      <c r="Y56">
        <f>V56*Y19</f>
        <v>161368.3020368031</v>
      </c>
      <c r="Z56">
        <f>Y56*Z19</f>
        <v>265458.82688833284</v>
      </c>
      <c r="AA56">
        <f t="shared" ref="AA56:AC56" si="75">Z56*AA19</f>
        <v>465034.24933589681</v>
      </c>
      <c r="AB56">
        <f t="shared" si="75"/>
        <v>870483.97960663412</v>
      </c>
      <c r="AC56">
        <f t="shared" si="75"/>
        <v>1738184.5484137211</v>
      </c>
      <c r="AG56">
        <f>Y56+((($D$57*$D$59)/$D$58)*AG32*AG19)</f>
        <v>387515.28616566741</v>
      </c>
      <c r="AH56">
        <f t="shared" ref="AH56:AK56" si="76">Z56+((($D$57*$D$59)/$D$58)*AH32*AH19)</f>
        <v>506294.05763636687</v>
      </c>
      <c r="AI56">
        <f t="shared" si="76"/>
        <v>721499.68655947829</v>
      </c>
      <c r="AJ56">
        <f t="shared" si="76"/>
        <v>1144525.8481279383</v>
      </c>
      <c r="AK56">
        <f t="shared" si="76"/>
        <v>2030516.4279765848</v>
      </c>
    </row>
    <row r="57" spans="1:37">
      <c r="A57" s="245" t="s">
        <v>71</v>
      </c>
      <c r="B57" s="1" t="s">
        <v>77</v>
      </c>
      <c r="C57" s="34" t="s">
        <v>72</v>
      </c>
      <c r="D57">
        <v>36</v>
      </c>
    </row>
    <row r="58" spans="1:37">
      <c r="A58" s="245" t="s">
        <v>73</v>
      </c>
      <c r="B58" s="1" t="s">
        <v>75</v>
      </c>
      <c r="C58" s="33" t="s">
        <v>74</v>
      </c>
      <c r="D58">
        <v>0.75</v>
      </c>
    </row>
    <row r="59" spans="1:37">
      <c r="A59" s="39"/>
      <c r="B59" s="1" t="s">
        <v>76</v>
      </c>
      <c r="C59" s="34"/>
      <c r="D59">
        <f>0.75/3</f>
        <v>0.25</v>
      </c>
    </row>
    <row r="60" spans="1:37">
      <c r="A60" s="39"/>
      <c r="B60" s="1" t="s">
        <v>184</v>
      </c>
      <c r="C60" s="34"/>
      <c r="D60">
        <v>1</v>
      </c>
      <c r="AF60" t="s">
        <v>185</v>
      </c>
    </row>
    <row r="61" spans="1:37">
      <c r="A61" s="246"/>
      <c r="B61" s="1"/>
      <c r="C61" s="1"/>
    </row>
    <row r="62" spans="1:37">
      <c r="A62" s="247" t="s">
        <v>186</v>
      </c>
      <c r="B62" s="1"/>
      <c r="C62" s="1"/>
    </row>
    <row r="63" spans="1:37">
      <c r="A63" s="237" t="s">
        <v>187</v>
      </c>
      <c r="B63" s="9"/>
      <c r="C63" s="25"/>
    </row>
    <row r="64" spans="1:37" ht="29">
      <c r="A64" s="245" t="s">
        <v>188</v>
      </c>
      <c r="B64" s="1" t="s">
        <v>22</v>
      </c>
      <c r="C64" s="33" t="s">
        <v>92</v>
      </c>
      <c r="F64">
        <v>1</v>
      </c>
      <c r="G64">
        <v>1</v>
      </c>
      <c r="H64">
        <v>1</v>
      </c>
      <c r="I64">
        <v>1</v>
      </c>
      <c r="J64">
        <v>1</v>
      </c>
      <c r="K64">
        <v>1</v>
      </c>
      <c r="L64">
        <v>1</v>
      </c>
      <c r="M64">
        <v>1</v>
      </c>
      <c r="N64">
        <v>1</v>
      </c>
      <c r="O64">
        <v>1</v>
      </c>
      <c r="P64">
        <v>1</v>
      </c>
      <c r="Q64">
        <v>1</v>
      </c>
      <c r="R64">
        <v>1</v>
      </c>
      <c r="S64">
        <v>1</v>
      </c>
      <c r="T64">
        <v>1</v>
      </c>
      <c r="U64">
        <v>1</v>
      </c>
      <c r="V64">
        <v>1</v>
      </c>
      <c r="Y64">
        <v>1</v>
      </c>
      <c r="Z64">
        <v>1</v>
      </c>
      <c r="AA64">
        <v>1</v>
      </c>
      <c r="AB64">
        <v>1</v>
      </c>
      <c r="AC64">
        <v>1</v>
      </c>
      <c r="AG64">
        <v>2</v>
      </c>
      <c r="AH64">
        <v>2</v>
      </c>
      <c r="AI64">
        <v>2</v>
      </c>
      <c r="AJ64">
        <v>2</v>
      </c>
      <c r="AK64">
        <v>2</v>
      </c>
    </row>
    <row r="65" spans="1:37" ht="29">
      <c r="A65" s="245" t="s">
        <v>189</v>
      </c>
      <c r="B65" s="1" t="s">
        <v>21</v>
      </c>
      <c r="C65" s="33" t="s">
        <v>23</v>
      </c>
      <c r="F65">
        <v>1</v>
      </c>
      <c r="G65">
        <v>1</v>
      </c>
      <c r="H65">
        <v>1</v>
      </c>
      <c r="I65">
        <v>1</v>
      </c>
      <c r="J65">
        <v>1</v>
      </c>
      <c r="K65">
        <v>1</v>
      </c>
      <c r="L65">
        <v>1</v>
      </c>
      <c r="M65">
        <v>1</v>
      </c>
      <c r="N65">
        <v>1</v>
      </c>
      <c r="O65">
        <v>1</v>
      </c>
      <c r="P65">
        <v>1</v>
      </c>
      <c r="Q65">
        <v>1</v>
      </c>
      <c r="R65">
        <v>1</v>
      </c>
      <c r="S65">
        <v>1</v>
      </c>
      <c r="T65">
        <v>1</v>
      </c>
      <c r="U65">
        <v>1</v>
      </c>
      <c r="V65">
        <v>1</v>
      </c>
      <c r="Y65">
        <v>1</v>
      </c>
      <c r="Z65">
        <v>1</v>
      </c>
      <c r="AA65">
        <v>1</v>
      </c>
      <c r="AB65">
        <v>1</v>
      </c>
      <c r="AC65">
        <v>1</v>
      </c>
      <c r="AG65">
        <v>2</v>
      </c>
      <c r="AH65">
        <v>2</v>
      </c>
      <c r="AI65">
        <v>2</v>
      </c>
      <c r="AJ65">
        <v>2</v>
      </c>
      <c r="AK65">
        <v>2</v>
      </c>
    </row>
    <row r="66" spans="1:37" ht="29">
      <c r="A66" s="239" t="s">
        <v>190</v>
      </c>
      <c r="B66" s="14" t="s">
        <v>191</v>
      </c>
      <c r="C66" s="35" t="s">
        <v>192</v>
      </c>
      <c r="F66">
        <v>0</v>
      </c>
      <c r="G66">
        <v>0</v>
      </c>
      <c r="H66">
        <v>0</v>
      </c>
      <c r="I66">
        <v>0</v>
      </c>
      <c r="J66">
        <v>0</v>
      </c>
      <c r="K66">
        <v>0</v>
      </c>
      <c r="L66">
        <v>0</v>
      </c>
      <c r="M66">
        <v>0</v>
      </c>
      <c r="N66">
        <v>0</v>
      </c>
      <c r="O66">
        <v>0</v>
      </c>
      <c r="P66">
        <v>0</v>
      </c>
      <c r="Q66">
        <v>0</v>
      </c>
      <c r="R66">
        <v>0</v>
      </c>
      <c r="S66">
        <v>0</v>
      </c>
      <c r="T66">
        <v>0</v>
      </c>
      <c r="U66">
        <v>0</v>
      </c>
      <c r="V66">
        <v>0</v>
      </c>
      <c r="Y66">
        <v>0</v>
      </c>
      <c r="Z66">
        <v>0</v>
      </c>
      <c r="AA66">
        <v>0</v>
      </c>
      <c r="AB66">
        <v>0</v>
      </c>
      <c r="AC66">
        <v>0</v>
      </c>
      <c r="AG66">
        <v>1</v>
      </c>
      <c r="AH66">
        <v>1</v>
      </c>
      <c r="AI66">
        <v>1</v>
      </c>
      <c r="AJ66">
        <v>1</v>
      </c>
      <c r="AK66">
        <v>1</v>
      </c>
    </row>
    <row r="67" spans="1:37">
      <c r="A67" s="248" t="s">
        <v>194</v>
      </c>
      <c r="B67" s="8"/>
      <c r="C67" s="36"/>
    </row>
    <row r="68" spans="1:37">
      <c r="A68" s="245" t="s">
        <v>193</v>
      </c>
      <c r="B68" s="1"/>
      <c r="C68" s="33" t="s">
        <v>195</v>
      </c>
      <c r="D68">
        <f>'Control Sheet'!$C$35</f>
        <v>60</v>
      </c>
    </row>
    <row r="69" spans="1:37">
      <c r="A69" s="245" t="s">
        <v>189</v>
      </c>
      <c r="B69" s="1"/>
      <c r="C69" s="33" t="s">
        <v>25</v>
      </c>
      <c r="D69">
        <f>'Control Sheet'!$C$39</f>
        <v>22000</v>
      </c>
    </row>
    <row r="70" spans="1:37">
      <c r="A70" s="239" t="s">
        <v>190</v>
      </c>
      <c r="B70" s="14"/>
      <c r="C70" s="35" t="s">
        <v>25</v>
      </c>
      <c r="D70">
        <f>'Control Sheet'!$C$43</f>
        <v>29000</v>
      </c>
    </row>
    <row r="71" spans="1:37">
      <c r="A71" s="248" t="s">
        <v>186</v>
      </c>
      <c r="B71" s="8"/>
      <c r="C71" s="36"/>
    </row>
    <row r="72" spans="1:37">
      <c r="A72" s="245" t="s">
        <v>193</v>
      </c>
      <c r="B72" s="1"/>
      <c r="C72" s="33" t="s">
        <v>196</v>
      </c>
      <c r="F72">
        <f t="shared" ref="F72:V72" si="77">$D$68*F64*F31</f>
        <v>12960</v>
      </c>
      <c r="G72">
        <f t="shared" si="77"/>
        <v>29820</v>
      </c>
      <c r="H72">
        <f t="shared" si="77"/>
        <v>33720</v>
      </c>
      <c r="I72">
        <f t="shared" si="77"/>
        <v>29820</v>
      </c>
      <c r="J72">
        <f t="shared" si="77"/>
        <v>33720</v>
      </c>
      <c r="K72">
        <f t="shared" si="77"/>
        <v>22020</v>
      </c>
      <c r="L72">
        <f t="shared" si="77"/>
        <v>29820</v>
      </c>
      <c r="M72">
        <f t="shared" si="77"/>
        <v>20760</v>
      </c>
      <c r="N72">
        <f t="shared" si="77"/>
        <v>31080</v>
      </c>
      <c r="O72">
        <f t="shared" si="77"/>
        <v>28500</v>
      </c>
      <c r="P72">
        <f t="shared" si="77"/>
        <v>32400</v>
      </c>
      <c r="Q72">
        <f t="shared" si="77"/>
        <v>24600</v>
      </c>
      <c r="R72">
        <f t="shared" si="77"/>
        <v>159420</v>
      </c>
      <c r="S72">
        <f t="shared" si="77"/>
        <v>165900</v>
      </c>
      <c r="T72">
        <f t="shared" si="77"/>
        <v>278640</v>
      </c>
      <c r="U72">
        <f t="shared" si="77"/>
        <v>278640</v>
      </c>
      <c r="V72">
        <f t="shared" si="77"/>
        <v>278640</v>
      </c>
      <c r="Y72">
        <f>$D$68*Y64*Y31</f>
        <v>278640</v>
      </c>
      <c r="Z72">
        <f>$D$68*Z64*Z31</f>
        <v>278640</v>
      </c>
      <c r="AA72">
        <f>$D$68*AA64*AA31</f>
        <v>278640</v>
      </c>
      <c r="AB72">
        <f>$D$68*AB64*AB31</f>
        <v>278640</v>
      </c>
      <c r="AC72">
        <f>$D$68*AC64*AC31</f>
        <v>278640</v>
      </c>
      <c r="AG72">
        <f>$D$68*(AG31+AG32)</f>
        <v>1010640</v>
      </c>
      <c r="AH72">
        <f>$D$68*(AH31+AH32)</f>
        <v>1010640</v>
      </c>
      <c r="AI72">
        <f>$D$68*(AI31+AI32)</f>
        <v>1010640</v>
      </c>
      <c r="AJ72">
        <f>$D$68*(AJ31+AJ32)</f>
        <v>1010640</v>
      </c>
      <c r="AK72">
        <f>$D$68*(AK31+AK32)</f>
        <v>1010640</v>
      </c>
    </row>
    <row r="73" spans="1:37">
      <c r="A73" s="245" t="s">
        <v>189</v>
      </c>
      <c r="B73" s="1"/>
      <c r="C73" s="33" t="s">
        <v>196</v>
      </c>
      <c r="F73">
        <f>$D$69*F65</f>
        <v>22000</v>
      </c>
      <c r="G73">
        <f t="shared" ref="G73:Q73" si="78">$D$69*G65</f>
        <v>22000</v>
      </c>
      <c r="H73">
        <f t="shared" si="78"/>
        <v>22000</v>
      </c>
      <c r="I73">
        <f t="shared" si="78"/>
        <v>22000</v>
      </c>
      <c r="J73">
        <f t="shared" si="78"/>
        <v>22000</v>
      </c>
      <c r="K73">
        <f t="shared" si="78"/>
        <v>22000</v>
      </c>
      <c r="L73">
        <f t="shared" si="78"/>
        <v>22000</v>
      </c>
      <c r="M73">
        <f t="shared" si="78"/>
        <v>22000</v>
      </c>
      <c r="N73">
        <f t="shared" si="78"/>
        <v>22000</v>
      </c>
      <c r="O73">
        <f t="shared" si="78"/>
        <v>22000</v>
      </c>
      <c r="P73">
        <f t="shared" si="78"/>
        <v>22000</v>
      </c>
      <c r="Q73">
        <f t="shared" si="78"/>
        <v>22000</v>
      </c>
      <c r="R73">
        <f>Q73*6</f>
        <v>132000</v>
      </c>
      <c r="S73">
        <f>R73</f>
        <v>132000</v>
      </c>
      <c r="T73">
        <f>S73*2</f>
        <v>264000</v>
      </c>
      <c r="U73">
        <f>T73</f>
        <v>264000</v>
      </c>
      <c r="V73">
        <f>U73</f>
        <v>264000</v>
      </c>
      <c r="Y73">
        <f>$V$73</f>
        <v>264000</v>
      </c>
      <c r="Z73">
        <f t="shared" ref="Z73:AC73" si="79">$V$73</f>
        <v>264000</v>
      </c>
      <c r="AA73">
        <f t="shared" si="79"/>
        <v>264000</v>
      </c>
      <c r="AB73">
        <f t="shared" si="79"/>
        <v>264000</v>
      </c>
      <c r="AC73">
        <f t="shared" si="79"/>
        <v>264000</v>
      </c>
      <c r="AG73">
        <f>AG65*$D$69*12</f>
        <v>528000</v>
      </c>
      <c r="AH73">
        <f t="shared" ref="AH73:AK73" si="80">AH65*$D$69*12</f>
        <v>528000</v>
      </c>
      <c r="AI73">
        <f t="shared" si="80"/>
        <v>528000</v>
      </c>
      <c r="AJ73">
        <f t="shared" si="80"/>
        <v>528000</v>
      </c>
      <c r="AK73">
        <f t="shared" si="80"/>
        <v>528000</v>
      </c>
    </row>
    <row r="74" spans="1:37">
      <c r="A74" s="239" t="s">
        <v>190</v>
      </c>
      <c r="B74" s="14"/>
      <c r="C74" s="35" t="s">
        <v>196</v>
      </c>
      <c r="F74">
        <f t="shared" ref="F74:AB74" si="81">F66*$D$70*12</f>
        <v>0</v>
      </c>
      <c r="G74">
        <f t="shared" si="81"/>
        <v>0</v>
      </c>
      <c r="H74">
        <f t="shared" si="81"/>
        <v>0</v>
      </c>
      <c r="I74">
        <f t="shared" si="81"/>
        <v>0</v>
      </c>
      <c r="J74">
        <f t="shared" si="81"/>
        <v>0</v>
      </c>
      <c r="K74">
        <f t="shared" si="81"/>
        <v>0</v>
      </c>
      <c r="L74">
        <f t="shared" si="81"/>
        <v>0</v>
      </c>
      <c r="M74">
        <f t="shared" si="81"/>
        <v>0</v>
      </c>
      <c r="N74">
        <f t="shared" si="81"/>
        <v>0</v>
      </c>
      <c r="O74">
        <f t="shared" si="81"/>
        <v>0</v>
      </c>
      <c r="P74">
        <f t="shared" si="81"/>
        <v>0</v>
      </c>
      <c r="Q74">
        <f t="shared" si="81"/>
        <v>0</v>
      </c>
      <c r="R74">
        <f t="shared" si="81"/>
        <v>0</v>
      </c>
      <c r="S74">
        <f t="shared" si="81"/>
        <v>0</v>
      </c>
      <c r="T74">
        <f t="shared" si="81"/>
        <v>0</v>
      </c>
      <c r="U74">
        <f t="shared" si="81"/>
        <v>0</v>
      </c>
      <c r="V74">
        <f t="shared" si="81"/>
        <v>0</v>
      </c>
      <c r="Y74">
        <f t="shared" si="81"/>
        <v>0</v>
      </c>
      <c r="Z74">
        <f t="shared" si="81"/>
        <v>0</v>
      </c>
      <c r="AA74">
        <f t="shared" si="81"/>
        <v>0</v>
      </c>
      <c r="AB74">
        <f t="shared" si="81"/>
        <v>0</v>
      </c>
      <c r="AC74">
        <f t="shared" ref="AC74" si="82">AC66*$D$70*12</f>
        <v>0</v>
      </c>
      <c r="AG74">
        <f>AG66*$D$70*12</f>
        <v>348000</v>
      </c>
      <c r="AH74">
        <f t="shared" ref="AH74:AK74" si="83">AH66*$D$70*12</f>
        <v>348000</v>
      </c>
      <c r="AI74">
        <f t="shared" si="83"/>
        <v>348000</v>
      </c>
      <c r="AJ74">
        <f t="shared" si="83"/>
        <v>348000</v>
      </c>
      <c r="AK74">
        <f t="shared" si="83"/>
        <v>348000</v>
      </c>
    </row>
    <row r="75" spans="1:37">
      <c r="A75" s="249" t="s">
        <v>197</v>
      </c>
      <c r="B75" s="20"/>
      <c r="C75" s="21"/>
      <c r="F75">
        <f>SUM(F72:F74)</f>
        <v>34960</v>
      </c>
      <c r="G75">
        <f t="shared" ref="G75:AK75" si="84">SUM(G72:G74)</f>
        <v>51820</v>
      </c>
      <c r="H75">
        <f t="shared" si="84"/>
        <v>55720</v>
      </c>
      <c r="I75">
        <f t="shared" si="84"/>
        <v>51820</v>
      </c>
      <c r="J75">
        <f t="shared" si="84"/>
        <v>55720</v>
      </c>
      <c r="K75">
        <f t="shared" si="84"/>
        <v>44020</v>
      </c>
      <c r="L75">
        <f t="shared" si="84"/>
        <v>51820</v>
      </c>
      <c r="M75">
        <f t="shared" si="84"/>
        <v>42760</v>
      </c>
      <c r="N75">
        <f t="shared" si="84"/>
        <v>53080</v>
      </c>
      <c r="O75">
        <f t="shared" si="84"/>
        <v>50500</v>
      </c>
      <c r="P75">
        <f t="shared" si="84"/>
        <v>54400</v>
      </c>
      <c r="Q75">
        <f t="shared" si="84"/>
        <v>46600</v>
      </c>
      <c r="R75">
        <f t="shared" si="84"/>
        <v>291420</v>
      </c>
      <c r="S75">
        <f t="shared" si="84"/>
        <v>297900</v>
      </c>
      <c r="T75">
        <f t="shared" si="84"/>
        <v>542640</v>
      </c>
      <c r="U75">
        <f t="shared" si="84"/>
        <v>542640</v>
      </c>
      <c r="V75">
        <f t="shared" si="84"/>
        <v>542640</v>
      </c>
      <c r="Y75">
        <f t="shared" si="84"/>
        <v>542640</v>
      </c>
      <c r="Z75">
        <f t="shared" si="84"/>
        <v>542640</v>
      </c>
      <c r="AA75">
        <f t="shared" si="84"/>
        <v>542640</v>
      </c>
      <c r="AB75">
        <f t="shared" si="84"/>
        <v>542640</v>
      </c>
      <c r="AC75">
        <f t="shared" si="84"/>
        <v>542640</v>
      </c>
      <c r="AG75">
        <f t="shared" si="84"/>
        <v>1886640</v>
      </c>
      <c r="AH75">
        <f t="shared" si="84"/>
        <v>1886640</v>
      </c>
      <c r="AI75">
        <f t="shared" si="84"/>
        <v>1886640</v>
      </c>
      <c r="AJ75">
        <f t="shared" si="84"/>
        <v>1886640</v>
      </c>
      <c r="AK75">
        <f t="shared" si="84"/>
        <v>1886640</v>
      </c>
    </row>
    <row r="76" spans="1:37">
      <c r="A76" s="40"/>
    </row>
    <row r="77" spans="1:37">
      <c r="A77" s="250" t="s">
        <v>70</v>
      </c>
      <c r="F77">
        <f t="shared" ref="F77:Q77" si="85">F105</f>
        <v>133.33333333333334</v>
      </c>
      <c r="G77">
        <f t="shared" si="85"/>
        <v>131.11111111111111</v>
      </c>
      <c r="H77">
        <f t="shared" si="85"/>
        <v>128.92592592592592</v>
      </c>
      <c r="I77">
        <f t="shared" si="85"/>
        <v>126.77716049382715</v>
      </c>
      <c r="J77">
        <f t="shared" si="85"/>
        <v>124.66420781893004</v>
      </c>
      <c r="K77">
        <f t="shared" si="85"/>
        <v>122.58647102194787</v>
      </c>
      <c r="L77">
        <f t="shared" si="85"/>
        <v>120.54336317158209</v>
      </c>
      <c r="M77">
        <f t="shared" si="85"/>
        <v>118.53430711872238</v>
      </c>
      <c r="N77">
        <f t="shared" si="85"/>
        <v>116.55873533341034</v>
      </c>
      <c r="O77">
        <f t="shared" si="85"/>
        <v>114.61608974452017</v>
      </c>
      <c r="P77">
        <f t="shared" si="85"/>
        <v>112.7058215821115</v>
      </c>
      <c r="Q77">
        <f t="shared" si="85"/>
        <v>110.82739122240964</v>
      </c>
      <c r="R77" t="e">
        <f>#REF!</f>
        <v>#REF!</v>
      </c>
      <c r="S77" t="e">
        <f>#REF!</f>
        <v>#REF!</v>
      </c>
      <c r="T77" t="e">
        <f>#REF!</f>
        <v>#REF!</v>
      </c>
      <c r="U77" t="e">
        <f>#REF!</f>
        <v>#REF!</v>
      </c>
      <c r="V77" t="e">
        <f>#REF!</f>
        <v>#REF!</v>
      </c>
    </row>
    <row r="78" spans="1:37">
      <c r="A78" s="40"/>
    </row>
    <row r="79" spans="1:37">
      <c r="A79" s="251" t="s">
        <v>89</v>
      </c>
      <c r="B79" s="1"/>
      <c r="C79" s="1"/>
      <c r="F79">
        <f t="shared" ref="F79:O79" si="86">SUM(F81,F84,F118,F142)</f>
        <v>56500</v>
      </c>
      <c r="G79">
        <f t="shared" si="86"/>
        <v>56533.333333333336</v>
      </c>
      <c r="H79">
        <f t="shared" si="86"/>
        <v>56566.944444444445</v>
      </c>
      <c r="I79">
        <f t="shared" si="86"/>
        <v>56600.835648148146</v>
      </c>
      <c r="J79">
        <f t="shared" si="86"/>
        <v>56635.009278549383</v>
      </c>
      <c r="K79">
        <f t="shared" si="86"/>
        <v>56669.467689203957</v>
      </c>
      <c r="L79">
        <f t="shared" si="86"/>
        <v>59204.213253280657</v>
      </c>
      <c r="M79">
        <f t="shared" si="86"/>
        <v>59239.248363724662</v>
      </c>
      <c r="N79">
        <f t="shared" si="86"/>
        <v>59274.575433422367</v>
      </c>
      <c r="O79">
        <f t="shared" si="86"/>
        <v>59310.196895367553</v>
      </c>
      <c r="P79" t="e">
        <f>SUM(P81,P84,#REF!,P142)</f>
        <v>#REF!</v>
      </c>
      <c r="Q79" t="e">
        <f>SUM(Q81,Q84,#REF!,Q142)</f>
        <v>#REF!</v>
      </c>
      <c r="R79" t="e">
        <f>SUM(R81,R84,#REF!,R142)</f>
        <v>#REF!</v>
      </c>
      <c r="S79" t="e">
        <f>SUM(S81,S84,#REF!,S142)</f>
        <v>#REF!</v>
      </c>
      <c r="T79" t="e">
        <f>SUM(T81,T84,#REF!,T142)</f>
        <v>#REF!</v>
      </c>
      <c r="U79" t="e">
        <f>SUM(U81,U84,#REF!,U142)</f>
        <v>#REF!</v>
      </c>
      <c r="V79" t="e">
        <f>SUM(V81,V84,#REF!,V142)</f>
        <v>#REF!</v>
      </c>
    </row>
    <row r="80" spans="1:37">
      <c r="A80" s="251" t="s">
        <v>19</v>
      </c>
      <c r="B80" s="1" t="s">
        <v>223</v>
      </c>
      <c r="C80" s="1"/>
      <c r="F80">
        <f t="shared" ref="F80:AJ80" si="87">SUM(F81:F82)</f>
        <v>50000</v>
      </c>
      <c r="G80">
        <f t="shared" si="87"/>
        <v>50000</v>
      </c>
      <c r="H80">
        <f t="shared" si="87"/>
        <v>50000</v>
      </c>
      <c r="I80">
        <f t="shared" si="87"/>
        <v>50000</v>
      </c>
      <c r="J80">
        <f t="shared" si="87"/>
        <v>50000</v>
      </c>
      <c r="K80">
        <f t="shared" si="87"/>
        <v>50000</v>
      </c>
      <c r="L80">
        <f t="shared" si="87"/>
        <v>52500</v>
      </c>
      <c r="M80">
        <f t="shared" si="87"/>
        <v>52500</v>
      </c>
      <c r="N80">
        <f t="shared" si="87"/>
        <v>52500</v>
      </c>
      <c r="O80">
        <f t="shared" si="87"/>
        <v>52500</v>
      </c>
      <c r="P80">
        <f t="shared" si="87"/>
        <v>52500</v>
      </c>
      <c r="Q80">
        <f t="shared" si="87"/>
        <v>52500</v>
      </c>
      <c r="R80">
        <f t="shared" si="87"/>
        <v>330750</v>
      </c>
      <c r="S80">
        <f t="shared" si="87"/>
        <v>347287.5</v>
      </c>
      <c r="T80">
        <f t="shared" si="87"/>
        <v>729303.75</v>
      </c>
      <c r="U80">
        <f t="shared" si="87"/>
        <v>765768.9375</v>
      </c>
      <c r="V80">
        <f t="shared" si="87"/>
        <v>804057.38437500002</v>
      </c>
      <c r="W80">
        <f t="shared" si="87"/>
        <v>0</v>
      </c>
      <c r="X80">
        <f t="shared" si="87"/>
        <v>0</v>
      </c>
      <c r="Y80">
        <f t="shared" si="87"/>
        <v>844260.25359375007</v>
      </c>
      <c r="Z80">
        <f t="shared" si="87"/>
        <v>886473.26627343765</v>
      </c>
      <c r="AA80">
        <f t="shared" si="87"/>
        <v>930796.9295871096</v>
      </c>
      <c r="AB80">
        <f t="shared" si="87"/>
        <v>977336.77606646507</v>
      </c>
      <c r="AC80">
        <f t="shared" si="87"/>
        <v>1026203.6148697884</v>
      </c>
      <c r="AD80">
        <f t="shared" si="87"/>
        <v>0</v>
      </c>
      <c r="AE80">
        <f t="shared" si="87"/>
        <v>0</v>
      </c>
      <c r="AF80">
        <f t="shared" si="87"/>
        <v>0</v>
      </c>
      <c r="AG80">
        <f t="shared" si="87"/>
        <v>874260.25359375007</v>
      </c>
      <c r="AH80">
        <f t="shared" si="87"/>
        <v>917973.26627343765</v>
      </c>
      <c r="AI80">
        <f t="shared" si="87"/>
        <v>963871.9295871096</v>
      </c>
      <c r="AJ80">
        <f t="shared" si="87"/>
        <v>1012065.5260664651</v>
      </c>
      <c r="AK80">
        <f>SUM(AK81:AK82)</f>
        <v>1062668.8023697883</v>
      </c>
    </row>
    <row r="81" spans="1:37">
      <c r="A81" s="40"/>
      <c r="B81" s="1" t="s">
        <v>157</v>
      </c>
      <c r="C81" s="1" t="s">
        <v>158</v>
      </c>
      <c r="D81" s="2">
        <v>0.05</v>
      </c>
      <c r="F81">
        <v>50000</v>
      </c>
      <c r="G81">
        <v>50000</v>
      </c>
      <c r="H81">
        <v>50000</v>
      </c>
      <c r="I81">
        <v>50000</v>
      </c>
      <c r="J81">
        <v>50000</v>
      </c>
      <c r="K81">
        <v>50000</v>
      </c>
      <c r="L81">
        <f>K81*(1+D81)</f>
        <v>52500</v>
      </c>
      <c r="M81">
        <f>L81</f>
        <v>52500</v>
      </c>
      <c r="N81">
        <f t="shared" ref="N81:Q81" si="88">M81</f>
        <v>52500</v>
      </c>
      <c r="O81">
        <f t="shared" si="88"/>
        <v>52500</v>
      </c>
      <c r="P81">
        <f t="shared" si="88"/>
        <v>52500</v>
      </c>
      <c r="Q81">
        <f t="shared" si="88"/>
        <v>52500</v>
      </c>
      <c r="R81">
        <f>Q81*(1+D81)*6</f>
        <v>330750</v>
      </c>
      <c r="S81">
        <f>Q81*(1+D81)*(1+D81)*6</f>
        <v>347287.5</v>
      </c>
      <c r="T81">
        <f>S81*(1+D81)*2</f>
        <v>729303.75</v>
      </c>
      <c r="U81">
        <f>T81*(1+D81)</f>
        <v>765768.9375</v>
      </c>
      <c r="V81">
        <f>U81*(1+D81)</f>
        <v>804057.38437500002</v>
      </c>
      <c r="Y81">
        <f>V81*(1+$D$81)</f>
        <v>844260.25359375007</v>
      </c>
      <c r="Z81">
        <f>Y81*(1+$D$81)</f>
        <v>886473.26627343765</v>
      </c>
      <c r="AA81">
        <f>Z81*(1+$D$81)</f>
        <v>930796.9295871096</v>
      </c>
      <c r="AB81">
        <f>AA81*(1+$D$81)</f>
        <v>977336.77606646507</v>
      </c>
      <c r="AC81">
        <f>AB81*(1+$D$81)</f>
        <v>1026203.6148697884</v>
      </c>
      <c r="AG81">
        <f>Y81</f>
        <v>844260.25359375007</v>
      </c>
      <c r="AH81">
        <f t="shared" ref="AH81:AK81" si="89">Z81</f>
        <v>886473.26627343765</v>
      </c>
      <c r="AI81">
        <f t="shared" si="89"/>
        <v>930796.9295871096</v>
      </c>
      <c r="AJ81">
        <f t="shared" si="89"/>
        <v>977336.77606646507</v>
      </c>
      <c r="AK81">
        <f t="shared" si="89"/>
        <v>1026203.6148697884</v>
      </c>
    </row>
    <row r="82" spans="1:37">
      <c r="A82" s="43"/>
      <c r="B82" s="1" t="s">
        <v>221</v>
      </c>
      <c r="C82" s="1" t="s">
        <v>222</v>
      </c>
      <c r="D82" s="2">
        <v>0.05</v>
      </c>
      <c r="AG82">
        <v>30000</v>
      </c>
      <c r="AH82">
        <f>AG82*(1+$D$82)</f>
        <v>31500</v>
      </c>
      <c r="AI82">
        <f t="shared" ref="AI82:AK82" si="90">AH82*(1+$D$82)</f>
        <v>33075</v>
      </c>
      <c r="AJ82">
        <f t="shared" si="90"/>
        <v>34728.75</v>
      </c>
      <c r="AK82">
        <f t="shared" si="90"/>
        <v>36465.1875</v>
      </c>
    </row>
    <row r="83" spans="1:37">
      <c r="A83" s="43"/>
      <c r="B83" s="1"/>
      <c r="C83" s="1"/>
    </row>
    <row r="84" spans="1:37">
      <c r="A84" s="252" t="s">
        <v>235</v>
      </c>
      <c r="B84" s="1" t="s">
        <v>229</v>
      </c>
      <c r="C84" s="1" t="s">
        <v>230</v>
      </c>
      <c r="D84">
        <v>4000</v>
      </c>
      <c r="F84">
        <f t="shared" ref="F84:AK84" si="91">$D$84*F19</f>
        <v>4000</v>
      </c>
      <c r="G84">
        <f t="shared" si="91"/>
        <v>4033.333333333333</v>
      </c>
      <c r="H84">
        <f t="shared" si="91"/>
        <v>4066.9444444444443</v>
      </c>
      <c r="I84">
        <f t="shared" si="91"/>
        <v>4100.8356481481478</v>
      </c>
      <c r="J84">
        <f t="shared" si="91"/>
        <v>4135.0092785493816</v>
      </c>
      <c r="K84">
        <f t="shared" si="91"/>
        <v>4169.4676892039597</v>
      </c>
      <c r="L84">
        <f t="shared" si="91"/>
        <v>4204.213253280659</v>
      </c>
      <c r="M84">
        <f t="shared" si="91"/>
        <v>4239.2483637246642</v>
      </c>
      <c r="N84">
        <f t="shared" si="91"/>
        <v>4274.5754334223693</v>
      </c>
      <c r="O84">
        <f t="shared" si="91"/>
        <v>4310.196895367556</v>
      </c>
      <c r="P84">
        <f t="shared" si="91"/>
        <v>4346.1152028289516</v>
      </c>
      <c r="Q84">
        <f t="shared" si="91"/>
        <v>4382.3328295191932</v>
      </c>
      <c r="R84">
        <f t="shared" si="91"/>
        <v>4557.6261426999599</v>
      </c>
      <c r="S84">
        <f t="shared" si="91"/>
        <v>4739.9311884079589</v>
      </c>
      <c r="T84">
        <f t="shared" si="91"/>
        <v>5098.7439793704416</v>
      </c>
      <c r="U84">
        <f t="shared" si="91"/>
        <v>5430.1623380295205</v>
      </c>
      <c r="V84">
        <f t="shared" si="91"/>
        <v>5782.579873767635</v>
      </c>
      <c r="W84">
        <f t="shared" si="91"/>
        <v>0</v>
      </c>
      <c r="X84">
        <f t="shared" si="91"/>
        <v>0</v>
      </c>
      <c r="Y84">
        <f t="shared" si="91"/>
        <v>6178.8793477831778</v>
      </c>
      <c r="Z84">
        <f t="shared" si="91"/>
        <v>6580.1975614216954</v>
      </c>
      <c r="AA84">
        <f t="shared" si="91"/>
        <v>7007.2523831579629</v>
      </c>
      <c r="AB84">
        <f t="shared" si="91"/>
        <v>7487.4827464837217</v>
      </c>
      <c r="AC84">
        <f t="shared" si="91"/>
        <v>7987.2098241219564</v>
      </c>
      <c r="AD84">
        <f t="shared" si="91"/>
        <v>0</v>
      </c>
      <c r="AE84">
        <f t="shared" si="91"/>
        <v>0</v>
      </c>
      <c r="AF84">
        <f t="shared" si="91"/>
        <v>0</v>
      </c>
      <c r="AG84">
        <f t="shared" si="91"/>
        <v>6178.8793477831778</v>
      </c>
      <c r="AH84">
        <f t="shared" si="91"/>
        <v>6580.1975614216954</v>
      </c>
      <c r="AI84">
        <f t="shared" si="91"/>
        <v>7007.2523831579629</v>
      </c>
      <c r="AJ84">
        <f t="shared" si="91"/>
        <v>7487.4827464837217</v>
      </c>
      <c r="AK84">
        <f t="shared" si="91"/>
        <v>7987.2098241219564</v>
      </c>
    </row>
    <row r="85" spans="1:37">
      <c r="A85" s="40"/>
    </row>
    <row r="86" spans="1:37">
      <c r="A86" s="253" t="s">
        <v>198</v>
      </c>
    </row>
    <row r="87" spans="1:37">
      <c r="A87" s="254" t="s">
        <v>199</v>
      </c>
    </row>
    <row r="88" spans="1:37">
      <c r="A88" s="254" t="s">
        <v>15</v>
      </c>
    </row>
    <row r="89" spans="1:37" ht="29">
      <c r="A89" s="40" t="s">
        <v>200</v>
      </c>
      <c r="C89" s="1" t="s">
        <v>205</v>
      </c>
      <c r="F89">
        <v>1</v>
      </c>
      <c r="G89">
        <f>F89</f>
        <v>1</v>
      </c>
      <c r="H89">
        <f t="shared" ref="H89:V89" si="92">G89</f>
        <v>1</v>
      </c>
      <c r="I89">
        <f t="shared" si="92"/>
        <v>1</v>
      </c>
      <c r="J89">
        <f t="shared" si="92"/>
        <v>1</v>
      </c>
      <c r="K89">
        <f t="shared" si="92"/>
        <v>1</v>
      </c>
      <c r="L89">
        <f t="shared" si="92"/>
        <v>1</v>
      </c>
      <c r="M89">
        <f t="shared" si="92"/>
        <v>1</v>
      </c>
      <c r="N89">
        <f t="shared" si="92"/>
        <v>1</v>
      </c>
      <c r="O89">
        <f>N89</f>
        <v>1</v>
      </c>
      <c r="P89">
        <f t="shared" si="92"/>
        <v>1</v>
      </c>
      <c r="Q89">
        <f t="shared" si="92"/>
        <v>1</v>
      </c>
      <c r="R89">
        <f t="shared" si="92"/>
        <v>1</v>
      </c>
      <c r="S89">
        <f t="shared" si="92"/>
        <v>1</v>
      </c>
      <c r="T89">
        <f t="shared" si="92"/>
        <v>1</v>
      </c>
      <c r="U89">
        <f t="shared" si="92"/>
        <v>1</v>
      </c>
      <c r="V89">
        <f t="shared" si="92"/>
        <v>1</v>
      </c>
      <c r="Y89">
        <v>1</v>
      </c>
      <c r="Z89">
        <f t="shared" ref="Z89:AC89" si="93">Y89</f>
        <v>1</v>
      </c>
      <c r="AA89">
        <f t="shared" si="93"/>
        <v>1</v>
      </c>
      <c r="AB89">
        <f t="shared" si="93"/>
        <v>1</v>
      </c>
      <c r="AC89">
        <f t="shared" si="93"/>
        <v>1</v>
      </c>
      <c r="AG89">
        <v>2</v>
      </c>
      <c r="AH89">
        <v>2</v>
      </c>
      <c r="AI89">
        <v>2</v>
      </c>
      <c r="AJ89">
        <v>2</v>
      </c>
      <c r="AK89">
        <v>2</v>
      </c>
    </row>
    <row r="90" spans="1:37" ht="29">
      <c r="A90" s="40" t="s">
        <v>201</v>
      </c>
      <c r="C90" s="1" t="s">
        <v>205</v>
      </c>
      <c r="F90">
        <v>1</v>
      </c>
      <c r="G90">
        <f t="shared" ref="G90:V91" si="94">F90</f>
        <v>1</v>
      </c>
      <c r="H90">
        <f t="shared" si="94"/>
        <v>1</v>
      </c>
      <c r="I90">
        <f t="shared" si="94"/>
        <v>1</v>
      </c>
      <c r="J90">
        <f t="shared" si="94"/>
        <v>1</v>
      </c>
      <c r="K90">
        <f t="shared" si="94"/>
        <v>1</v>
      </c>
      <c r="L90">
        <f t="shared" si="94"/>
        <v>1</v>
      </c>
      <c r="M90">
        <f t="shared" si="94"/>
        <v>1</v>
      </c>
      <c r="N90">
        <f t="shared" si="94"/>
        <v>1</v>
      </c>
      <c r="O90">
        <f t="shared" si="94"/>
        <v>1</v>
      </c>
      <c r="P90">
        <f t="shared" si="94"/>
        <v>1</v>
      </c>
      <c r="Q90">
        <f t="shared" si="94"/>
        <v>1</v>
      </c>
      <c r="R90">
        <f t="shared" si="94"/>
        <v>1</v>
      </c>
      <c r="S90">
        <f t="shared" si="94"/>
        <v>1</v>
      </c>
      <c r="T90">
        <f t="shared" si="94"/>
        <v>1</v>
      </c>
      <c r="U90">
        <f t="shared" si="94"/>
        <v>1</v>
      </c>
      <c r="V90">
        <f t="shared" si="94"/>
        <v>1</v>
      </c>
      <c r="Y90">
        <v>1</v>
      </c>
      <c r="Z90">
        <f t="shared" ref="Z90:AC90" si="95">Y90</f>
        <v>1</v>
      </c>
      <c r="AA90">
        <f t="shared" si="95"/>
        <v>1</v>
      </c>
      <c r="AB90">
        <f t="shared" si="95"/>
        <v>1</v>
      </c>
      <c r="AC90">
        <f t="shared" si="95"/>
        <v>1</v>
      </c>
      <c r="AG90">
        <v>2</v>
      </c>
      <c r="AH90">
        <v>2</v>
      </c>
      <c r="AI90">
        <v>2</v>
      </c>
      <c r="AJ90">
        <v>2</v>
      </c>
      <c r="AK90">
        <v>2</v>
      </c>
    </row>
    <row r="91" spans="1:37" ht="29">
      <c r="A91" s="40" t="s">
        <v>202</v>
      </c>
      <c r="C91" s="1" t="s">
        <v>205</v>
      </c>
      <c r="F91">
        <v>1</v>
      </c>
      <c r="G91">
        <f t="shared" si="94"/>
        <v>1</v>
      </c>
      <c r="H91">
        <f t="shared" ref="H91:V91" si="96">G91</f>
        <v>1</v>
      </c>
      <c r="I91">
        <f t="shared" si="96"/>
        <v>1</v>
      </c>
      <c r="J91">
        <f t="shared" si="96"/>
        <v>1</v>
      </c>
      <c r="K91">
        <f t="shared" si="96"/>
        <v>1</v>
      </c>
      <c r="L91">
        <f t="shared" si="96"/>
        <v>1</v>
      </c>
      <c r="M91">
        <f t="shared" si="96"/>
        <v>1</v>
      </c>
      <c r="N91">
        <f t="shared" si="96"/>
        <v>1</v>
      </c>
      <c r="O91">
        <f t="shared" si="96"/>
        <v>1</v>
      </c>
      <c r="P91">
        <f t="shared" si="96"/>
        <v>1</v>
      </c>
      <c r="Q91">
        <f t="shared" si="96"/>
        <v>1</v>
      </c>
      <c r="R91">
        <f t="shared" si="96"/>
        <v>1</v>
      </c>
      <c r="S91">
        <f t="shared" si="96"/>
        <v>1</v>
      </c>
      <c r="T91">
        <f t="shared" si="96"/>
        <v>1</v>
      </c>
      <c r="U91">
        <f t="shared" si="96"/>
        <v>1</v>
      </c>
      <c r="V91">
        <f t="shared" si="96"/>
        <v>1</v>
      </c>
      <c r="Y91">
        <v>1</v>
      </c>
      <c r="Z91">
        <f t="shared" ref="Z91:AC91" si="97">Y91</f>
        <v>1</v>
      </c>
      <c r="AA91">
        <f t="shared" si="97"/>
        <v>1</v>
      </c>
      <c r="AB91">
        <f t="shared" si="97"/>
        <v>1</v>
      </c>
      <c r="AC91">
        <f t="shared" si="97"/>
        <v>1</v>
      </c>
      <c r="AG91">
        <v>2</v>
      </c>
      <c r="AH91">
        <v>2</v>
      </c>
      <c r="AI91">
        <v>2</v>
      </c>
      <c r="AJ91">
        <v>2</v>
      </c>
      <c r="AK91">
        <v>2</v>
      </c>
    </row>
    <row r="92" spans="1:37" ht="29">
      <c r="A92" s="40" t="s">
        <v>203</v>
      </c>
      <c r="C92" s="1" t="s">
        <v>205</v>
      </c>
      <c r="F92">
        <v>0</v>
      </c>
      <c r="G92">
        <f t="shared" ref="G92:V92" si="98">F92</f>
        <v>0</v>
      </c>
      <c r="H92">
        <f t="shared" si="98"/>
        <v>0</v>
      </c>
      <c r="I92">
        <f t="shared" si="98"/>
        <v>0</v>
      </c>
      <c r="J92">
        <f t="shared" si="98"/>
        <v>0</v>
      </c>
      <c r="K92">
        <f t="shared" si="98"/>
        <v>0</v>
      </c>
      <c r="L92">
        <f t="shared" si="98"/>
        <v>0</v>
      </c>
      <c r="M92">
        <f t="shared" si="98"/>
        <v>0</v>
      </c>
      <c r="N92">
        <f t="shared" si="98"/>
        <v>0</v>
      </c>
      <c r="O92">
        <f t="shared" si="98"/>
        <v>0</v>
      </c>
      <c r="P92">
        <f t="shared" si="98"/>
        <v>0</v>
      </c>
      <c r="Q92">
        <f t="shared" si="98"/>
        <v>0</v>
      </c>
      <c r="R92">
        <f t="shared" si="98"/>
        <v>0</v>
      </c>
      <c r="S92">
        <f t="shared" si="98"/>
        <v>0</v>
      </c>
      <c r="T92">
        <f t="shared" si="98"/>
        <v>0</v>
      </c>
      <c r="U92">
        <f t="shared" si="98"/>
        <v>0</v>
      </c>
      <c r="V92">
        <f t="shared" si="98"/>
        <v>0</v>
      </c>
      <c r="Y92">
        <v>0</v>
      </c>
      <c r="Z92">
        <f t="shared" ref="Z92:AC92" si="99">Y92</f>
        <v>0</v>
      </c>
      <c r="AA92">
        <f t="shared" si="99"/>
        <v>0</v>
      </c>
      <c r="AB92">
        <f t="shared" si="99"/>
        <v>0</v>
      </c>
      <c r="AC92">
        <f t="shared" si="99"/>
        <v>0</v>
      </c>
      <c r="AG92">
        <v>1</v>
      </c>
      <c r="AH92">
        <v>1</v>
      </c>
      <c r="AI92">
        <v>1</v>
      </c>
      <c r="AJ92">
        <v>1</v>
      </c>
      <c r="AK92">
        <v>1</v>
      </c>
    </row>
    <row r="93" spans="1:37" ht="29">
      <c r="A93" s="40" t="s">
        <v>204</v>
      </c>
      <c r="C93" s="1" t="s">
        <v>205</v>
      </c>
      <c r="F93">
        <v>0</v>
      </c>
      <c r="G93">
        <f t="shared" ref="G93:V93" si="100">F93</f>
        <v>0</v>
      </c>
      <c r="H93">
        <f t="shared" si="100"/>
        <v>0</v>
      </c>
      <c r="I93">
        <f t="shared" si="100"/>
        <v>0</v>
      </c>
      <c r="J93">
        <f t="shared" si="100"/>
        <v>0</v>
      </c>
      <c r="K93">
        <f t="shared" si="100"/>
        <v>0</v>
      </c>
      <c r="L93">
        <f t="shared" si="100"/>
        <v>0</v>
      </c>
      <c r="M93">
        <f t="shared" si="100"/>
        <v>0</v>
      </c>
      <c r="N93">
        <f t="shared" si="100"/>
        <v>0</v>
      </c>
      <c r="O93">
        <f t="shared" si="100"/>
        <v>0</v>
      </c>
      <c r="P93">
        <f t="shared" si="100"/>
        <v>0</v>
      </c>
      <c r="Q93">
        <f t="shared" si="100"/>
        <v>0</v>
      </c>
      <c r="R93">
        <f t="shared" si="100"/>
        <v>0</v>
      </c>
      <c r="S93">
        <f t="shared" si="100"/>
        <v>0</v>
      </c>
      <c r="T93">
        <f t="shared" si="100"/>
        <v>0</v>
      </c>
      <c r="U93">
        <f t="shared" si="100"/>
        <v>0</v>
      </c>
      <c r="V93">
        <f t="shared" si="100"/>
        <v>0</v>
      </c>
      <c r="Y93">
        <f t="shared" ref="Y93:AC93" si="101">X93</f>
        <v>0</v>
      </c>
      <c r="Z93">
        <f t="shared" si="101"/>
        <v>0</v>
      </c>
      <c r="AA93">
        <f t="shared" si="101"/>
        <v>0</v>
      </c>
      <c r="AB93">
        <f t="shared" si="101"/>
        <v>0</v>
      </c>
      <c r="AC93">
        <f t="shared" si="101"/>
        <v>0</v>
      </c>
      <c r="AG93">
        <v>1</v>
      </c>
      <c r="AH93">
        <v>1</v>
      </c>
      <c r="AI93">
        <v>1</v>
      </c>
      <c r="AJ93">
        <v>1</v>
      </c>
      <c r="AK93">
        <v>1</v>
      </c>
    </row>
    <row r="94" spans="1:37">
      <c r="A94" s="40"/>
    </row>
    <row r="95" spans="1:37">
      <c r="A95" s="254" t="s">
        <v>209</v>
      </c>
    </row>
    <row r="96" spans="1:37">
      <c r="A96" s="40" t="s">
        <v>200</v>
      </c>
      <c r="B96" t="s">
        <v>206</v>
      </c>
      <c r="C96" s="285" t="s">
        <v>210</v>
      </c>
      <c r="F96" s="7">
        <v>8000</v>
      </c>
      <c r="G96">
        <v>8000</v>
      </c>
      <c r="H96">
        <v>8000</v>
      </c>
      <c r="I96">
        <v>8000</v>
      </c>
      <c r="J96">
        <v>8000</v>
      </c>
      <c r="K96">
        <v>8000</v>
      </c>
      <c r="L96">
        <v>8000</v>
      </c>
      <c r="M96">
        <v>8000</v>
      </c>
      <c r="N96">
        <v>8000</v>
      </c>
      <c r="O96">
        <v>8000</v>
      </c>
      <c r="P96">
        <v>8000</v>
      </c>
      <c r="Q96">
        <v>8000</v>
      </c>
      <c r="R96">
        <v>8000</v>
      </c>
      <c r="S96">
        <v>8000</v>
      </c>
      <c r="T96">
        <v>8000</v>
      </c>
      <c r="U96">
        <v>8000</v>
      </c>
      <c r="V96">
        <v>8000</v>
      </c>
      <c r="Y96" s="7">
        <v>9000</v>
      </c>
      <c r="Z96">
        <v>9000</v>
      </c>
      <c r="AA96">
        <v>9000</v>
      </c>
      <c r="AB96">
        <v>9000</v>
      </c>
      <c r="AC96">
        <v>9000</v>
      </c>
      <c r="AG96" s="7">
        <f>18000</f>
        <v>18000</v>
      </c>
      <c r="AH96">
        <f>AG96</f>
        <v>18000</v>
      </c>
      <c r="AI96">
        <f t="shared" ref="AI96:AK96" si="102">AH96</f>
        <v>18000</v>
      </c>
      <c r="AJ96">
        <f t="shared" si="102"/>
        <v>18000</v>
      </c>
      <c r="AK96">
        <f t="shared" si="102"/>
        <v>18000</v>
      </c>
    </row>
    <row r="97" spans="1:127">
      <c r="A97" s="40" t="s">
        <v>201</v>
      </c>
      <c r="B97" t="s">
        <v>206</v>
      </c>
      <c r="C97" s="285"/>
      <c r="F97" s="7">
        <v>90000</v>
      </c>
      <c r="G97">
        <v>90000</v>
      </c>
      <c r="H97">
        <v>90000</v>
      </c>
      <c r="I97">
        <v>90000</v>
      </c>
      <c r="J97">
        <v>90000</v>
      </c>
      <c r="K97">
        <v>90000</v>
      </c>
      <c r="L97">
        <v>90000</v>
      </c>
      <c r="M97">
        <v>90000</v>
      </c>
      <c r="N97">
        <v>90000</v>
      </c>
      <c r="O97">
        <v>90000</v>
      </c>
      <c r="P97">
        <v>90000</v>
      </c>
      <c r="Q97">
        <v>90000</v>
      </c>
      <c r="R97">
        <v>90000</v>
      </c>
      <c r="S97">
        <v>90000</v>
      </c>
      <c r="T97">
        <v>90000</v>
      </c>
      <c r="U97" s="7">
        <f>$B$125</f>
        <v>114720</v>
      </c>
      <c r="V97">
        <f>$B$125</f>
        <v>114720</v>
      </c>
      <c r="Y97">
        <f>$V$97</f>
        <v>114720</v>
      </c>
      <c r="Z97">
        <f t="shared" ref="Z97:AA97" si="103">$V$97</f>
        <v>114720</v>
      </c>
      <c r="AA97">
        <f t="shared" si="103"/>
        <v>114720</v>
      </c>
      <c r="AB97" s="7">
        <v>15000</v>
      </c>
      <c r="AC97">
        <v>15000</v>
      </c>
      <c r="AG97" s="7">
        <f>14000+Y97</f>
        <v>128720</v>
      </c>
      <c r="AH97">
        <f t="shared" ref="AH97:AK97" si="104">14000+Z97</f>
        <v>128720</v>
      </c>
      <c r="AI97">
        <f t="shared" si="104"/>
        <v>128720</v>
      </c>
      <c r="AJ97">
        <f t="shared" si="104"/>
        <v>29000</v>
      </c>
      <c r="AK97">
        <f t="shared" si="104"/>
        <v>29000</v>
      </c>
    </row>
    <row r="98" spans="1:127">
      <c r="A98" s="40" t="s">
        <v>202</v>
      </c>
      <c r="B98" t="s">
        <v>206</v>
      </c>
      <c r="C98" s="285"/>
      <c r="F98" s="7">
        <v>20000</v>
      </c>
      <c r="G98">
        <v>20000</v>
      </c>
      <c r="H98">
        <v>20000</v>
      </c>
      <c r="I98">
        <v>20000</v>
      </c>
      <c r="J98">
        <v>20000</v>
      </c>
      <c r="K98">
        <v>20000</v>
      </c>
      <c r="L98">
        <v>20000</v>
      </c>
      <c r="M98">
        <v>20000</v>
      </c>
      <c r="N98">
        <v>20000</v>
      </c>
      <c r="O98">
        <v>20000</v>
      </c>
      <c r="P98">
        <v>20000</v>
      </c>
      <c r="Q98">
        <v>20000</v>
      </c>
      <c r="R98">
        <v>20000</v>
      </c>
      <c r="S98">
        <v>20000</v>
      </c>
      <c r="T98">
        <v>20000</v>
      </c>
      <c r="U98">
        <v>20000</v>
      </c>
      <c r="V98">
        <v>20000</v>
      </c>
      <c r="Y98">
        <v>20000</v>
      </c>
      <c r="Z98">
        <v>20000</v>
      </c>
      <c r="AA98">
        <v>20000</v>
      </c>
      <c r="AB98">
        <v>20000</v>
      </c>
      <c r="AC98">
        <v>20000</v>
      </c>
      <c r="AG98" s="7">
        <f>Y98+22000</f>
        <v>42000</v>
      </c>
      <c r="AH98">
        <f>Z98+22000</f>
        <v>42000</v>
      </c>
      <c r="AI98">
        <f t="shared" ref="AI98:AK98" si="105">AA98+22000</f>
        <v>42000</v>
      </c>
      <c r="AJ98">
        <f t="shared" si="105"/>
        <v>42000</v>
      </c>
      <c r="AK98">
        <f t="shared" si="105"/>
        <v>42000</v>
      </c>
    </row>
    <row r="99" spans="1:127">
      <c r="A99" s="40" t="s">
        <v>203</v>
      </c>
      <c r="B99" t="s">
        <v>208</v>
      </c>
      <c r="C99" s="285"/>
      <c r="F99">
        <v>0</v>
      </c>
      <c r="G99">
        <v>0</v>
      </c>
      <c r="H99">
        <v>0</v>
      </c>
      <c r="I99">
        <v>0</v>
      </c>
      <c r="J99">
        <v>0</v>
      </c>
      <c r="K99">
        <v>0</v>
      </c>
      <c r="L99">
        <v>0</v>
      </c>
      <c r="M99">
        <v>0</v>
      </c>
      <c r="N99">
        <v>0</v>
      </c>
      <c r="O99">
        <v>0</v>
      </c>
      <c r="P99">
        <v>0</v>
      </c>
      <c r="Q99">
        <v>0</v>
      </c>
      <c r="R99">
        <v>0</v>
      </c>
      <c r="S99">
        <v>0</v>
      </c>
      <c r="T99">
        <v>0</v>
      </c>
      <c r="U99">
        <v>0</v>
      </c>
      <c r="V99">
        <v>0</v>
      </c>
      <c r="Y99">
        <v>0</v>
      </c>
      <c r="Z99">
        <v>0</v>
      </c>
      <c r="AA99">
        <v>0</v>
      </c>
      <c r="AB99">
        <v>0</v>
      </c>
      <c r="AC99">
        <v>0</v>
      </c>
      <c r="AG99" s="7">
        <v>50000</v>
      </c>
      <c r="AH99">
        <v>50000</v>
      </c>
      <c r="AI99">
        <v>50000</v>
      </c>
      <c r="AJ99">
        <v>50000</v>
      </c>
      <c r="AK99">
        <v>50000</v>
      </c>
    </row>
    <row r="100" spans="1:127">
      <c r="A100" s="40" t="s">
        <v>204</v>
      </c>
      <c r="B100" t="s">
        <v>207</v>
      </c>
      <c r="C100" s="285"/>
      <c r="F100">
        <v>0</v>
      </c>
      <c r="G100">
        <v>0</v>
      </c>
      <c r="H100">
        <v>0</v>
      </c>
      <c r="I100">
        <v>0</v>
      </c>
      <c r="J100">
        <v>0</v>
      </c>
      <c r="K100">
        <v>0</v>
      </c>
      <c r="L100">
        <v>0</v>
      </c>
      <c r="M100">
        <v>0</v>
      </c>
      <c r="N100">
        <v>0</v>
      </c>
      <c r="O100">
        <v>0</v>
      </c>
      <c r="P100">
        <v>0</v>
      </c>
      <c r="Q100">
        <v>0</v>
      </c>
      <c r="R100">
        <v>0</v>
      </c>
      <c r="S100">
        <v>0</v>
      </c>
      <c r="T100">
        <v>0</v>
      </c>
      <c r="U100">
        <v>0</v>
      </c>
      <c r="V100">
        <v>0</v>
      </c>
      <c r="Y100">
        <v>0</v>
      </c>
      <c r="Z100">
        <v>0</v>
      </c>
      <c r="AA100">
        <v>0</v>
      </c>
      <c r="AB100">
        <v>0</v>
      </c>
      <c r="AC100">
        <v>0</v>
      </c>
      <c r="AG100" s="7">
        <v>10000</v>
      </c>
      <c r="AH100">
        <v>10000</v>
      </c>
      <c r="AI100">
        <v>10000</v>
      </c>
      <c r="AJ100">
        <v>10000</v>
      </c>
      <c r="AK100">
        <v>10000</v>
      </c>
    </row>
    <row r="101" spans="1:127">
      <c r="A101" s="40"/>
    </row>
    <row r="102" spans="1:127">
      <c r="A102" s="40"/>
    </row>
    <row r="103" spans="1:127">
      <c r="A103" s="254" t="s">
        <v>211</v>
      </c>
    </row>
    <row r="104" spans="1:127">
      <c r="A104" s="40"/>
    </row>
    <row r="105" spans="1:127">
      <c r="A105" s="255" t="s">
        <v>212</v>
      </c>
      <c r="B105" s="38"/>
      <c r="C105" s="38" t="s">
        <v>78</v>
      </c>
      <c r="D105" s="44">
        <f>(1-D106)/D108</f>
        <v>0.2</v>
      </c>
      <c r="E105" s="37"/>
      <c r="F105" s="38">
        <v>133.33333333333334</v>
      </c>
      <c r="G105" s="38">
        <v>131.11111111111111</v>
      </c>
      <c r="H105" s="38">
        <v>128.92592592592592</v>
      </c>
      <c r="I105" s="38">
        <v>126.77716049382715</v>
      </c>
      <c r="J105" s="38">
        <v>124.66420781893004</v>
      </c>
      <c r="K105" s="38">
        <v>122.58647102194787</v>
      </c>
      <c r="L105" s="38">
        <v>120.54336317158209</v>
      </c>
      <c r="M105" s="38">
        <v>118.53430711872238</v>
      </c>
      <c r="N105" s="38">
        <v>116.55873533341034</v>
      </c>
      <c r="O105" s="38">
        <v>114.61608974452017</v>
      </c>
      <c r="P105" s="38">
        <v>112.7058215821115</v>
      </c>
      <c r="Q105" s="38">
        <v>110.82739122240964</v>
      </c>
      <c r="R105" s="38">
        <v>108.94896086270801</v>
      </c>
      <c r="S105" s="38">
        <v>107.070530503006</v>
      </c>
      <c r="T105" s="38">
        <v>105.192100143304</v>
      </c>
      <c r="U105" s="38">
        <v>103.31366978360199</v>
      </c>
      <c r="V105" s="38">
        <v>101.4352394239</v>
      </c>
      <c r="W105" s="38">
        <v>99.556809064198504</v>
      </c>
      <c r="X105" s="38">
        <v>97.678378704496694</v>
      </c>
      <c r="Y105" s="38">
        <v>95.799948344794799</v>
      </c>
      <c r="Z105" s="38">
        <v>93.921517985093004</v>
      </c>
      <c r="AA105" s="38">
        <v>92.043087625391095</v>
      </c>
      <c r="AB105" s="38">
        <v>90.1646572656893</v>
      </c>
      <c r="AC105" s="38">
        <v>88.286226905987405</v>
      </c>
      <c r="AD105" s="38">
        <v>86.407796546285596</v>
      </c>
      <c r="AE105" s="38">
        <v>84.529366186583701</v>
      </c>
      <c r="AF105" s="38">
        <v>82.650935826881906</v>
      </c>
      <c r="AG105" s="38">
        <v>80.772505467179997</v>
      </c>
      <c r="AH105" s="38">
        <v>78.894075107478201</v>
      </c>
      <c r="AI105" s="38">
        <v>77.015644747776307</v>
      </c>
      <c r="AJ105" s="38">
        <v>75.137214388074497</v>
      </c>
      <c r="AK105" s="38">
        <v>73.258784028372602</v>
      </c>
      <c r="AL105" s="38">
        <v>71.380353668670793</v>
      </c>
      <c r="AM105" s="38">
        <v>69.501923308968898</v>
      </c>
      <c r="AN105" s="38">
        <v>67.623492949267003</v>
      </c>
      <c r="AO105" s="38">
        <v>65.745062589565194</v>
      </c>
      <c r="AP105" s="38">
        <v>63.866632229863299</v>
      </c>
      <c r="AQ105" s="38">
        <v>61.988201870161497</v>
      </c>
      <c r="AR105" s="38">
        <v>60.109771510459602</v>
      </c>
      <c r="AS105" s="38">
        <v>58.2313411507578</v>
      </c>
      <c r="AT105" s="38">
        <v>56.352910791055898</v>
      </c>
      <c r="AU105" s="38">
        <v>54.474480431354102</v>
      </c>
      <c r="AV105" s="38">
        <v>52.596050071652201</v>
      </c>
      <c r="AW105" s="38">
        <v>50.717619711950398</v>
      </c>
      <c r="AX105" s="38">
        <v>48.839189352248503</v>
      </c>
      <c r="AY105" s="38">
        <v>46.960758992546701</v>
      </c>
      <c r="AZ105" s="38">
        <v>45.082328632844799</v>
      </c>
      <c r="BA105" s="38">
        <v>43.203898273142997</v>
      </c>
      <c r="BB105" s="38">
        <v>41.325467913441102</v>
      </c>
      <c r="BC105" s="38">
        <v>39.4470375537393</v>
      </c>
      <c r="BD105" s="38">
        <v>37.568607194037398</v>
      </c>
      <c r="BE105" s="38">
        <v>35.690176834335603</v>
      </c>
      <c r="BF105" s="38">
        <v>33.811746474633701</v>
      </c>
      <c r="BG105" s="38">
        <v>31.933316114931898</v>
      </c>
      <c r="BH105" s="38">
        <v>30.05488575523</v>
      </c>
      <c r="BI105" s="38">
        <v>28.176455395528201</v>
      </c>
      <c r="BJ105" s="38">
        <v>26.298025035826299</v>
      </c>
      <c r="BK105" s="38">
        <v>24.4195946761245</v>
      </c>
      <c r="BL105" s="38">
        <v>22.541164316422599</v>
      </c>
      <c r="BM105" s="38">
        <v>20.6627339567207</v>
      </c>
      <c r="BN105" s="38">
        <v>18.784303597018901</v>
      </c>
      <c r="BO105" s="38">
        <v>16.905873237317</v>
      </c>
      <c r="BP105" s="38">
        <v>15.027442877615201</v>
      </c>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38"/>
      <c r="CM105" s="38"/>
      <c r="CN105" s="38"/>
      <c r="CO105" s="38"/>
      <c r="CP105" s="38"/>
      <c r="CQ105" s="38"/>
      <c r="CR105" s="38"/>
      <c r="CS105" s="38"/>
      <c r="CT105" s="38"/>
      <c r="CU105" s="38"/>
      <c r="CV105" s="38"/>
      <c r="CW105" s="38"/>
      <c r="CX105" s="38"/>
      <c r="CY105" s="38"/>
      <c r="CZ105" s="38"/>
      <c r="DA105" s="38"/>
      <c r="DB105" s="38"/>
      <c r="DC105" s="38"/>
      <c r="DD105" s="38"/>
      <c r="DE105" s="38"/>
      <c r="DF105" s="38"/>
      <c r="DG105" s="38"/>
      <c r="DH105" s="38"/>
      <c r="DI105" s="38"/>
      <c r="DJ105" s="38"/>
      <c r="DK105" s="38"/>
      <c r="DL105" s="38"/>
      <c r="DM105" s="38"/>
      <c r="DN105" s="38"/>
      <c r="DO105" s="38"/>
      <c r="DP105" s="38"/>
      <c r="DQ105" s="38"/>
      <c r="DR105" s="38"/>
      <c r="DS105" s="38"/>
      <c r="DT105" s="38"/>
      <c r="DU105" s="38"/>
      <c r="DV105" s="38"/>
      <c r="DW105" s="38"/>
    </row>
    <row r="106" spans="1:127">
      <c r="A106" s="38" t="s">
        <v>79</v>
      </c>
      <c r="B106" s="38" t="s">
        <v>24</v>
      </c>
      <c r="C106" s="38" t="s">
        <v>81</v>
      </c>
      <c r="D106" s="38">
        <v>0</v>
      </c>
      <c r="E106" s="39" t="s">
        <v>84</v>
      </c>
      <c r="F106" s="40">
        <v>1</v>
      </c>
      <c r="G106" s="40">
        <v>2</v>
      </c>
      <c r="H106" s="40">
        <v>3</v>
      </c>
      <c r="I106" s="40">
        <v>4</v>
      </c>
      <c r="J106" s="40">
        <v>5</v>
      </c>
      <c r="K106" s="40">
        <v>6</v>
      </c>
      <c r="L106" s="40">
        <v>7</v>
      </c>
      <c r="M106" s="40">
        <v>8</v>
      </c>
      <c r="N106" s="40">
        <v>9</v>
      </c>
      <c r="O106" s="40">
        <v>10</v>
      </c>
      <c r="P106" s="40">
        <v>11</v>
      </c>
      <c r="Q106" s="40">
        <v>12</v>
      </c>
      <c r="R106" s="40">
        <v>13</v>
      </c>
      <c r="S106" s="40">
        <v>14</v>
      </c>
      <c r="T106" s="40">
        <v>15</v>
      </c>
      <c r="U106" s="40">
        <v>16</v>
      </c>
      <c r="V106" s="40">
        <v>17</v>
      </c>
      <c r="W106" s="40">
        <v>18</v>
      </c>
      <c r="X106" s="40">
        <v>19</v>
      </c>
      <c r="Y106" s="40">
        <v>20</v>
      </c>
      <c r="Z106" s="40">
        <v>21</v>
      </c>
      <c r="AA106" s="40">
        <v>22</v>
      </c>
      <c r="AB106" s="40">
        <v>23</v>
      </c>
      <c r="AC106" s="40">
        <v>24</v>
      </c>
      <c r="AD106" s="40">
        <v>25</v>
      </c>
      <c r="AE106" s="40">
        <v>26</v>
      </c>
      <c r="AF106" s="40">
        <v>27</v>
      </c>
      <c r="AG106" s="40">
        <v>28</v>
      </c>
      <c r="AH106" s="40">
        <v>29</v>
      </c>
      <c r="AI106" s="40">
        <v>30</v>
      </c>
      <c r="AJ106" s="40">
        <v>31</v>
      </c>
      <c r="AK106" s="40">
        <v>32</v>
      </c>
      <c r="AL106" s="40">
        <v>33</v>
      </c>
      <c r="AM106" s="40">
        <v>34</v>
      </c>
      <c r="AN106" s="40">
        <v>35</v>
      </c>
      <c r="AO106" s="40">
        <v>36</v>
      </c>
      <c r="AP106" s="40">
        <v>37</v>
      </c>
      <c r="AQ106" s="40">
        <v>38</v>
      </c>
      <c r="AR106" s="40">
        <v>39</v>
      </c>
      <c r="AS106" s="40">
        <v>40</v>
      </c>
      <c r="AT106" s="40">
        <v>41</v>
      </c>
      <c r="AU106" s="40">
        <v>42</v>
      </c>
      <c r="AV106" s="40">
        <v>43</v>
      </c>
      <c r="AW106" s="40">
        <v>44</v>
      </c>
      <c r="AX106" s="40">
        <v>45</v>
      </c>
      <c r="AY106" s="40">
        <v>46</v>
      </c>
      <c r="AZ106" s="40">
        <v>47</v>
      </c>
      <c r="BA106" s="40">
        <v>48</v>
      </c>
      <c r="BB106" s="40">
        <v>49</v>
      </c>
      <c r="BC106" s="40">
        <v>50</v>
      </c>
      <c r="BD106" s="40">
        <v>51</v>
      </c>
      <c r="BE106" s="40">
        <v>52</v>
      </c>
      <c r="BF106" s="40">
        <v>53</v>
      </c>
      <c r="BG106" s="40">
        <v>54</v>
      </c>
      <c r="BH106" s="40">
        <v>55</v>
      </c>
      <c r="BI106" s="40">
        <v>56</v>
      </c>
      <c r="BJ106" s="40">
        <v>57</v>
      </c>
      <c r="BK106" s="40">
        <v>58</v>
      </c>
      <c r="BL106" s="40">
        <v>59</v>
      </c>
      <c r="BM106" s="40">
        <v>60</v>
      </c>
      <c r="BN106" s="40">
        <v>61</v>
      </c>
      <c r="BO106" s="40">
        <v>62</v>
      </c>
      <c r="BP106" s="40">
        <v>63</v>
      </c>
      <c r="BQ106" s="40"/>
      <c r="BR106" s="40"/>
      <c r="BS106" s="40"/>
      <c r="BT106" s="40"/>
      <c r="BU106" s="40"/>
      <c r="BV106" s="40"/>
      <c r="BW106" s="40"/>
      <c r="BX106" s="40"/>
      <c r="BY106" s="40"/>
      <c r="BZ106" s="40"/>
      <c r="CA106" s="40"/>
      <c r="CB106" s="40"/>
      <c r="CC106" s="40"/>
      <c r="CD106" s="40"/>
      <c r="CE106" s="40"/>
      <c r="CF106" s="40"/>
      <c r="CG106" s="40"/>
      <c r="CH106" s="40"/>
      <c r="CI106" s="40"/>
      <c r="CJ106" s="40"/>
      <c r="CK106" s="40"/>
      <c r="CL106" s="40"/>
      <c r="CM106" s="40"/>
      <c r="CN106" s="40"/>
      <c r="CO106" s="40"/>
      <c r="CP106" s="40"/>
      <c r="CQ106" s="40"/>
      <c r="CR106" s="40"/>
      <c r="CS106" s="40"/>
      <c r="CT106" s="40"/>
      <c r="CU106" s="40"/>
      <c r="CV106" s="40"/>
      <c r="CW106" s="40"/>
      <c r="CX106" s="40"/>
      <c r="CY106" s="40"/>
      <c r="CZ106" s="40"/>
      <c r="DA106" s="40"/>
      <c r="DB106" s="40"/>
      <c r="DC106" s="40"/>
      <c r="DD106" s="40"/>
      <c r="DE106" s="40"/>
      <c r="DF106" s="40"/>
      <c r="DG106" s="40"/>
      <c r="DH106" s="40"/>
      <c r="DI106" s="40"/>
      <c r="DJ106" s="40"/>
      <c r="DK106" s="40"/>
      <c r="DL106" s="40"/>
      <c r="DM106" s="40"/>
      <c r="DN106" s="40"/>
      <c r="DO106" s="40"/>
      <c r="DP106" s="40"/>
      <c r="DQ106" s="40"/>
      <c r="DR106" s="40"/>
      <c r="DS106" s="40"/>
      <c r="DT106" s="40"/>
      <c r="DU106" s="40"/>
      <c r="DV106" s="40"/>
      <c r="DW106" s="40"/>
    </row>
    <row r="107" spans="1:127">
      <c r="A107" s="38" t="s">
        <v>85</v>
      </c>
      <c r="B107" s="38">
        <v>8000</v>
      </c>
      <c r="C107" s="38" t="s">
        <v>80</v>
      </c>
      <c r="D107" s="38">
        <v>5</v>
      </c>
      <c r="E107" s="39" t="s">
        <v>83</v>
      </c>
      <c r="F107" s="40">
        <f t="shared" ref="F107:Q107" si="106">IF(F106&lt;=$D$108,1,0)</f>
        <v>1</v>
      </c>
      <c r="G107" s="40">
        <f t="shared" si="106"/>
        <v>1</v>
      </c>
      <c r="H107" s="40">
        <f t="shared" si="106"/>
        <v>1</v>
      </c>
      <c r="I107" s="40">
        <f t="shared" si="106"/>
        <v>1</v>
      </c>
      <c r="J107" s="40">
        <f t="shared" si="106"/>
        <v>1</v>
      </c>
      <c r="K107" s="40">
        <f t="shared" si="106"/>
        <v>0</v>
      </c>
      <c r="L107" s="40">
        <f t="shared" si="106"/>
        <v>0</v>
      </c>
      <c r="M107" s="40">
        <f t="shared" si="106"/>
        <v>0</v>
      </c>
      <c r="N107" s="40">
        <f t="shared" si="106"/>
        <v>0</v>
      </c>
      <c r="O107" s="40">
        <f t="shared" si="106"/>
        <v>0</v>
      </c>
      <c r="P107" s="40">
        <f t="shared" si="106"/>
        <v>0</v>
      </c>
      <c r="Q107" s="40">
        <f t="shared" si="106"/>
        <v>0</v>
      </c>
      <c r="R107" s="40">
        <f t="shared" ref="R107:BP107" si="107">IF(R106&lt;=$D$108,1,0)</f>
        <v>0</v>
      </c>
      <c r="S107" s="40">
        <f t="shared" si="107"/>
        <v>0</v>
      </c>
      <c r="T107" s="40">
        <f t="shared" si="107"/>
        <v>0</v>
      </c>
      <c r="U107" s="40">
        <f t="shared" si="107"/>
        <v>0</v>
      </c>
      <c r="V107" s="40">
        <f t="shared" si="107"/>
        <v>0</v>
      </c>
      <c r="W107" s="40">
        <f t="shared" si="107"/>
        <v>0</v>
      </c>
      <c r="X107" s="40">
        <f t="shared" si="107"/>
        <v>0</v>
      </c>
      <c r="Y107" s="40">
        <f t="shared" si="107"/>
        <v>0</v>
      </c>
      <c r="Z107" s="40">
        <f t="shared" si="107"/>
        <v>0</v>
      </c>
      <c r="AA107" s="40">
        <f t="shared" si="107"/>
        <v>0</v>
      </c>
      <c r="AB107" s="40">
        <f t="shared" si="107"/>
        <v>0</v>
      </c>
      <c r="AC107" s="40">
        <f t="shared" si="107"/>
        <v>0</v>
      </c>
      <c r="AD107" s="40">
        <f t="shared" si="107"/>
        <v>0</v>
      </c>
      <c r="AE107" s="40">
        <f t="shared" si="107"/>
        <v>0</v>
      </c>
      <c r="AF107" s="40">
        <f t="shared" si="107"/>
        <v>0</v>
      </c>
      <c r="AG107" s="40">
        <f t="shared" si="107"/>
        <v>0</v>
      </c>
      <c r="AH107" s="40">
        <f t="shared" si="107"/>
        <v>0</v>
      </c>
      <c r="AI107" s="40">
        <f t="shared" si="107"/>
        <v>0</v>
      </c>
      <c r="AJ107" s="40">
        <f t="shared" si="107"/>
        <v>0</v>
      </c>
      <c r="AK107" s="40">
        <f t="shared" si="107"/>
        <v>0</v>
      </c>
      <c r="AL107" s="40">
        <f t="shared" si="107"/>
        <v>0</v>
      </c>
      <c r="AM107" s="40">
        <f t="shared" si="107"/>
        <v>0</v>
      </c>
      <c r="AN107" s="40">
        <f t="shared" si="107"/>
        <v>0</v>
      </c>
      <c r="AO107" s="40">
        <f t="shared" si="107"/>
        <v>0</v>
      </c>
      <c r="AP107" s="40">
        <f t="shared" si="107"/>
        <v>0</v>
      </c>
      <c r="AQ107" s="40">
        <f t="shared" si="107"/>
        <v>0</v>
      </c>
      <c r="AR107" s="40">
        <f t="shared" si="107"/>
        <v>0</v>
      </c>
      <c r="AS107" s="40">
        <f t="shared" si="107"/>
        <v>0</v>
      </c>
      <c r="AT107" s="40">
        <f t="shared" si="107"/>
        <v>0</v>
      </c>
      <c r="AU107" s="40">
        <f t="shared" si="107"/>
        <v>0</v>
      </c>
      <c r="AV107" s="40">
        <f t="shared" si="107"/>
        <v>0</v>
      </c>
      <c r="AW107" s="40">
        <f t="shared" si="107"/>
        <v>0</v>
      </c>
      <c r="AX107" s="40">
        <f t="shared" si="107"/>
        <v>0</v>
      </c>
      <c r="AY107" s="40">
        <f t="shared" si="107"/>
        <v>0</v>
      </c>
      <c r="AZ107" s="40">
        <f t="shared" si="107"/>
        <v>0</v>
      </c>
      <c r="BA107" s="40">
        <f t="shared" si="107"/>
        <v>0</v>
      </c>
      <c r="BB107" s="40">
        <f t="shared" si="107"/>
        <v>0</v>
      </c>
      <c r="BC107" s="40">
        <f t="shared" si="107"/>
        <v>0</v>
      </c>
      <c r="BD107" s="40">
        <f t="shared" si="107"/>
        <v>0</v>
      </c>
      <c r="BE107" s="40">
        <f t="shared" si="107"/>
        <v>0</v>
      </c>
      <c r="BF107" s="40">
        <f t="shared" si="107"/>
        <v>0</v>
      </c>
      <c r="BG107" s="40">
        <f t="shared" si="107"/>
        <v>0</v>
      </c>
      <c r="BH107" s="40">
        <f t="shared" si="107"/>
        <v>0</v>
      </c>
      <c r="BI107" s="40">
        <f t="shared" si="107"/>
        <v>0</v>
      </c>
      <c r="BJ107" s="40">
        <f t="shared" si="107"/>
        <v>0</v>
      </c>
      <c r="BK107" s="40">
        <f t="shared" si="107"/>
        <v>0</v>
      </c>
      <c r="BL107" s="40">
        <f t="shared" si="107"/>
        <v>0</v>
      </c>
      <c r="BM107" s="40">
        <f t="shared" si="107"/>
        <v>0</v>
      </c>
      <c r="BN107" s="40">
        <f t="shared" si="107"/>
        <v>0</v>
      </c>
      <c r="BO107" s="40">
        <f t="shared" si="107"/>
        <v>0</v>
      </c>
      <c r="BP107" s="40">
        <f t="shared" si="107"/>
        <v>0</v>
      </c>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c r="CT107" s="40"/>
      <c r="CU107" s="40"/>
      <c r="CV107" s="40"/>
      <c r="CW107" s="40"/>
      <c r="CX107" s="40"/>
      <c r="CY107" s="40"/>
      <c r="CZ107" s="40"/>
      <c r="DA107" s="40"/>
      <c r="DB107" s="40"/>
      <c r="DC107" s="40"/>
      <c r="DD107" s="40"/>
      <c r="DE107" s="40"/>
      <c r="DF107" s="40"/>
      <c r="DG107" s="40"/>
      <c r="DH107" s="40"/>
      <c r="DI107" s="40"/>
      <c r="DJ107" s="40"/>
      <c r="DK107" s="40"/>
      <c r="DL107" s="40"/>
      <c r="DM107" s="40"/>
      <c r="DN107" s="40"/>
      <c r="DO107" s="40"/>
      <c r="DP107" s="40"/>
      <c r="DQ107" s="40"/>
      <c r="DR107" s="40"/>
      <c r="DS107" s="40"/>
      <c r="DT107" s="40"/>
      <c r="DU107" s="40"/>
      <c r="DV107" s="40"/>
      <c r="DW107" s="40"/>
    </row>
    <row r="108" spans="1:127">
      <c r="A108" s="40"/>
      <c r="B108" s="38"/>
      <c r="C108" s="38" t="s">
        <v>82</v>
      </c>
      <c r="D108" s="38">
        <f>D107*D109</f>
        <v>5</v>
      </c>
      <c r="E108" s="39" t="s">
        <v>86</v>
      </c>
      <c r="F108" s="40">
        <f>B107</f>
        <v>8000</v>
      </c>
      <c r="G108" s="40">
        <f>F110</f>
        <v>6400</v>
      </c>
      <c r="H108" s="40">
        <f t="shared" ref="H108:P108" si="108">G110</f>
        <v>5120</v>
      </c>
      <c r="I108" s="40">
        <f t="shared" si="108"/>
        <v>4096</v>
      </c>
      <c r="J108" s="40">
        <f t="shared" si="108"/>
        <v>3276.8</v>
      </c>
      <c r="K108" s="40">
        <f t="shared" si="108"/>
        <v>0</v>
      </c>
      <c r="L108" s="40">
        <f t="shared" si="108"/>
        <v>0</v>
      </c>
      <c r="M108" s="40">
        <f t="shared" si="108"/>
        <v>0</v>
      </c>
      <c r="N108" s="40">
        <f t="shared" si="108"/>
        <v>0</v>
      </c>
      <c r="O108" s="40">
        <f t="shared" si="108"/>
        <v>0</v>
      </c>
      <c r="P108" s="40">
        <f t="shared" si="108"/>
        <v>0</v>
      </c>
      <c r="Q108" s="40">
        <f>P110</f>
        <v>0</v>
      </c>
      <c r="R108" s="40">
        <f t="shared" ref="R108:S108" si="109">Q110</f>
        <v>0</v>
      </c>
      <c r="S108" s="40">
        <f t="shared" si="109"/>
        <v>0</v>
      </c>
      <c r="T108" s="40">
        <f t="shared" ref="T108:U108" si="110">S110</f>
        <v>0</v>
      </c>
      <c r="U108" s="40">
        <f t="shared" si="110"/>
        <v>0</v>
      </c>
      <c r="V108" s="40">
        <f t="shared" ref="V108:W108" si="111">U110</f>
        <v>0</v>
      </c>
      <c r="W108" s="40">
        <f t="shared" si="111"/>
        <v>0</v>
      </c>
      <c r="X108" s="40">
        <f t="shared" ref="X108:Y108" si="112">W110</f>
        <v>0</v>
      </c>
      <c r="Y108" s="40">
        <f t="shared" si="112"/>
        <v>0</v>
      </c>
      <c r="Z108" s="40">
        <f t="shared" ref="Z108:AA108" si="113">Y110</f>
        <v>0</v>
      </c>
      <c r="AA108" s="40">
        <f t="shared" si="113"/>
        <v>0</v>
      </c>
      <c r="AB108" s="40">
        <f t="shared" ref="AB108:AC108" si="114">AA110</f>
        <v>0</v>
      </c>
      <c r="AC108" s="40">
        <f t="shared" si="114"/>
        <v>0</v>
      </c>
      <c r="AD108" s="40">
        <f t="shared" ref="AD108:AE108" si="115">AC110</f>
        <v>0</v>
      </c>
      <c r="AE108" s="40">
        <f t="shared" si="115"/>
        <v>0</v>
      </c>
      <c r="AF108" s="40">
        <f t="shared" ref="AF108:AG108" si="116">AE110</f>
        <v>0</v>
      </c>
      <c r="AG108" s="40">
        <f t="shared" si="116"/>
        <v>0</v>
      </c>
      <c r="AH108" s="40">
        <f t="shared" ref="AH108:AI108" si="117">AG110</f>
        <v>0</v>
      </c>
      <c r="AI108" s="40">
        <f t="shared" si="117"/>
        <v>0</v>
      </c>
      <c r="AJ108" s="40">
        <f t="shared" ref="AJ108:AK108" si="118">AI110</f>
        <v>0</v>
      </c>
      <c r="AK108" s="40">
        <f t="shared" si="118"/>
        <v>0</v>
      </c>
      <c r="AL108" s="40">
        <f t="shared" ref="AL108:AM108" si="119">AK110</f>
        <v>0</v>
      </c>
      <c r="AM108" s="40">
        <f t="shared" si="119"/>
        <v>0</v>
      </c>
      <c r="AN108" s="40">
        <f t="shared" ref="AN108:AO108" si="120">AM110</f>
        <v>0</v>
      </c>
      <c r="AO108" s="40">
        <f t="shared" si="120"/>
        <v>0</v>
      </c>
      <c r="AP108" s="40">
        <f t="shared" ref="AP108:AQ108" si="121">AO110</f>
        <v>0</v>
      </c>
      <c r="AQ108" s="40">
        <f t="shared" si="121"/>
        <v>0</v>
      </c>
      <c r="AR108" s="40">
        <f t="shared" ref="AR108:AS108" si="122">AQ110</f>
        <v>0</v>
      </c>
      <c r="AS108" s="40">
        <f t="shared" si="122"/>
        <v>0</v>
      </c>
      <c r="AT108" s="40">
        <f t="shared" ref="AT108:AU108" si="123">AS110</f>
        <v>0</v>
      </c>
      <c r="AU108" s="40">
        <f t="shared" si="123"/>
        <v>0</v>
      </c>
      <c r="AV108" s="40">
        <f t="shared" ref="AV108:AW108" si="124">AU110</f>
        <v>0</v>
      </c>
      <c r="AW108" s="40">
        <f t="shared" si="124"/>
        <v>0</v>
      </c>
      <c r="AX108" s="40">
        <f t="shared" ref="AX108:AY108" si="125">AW110</f>
        <v>0</v>
      </c>
      <c r="AY108" s="40">
        <f t="shared" si="125"/>
        <v>0</v>
      </c>
      <c r="AZ108" s="40">
        <f t="shared" ref="AZ108:BA108" si="126">AY110</f>
        <v>0</v>
      </c>
      <c r="BA108" s="40">
        <f t="shared" si="126"/>
        <v>0</v>
      </c>
      <c r="BB108" s="40">
        <f t="shared" ref="BB108:BC108" si="127">BA110</f>
        <v>0</v>
      </c>
      <c r="BC108" s="40">
        <f t="shared" si="127"/>
        <v>0</v>
      </c>
      <c r="BD108" s="40">
        <f t="shared" ref="BD108:BE108" si="128">BC110</f>
        <v>0</v>
      </c>
      <c r="BE108" s="40">
        <f t="shared" si="128"/>
        <v>0</v>
      </c>
      <c r="BF108" s="40">
        <f t="shared" ref="BF108:BG108" si="129">BE110</f>
        <v>0</v>
      </c>
      <c r="BG108" s="40">
        <f t="shared" si="129"/>
        <v>0</v>
      </c>
      <c r="BH108" s="40">
        <f t="shared" ref="BH108:BI108" si="130">BG110</f>
        <v>0</v>
      </c>
      <c r="BI108" s="40">
        <f t="shared" si="130"/>
        <v>0</v>
      </c>
      <c r="BJ108" s="40">
        <f t="shared" ref="BJ108:BK108" si="131">BI110</f>
        <v>0</v>
      </c>
      <c r="BK108" s="40">
        <f t="shared" si="131"/>
        <v>0</v>
      </c>
      <c r="BL108" s="40">
        <f t="shared" ref="BL108:BM108" si="132">BK110</f>
        <v>0</v>
      </c>
      <c r="BM108" s="40">
        <f t="shared" si="132"/>
        <v>0</v>
      </c>
      <c r="BN108" s="40">
        <f t="shared" ref="BN108:BO108" si="133">BM110</f>
        <v>0</v>
      </c>
      <c r="BO108" s="40">
        <f t="shared" si="133"/>
        <v>0</v>
      </c>
      <c r="BP108" s="40">
        <f t="shared" ref="BP108" si="134">BO110</f>
        <v>0</v>
      </c>
      <c r="BQ108" s="40"/>
      <c r="BR108" s="40"/>
      <c r="BS108" s="40"/>
      <c r="BT108" s="40"/>
      <c r="BU108" s="40"/>
      <c r="BV108" s="40"/>
      <c r="BW108" s="40"/>
      <c r="BX108" s="40"/>
      <c r="BY108" s="40"/>
      <c r="BZ108" s="40"/>
      <c r="CA108" s="40"/>
      <c r="CB108" s="40"/>
      <c r="CC108" s="40"/>
      <c r="CD108" s="40"/>
      <c r="CE108" s="40"/>
      <c r="CF108" s="40"/>
      <c r="CG108" s="40"/>
      <c r="CH108" s="40"/>
      <c r="CI108" s="40"/>
      <c r="CJ108" s="40"/>
      <c r="CK108" s="40"/>
      <c r="CL108" s="40"/>
      <c r="CM108" s="40"/>
      <c r="CN108" s="40"/>
      <c r="CO108" s="40"/>
      <c r="CP108" s="40"/>
      <c r="CQ108" s="40"/>
      <c r="CR108" s="40"/>
      <c r="CS108" s="40"/>
      <c r="CT108" s="40"/>
      <c r="CU108" s="40"/>
      <c r="CV108" s="40"/>
      <c r="CW108" s="40"/>
      <c r="CX108" s="40"/>
      <c r="CY108" s="40"/>
      <c r="CZ108" s="40"/>
      <c r="DA108" s="40"/>
      <c r="DB108" s="40"/>
      <c r="DC108" s="40"/>
      <c r="DD108" s="40"/>
      <c r="DE108" s="40"/>
      <c r="DF108" s="40"/>
      <c r="DG108" s="40"/>
      <c r="DH108" s="40"/>
      <c r="DI108" s="40"/>
      <c r="DJ108" s="40"/>
      <c r="DK108" s="40"/>
      <c r="DL108" s="40"/>
      <c r="DM108" s="40"/>
      <c r="DN108" s="40"/>
      <c r="DO108" s="40"/>
      <c r="DP108" s="40"/>
      <c r="DQ108" s="40"/>
      <c r="DR108" s="40"/>
      <c r="DS108" s="40"/>
      <c r="DT108" s="40"/>
      <c r="DU108" s="40"/>
      <c r="DV108" s="40"/>
      <c r="DW108" s="40"/>
    </row>
    <row r="109" spans="1:127">
      <c r="A109" s="40"/>
      <c r="B109" s="38" t="s">
        <v>152</v>
      </c>
      <c r="C109" s="38" t="s">
        <v>145</v>
      </c>
      <c r="D109" s="38">
        <f>VLOOKUP(C109,A280:B283,2,)</f>
        <v>1</v>
      </c>
      <c r="E109" s="39" t="s">
        <v>87</v>
      </c>
      <c r="F109" s="40">
        <f t="shared" ref="F109:Q109" si="135">IF(F106=$D$108,F108,F108*$D$105)*F107</f>
        <v>1600</v>
      </c>
      <c r="G109" s="40">
        <f t="shared" si="135"/>
        <v>1280</v>
      </c>
      <c r="H109" s="40">
        <f t="shared" si="135"/>
        <v>1024</v>
      </c>
      <c r="I109" s="40">
        <f t="shared" si="135"/>
        <v>819.2</v>
      </c>
      <c r="J109" s="40">
        <f t="shared" si="135"/>
        <v>3276.8</v>
      </c>
      <c r="K109" s="40">
        <f t="shared" si="135"/>
        <v>0</v>
      </c>
      <c r="L109" s="40">
        <f t="shared" si="135"/>
        <v>0</v>
      </c>
      <c r="M109" s="40">
        <f t="shared" si="135"/>
        <v>0</v>
      </c>
      <c r="N109" s="40">
        <f t="shared" si="135"/>
        <v>0</v>
      </c>
      <c r="O109" s="40">
        <f t="shared" si="135"/>
        <v>0</v>
      </c>
      <c r="P109" s="40">
        <f t="shared" si="135"/>
        <v>0</v>
      </c>
      <c r="Q109" s="40">
        <f t="shared" si="135"/>
        <v>0</v>
      </c>
      <c r="R109" s="40">
        <f t="shared" ref="R109:BP109" si="136">IF(R106=$D$108,R108,R108*$D$105)*R107</f>
        <v>0</v>
      </c>
      <c r="S109" s="40">
        <f t="shared" si="136"/>
        <v>0</v>
      </c>
      <c r="T109" s="40">
        <f t="shared" si="136"/>
        <v>0</v>
      </c>
      <c r="U109" s="40">
        <f t="shared" si="136"/>
        <v>0</v>
      </c>
      <c r="V109" s="40">
        <f t="shared" si="136"/>
        <v>0</v>
      </c>
      <c r="W109" s="40">
        <f t="shared" si="136"/>
        <v>0</v>
      </c>
      <c r="X109" s="40">
        <f t="shared" si="136"/>
        <v>0</v>
      </c>
      <c r="Y109" s="40">
        <f t="shared" si="136"/>
        <v>0</v>
      </c>
      <c r="Z109" s="40">
        <f t="shared" si="136"/>
        <v>0</v>
      </c>
      <c r="AA109" s="40">
        <f t="shared" si="136"/>
        <v>0</v>
      </c>
      <c r="AB109" s="40">
        <f t="shared" si="136"/>
        <v>0</v>
      </c>
      <c r="AC109" s="40">
        <f t="shared" si="136"/>
        <v>0</v>
      </c>
      <c r="AD109" s="40">
        <f t="shared" si="136"/>
        <v>0</v>
      </c>
      <c r="AE109" s="40">
        <f t="shared" si="136"/>
        <v>0</v>
      </c>
      <c r="AF109" s="40">
        <f t="shared" si="136"/>
        <v>0</v>
      </c>
      <c r="AG109" s="40">
        <f t="shared" si="136"/>
        <v>0</v>
      </c>
      <c r="AH109" s="40">
        <f t="shared" si="136"/>
        <v>0</v>
      </c>
      <c r="AI109" s="40">
        <f t="shared" si="136"/>
        <v>0</v>
      </c>
      <c r="AJ109" s="40">
        <f t="shared" si="136"/>
        <v>0</v>
      </c>
      <c r="AK109" s="40">
        <f t="shared" si="136"/>
        <v>0</v>
      </c>
      <c r="AL109" s="40">
        <f t="shared" si="136"/>
        <v>0</v>
      </c>
      <c r="AM109" s="40">
        <f t="shared" si="136"/>
        <v>0</v>
      </c>
      <c r="AN109" s="40">
        <f t="shared" si="136"/>
        <v>0</v>
      </c>
      <c r="AO109" s="40">
        <f t="shared" si="136"/>
        <v>0</v>
      </c>
      <c r="AP109" s="40">
        <f t="shared" si="136"/>
        <v>0</v>
      </c>
      <c r="AQ109" s="40">
        <f t="shared" si="136"/>
        <v>0</v>
      </c>
      <c r="AR109" s="40">
        <f t="shared" si="136"/>
        <v>0</v>
      </c>
      <c r="AS109" s="40">
        <f t="shared" si="136"/>
        <v>0</v>
      </c>
      <c r="AT109" s="40">
        <f t="shared" si="136"/>
        <v>0</v>
      </c>
      <c r="AU109" s="40">
        <f t="shared" si="136"/>
        <v>0</v>
      </c>
      <c r="AV109" s="40">
        <f t="shared" si="136"/>
        <v>0</v>
      </c>
      <c r="AW109" s="40">
        <f t="shared" si="136"/>
        <v>0</v>
      </c>
      <c r="AX109" s="40">
        <f t="shared" si="136"/>
        <v>0</v>
      </c>
      <c r="AY109" s="40">
        <f t="shared" si="136"/>
        <v>0</v>
      </c>
      <c r="AZ109" s="40">
        <f t="shared" si="136"/>
        <v>0</v>
      </c>
      <c r="BA109" s="40">
        <f t="shared" si="136"/>
        <v>0</v>
      </c>
      <c r="BB109" s="40">
        <f t="shared" si="136"/>
        <v>0</v>
      </c>
      <c r="BC109" s="40">
        <f t="shared" si="136"/>
        <v>0</v>
      </c>
      <c r="BD109" s="40">
        <f t="shared" si="136"/>
        <v>0</v>
      </c>
      <c r="BE109" s="40">
        <f t="shared" si="136"/>
        <v>0</v>
      </c>
      <c r="BF109" s="40">
        <f t="shared" si="136"/>
        <v>0</v>
      </c>
      <c r="BG109" s="40">
        <f t="shared" si="136"/>
        <v>0</v>
      </c>
      <c r="BH109" s="40">
        <f t="shared" si="136"/>
        <v>0</v>
      </c>
      <c r="BI109" s="40">
        <f t="shared" si="136"/>
        <v>0</v>
      </c>
      <c r="BJ109" s="40">
        <f t="shared" si="136"/>
        <v>0</v>
      </c>
      <c r="BK109" s="40">
        <f t="shared" si="136"/>
        <v>0</v>
      </c>
      <c r="BL109" s="40">
        <f t="shared" si="136"/>
        <v>0</v>
      </c>
      <c r="BM109" s="40">
        <f t="shared" si="136"/>
        <v>0</v>
      </c>
      <c r="BN109" s="40">
        <f t="shared" si="136"/>
        <v>0</v>
      </c>
      <c r="BO109" s="40">
        <f t="shared" si="136"/>
        <v>0</v>
      </c>
      <c r="BP109" s="40">
        <f t="shared" si="136"/>
        <v>0</v>
      </c>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0"/>
      <c r="CM109" s="40"/>
      <c r="CN109" s="40"/>
      <c r="CO109" s="40"/>
      <c r="CP109" s="40"/>
      <c r="CQ109" s="40"/>
      <c r="CR109" s="40"/>
      <c r="CS109" s="40"/>
      <c r="CT109" s="40"/>
      <c r="CU109" s="40"/>
      <c r="CV109" s="40"/>
      <c r="CW109" s="40"/>
      <c r="CX109" s="40"/>
      <c r="CY109" s="40"/>
      <c r="CZ109" s="40"/>
      <c r="DA109" s="40"/>
      <c r="DB109" s="40"/>
      <c r="DC109" s="40"/>
      <c r="DD109" s="40"/>
      <c r="DE109" s="40"/>
      <c r="DF109" s="40"/>
      <c r="DG109" s="40"/>
      <c r="DH109" s="40"/>
      <c r="DI109" s="40"/>
      <c r="DJ109" s="40"/>
      <c r="DK109" s="40"/>
      <c r="DL109" s="40"/>
      <c r="DM109" s="40"/>
      <c r="DN109" s="40"/>
      <c r="DO109" s="40"/>
      <c r="DP109" s="40"/>
      <c r="DQ109" s="40"/>
      <c r="DR109" s="40"/>
      <c r="DS109" s="40"/>
      <c r="DT109" s="40"/>
      <c r="DU109" s="40"/>
      <c r="DV109" s="40"/>
      <c r="DW109" s="40"/>
    </row>
    <row r="110" spans="1:127">
      <c r="A110" s="40"/>
      <c r="B110" s="38"/>
      <c r="C110" s="38"/>
      <c r="D110" s="38"/>
      <c r="E110" s="41" t="s">
        <v>88</v>
      </c>
      <c r="F110" s="42">
        <f>F108-F109</f>
        <v>6400</v>
      </c>
      <c r="G110" s="42">
        <f t="shared" ref="G110:P110" si="137">G108-G109</f>
        <v>5120</v>
      </c>
      <c r="H110" s="42">
        <f t="shared" si="137"/>
        <v>4096</v>
      </c>
      <c r="I110" s="42">
        <f t="shared" si="137"/>
        <v>3276.8</v>
      </c>
      <c r="J110" s="42">
        <f t="shared" si="137"/>
        <v>0</v>
      </c>
      <c r="K110" s="42">
        <f t="shared" si="137"/>
        <v>0</v>
      </c>
      <c r="L110" s="42">
        <f t="shared" si="137"/>
        <v>0</v>
      </c>
      <c r="M110" s="42">
        <f t="shared" si="137"/>
        <v>0</v>
      </c>
      <c r="N110" s="42">
        <f t="shared" si="137"/>
        <v>0</v>
      </c>
      <c r="O110" s="42">
        <f t="shared" si="137"/>
        <v>0</v>
      </c>
      <c r="P110" s="42">
        <f t="shared" si="137"/>
        <v>0</v>
      </c>
      <c r="Q110" s="42">
        <f t="shared" ref="Q110:R110" si="138">Q108-Q109</f>
        <v>0</v>
      </c>
      <c r="R110" s="42">
        <f t="shared" si="138"/>
        <v>0</v>
      </c>
      <c r="S110" s="42">
        <f t="shared" ref="S110:BP110" si="139">S108-S109</f>
        <v>0</v>
      </c>
      <c r="T110" s="42">
        <f t="shared" si="139"/>
        <v>0</v>
      </c>
      <c r="U110" s="42">
        <f t="shared" si="139"/>
        <v>0</v>
      </c>
      <c r="V110" s="42">
        <f t="shared" si="139"/>
        <v>0</v>
      </c>
      <c r="W110" s="42">
        <f t="shared" si="139"/>
        <v>0</v>
      </c>
      <c r="X110" s="42">
        <f t="shared" si="139"/>
        <v>0</v>
      </c>
      <c r="Y110" s="42">
        <f t="shared" si="139"/>
        <v>0</v>
      </c>
      <c r="Z110" s="42">
        <f t="shared" si="139"/>
        <v>0</v>
      </c>
      <c r="AA110" s="42">
        <f t="shared" si="139"/>
        <v>0</v>
      </c>
      <c r="AB110" s="42">
        <f t="shared" si="139"/>
        <v>0</v>
      </c>
      <c r="AC110" s="42">
        <f t="shared" si="139"/>
        <v>0</v>
      </c>
      <c r="AD110" s="42">
        <f t="shared" si="139"/>
        <v>0</v>
      </c>
      <c r="AE110" s="42">
        <f t="shared" si="139"/>
        <v>0</v>
      </c>
      <c r="AF110" s="42">
        <f t="shared" si="139"/>
        <v>0</v>
      </c>
      <c r="AG110" s="42">
        <f t="shared" si="139"/>
        <v>0</v>
      </c>
      <c r="AH110" s="42">
        <f t="shared" si="139"/>
        <v>0</v>
      </c>
      <c r="AI110" s="42">
        <f t="shared" si="139"/>
        <v>0</v>
      </c>
      <c r="AJ110" s="42">
        <f t="shared" si="139"/>
        <v>0</v>
      </c>
      <c r="AK110" s="42">
        <f t="shared" si="139"/>
        <v>0</v>
      </c>
      <c r="AL110" s="42">
        <f t="shared" si="139"/>
        <v>0</v>
      </c>
      <c r="AM110" s="42">
        <f t="shared" si="139"/>
        <v>0</v>
      </c>
      <c r="AN110" s="42">
        <f t="shared" si="139"/>
        <v>0</v>
      </c>
      <c r="AO110" s="42">
        <f t="shared" si="139"/>
        <v>0</v>
      </c>
      <c r="AP110" s="42">
        <f t="shared" si="139"/>
        <v>0</v>
      </c>
      <c r="AQ110" s="42">
        <f t="shared" si="139"/>
        <v>0</v>
      </c>
      <c r="AR110" s="42">
        <f t="shared" si="139"/>
        <v>0</v>
      </c>
      <c r="AS110" s="42">
        <f t="shared" si="139"/>
        <v>0</v>
      </c>
      <c r="AT110" s="42">
        <f t="shared" si="139"/>
        <v>0</v>
      </c>
      <c r="AU110" s="42">
        <f t="shared" si="139"/>
        <v>0</v>
      </c>
      <c r="AV110" s="42">
        <f t="shared" si="139"/>
        <v>0</v>
      </c>
      <c r="AW110" s="42">
        <f t="shared" si="139"/>
        <v>0</v>
      </c>
      <c r="AX110" s="42">
        <f t="shared" si="139"/>
        <v>0</v>
      </c>
      <c r="AY110" s="42">
        <f t="shared" si="139"/>
        <v>0</v>
      </c>
      <c r="AZ110" s="42">
        <f t="shared" si="139"/>
        <v>0</v>
      </c>
      <c r="BA110" s="42">
        <f t="shared" si="139"/>
        <v>0</v>
      </c>
      <c r="BB110" s="42">
        <f t="shared" si="139"/>
        <v>0</v>
      </c>
      <c r="BC110" s="42">
        <f t="shared" si="139"/>
        <v>0</v>
      </c>
      <c r="BD110" s="42">
        <f t="shared" si="139"/>
        <v>0</v>
      </c>
      <c r="BE110" s="42">
        <f t="shared" si="139"/>
        <v>0</v>
      </c>
      <c r="BF110" s="42">
        <f t="shared" si="139"/>
        <v>0</v>
      </c>
      <c r="BG110" s="42">
        <f t="shared" si="139"/>
        <v>0</v>
      </c>
      <c r="BH110" s="42">
        <f t="shared" si="139"/>
        <v>0</v>
      </c>
      <c r="BI110" s="42">
        <f t="shared" si="139"/>
        <v>0</v>
      </c>
      <c r="BJ110" s="42">
        <f t="shared" si="139"/>
        <v>0</v>
      </c>
      <c r="BK110" s="42">
        <f t="shared" si="139"/>
        <v>0</v>
      </c>
      <c r="BL110" s="42">
        <f t="shared" si="139"/>
        <v>0</v>
      </c>
      <c r="BM110" s="42">
        <f t="shared" si="139"/>
        <v>0</v>
      </c>
      <c r="BN110" s="42">
        <f t="shared" si="139"/>
        <v>0</v>
      </c>
      <c r="BO110" s="42">
        <f t="shared" si="139"/>
        <v>0</v>
      </c>
      <c r="BP110" s="42">
        <f t="shared" si="139"/>
        <v>0</v>
      </c>
      <c r="BQ110" s="42"/>
      <c r="BR110" s="42"/>
      <c r="BS110" s="42"/>
      <c r="BT110" s="42"/>
      <c r="BU110" s="42"/>
      <c r="BV110" s="42"/>
      <c r="BW110" s="42"/>
      <c r="BX110" s="42"/>
      <c r="BY110" s="42"/>
      <c r="BZ110" s="42"/>
      <c r="CA110" s="42"/>
      <c r="CB110" s="42"/>
      <c r="CC110" s="42"/>
      <c r="CD110" s="42"/>
      <c r="CE110" s="42"/>
      <c r="CF110" s="42"/>
      <c r="CG110" s="42"/>
      <c r="CH110" s="42"/>
      <c r="CI110" s="42"/>
      <c r="CJ110" s="42"/>
      <c r="CK110" s="42"/>
      <c r="CL110" s="42"/>
      <c r="CM110" s="42"/>
      <c r="CN110" s="42"/>
      <c r="CO110" s="42"/>
      <c r="CP110" s="42"/>
      <c r="CQ110" s="42"/>
      <c r="CR110" s="42"/>
      <c r="CS110" s="42"/>
      <c r="CT110" s="42"/>
      <c r="CU110" s="42"/>
      <c r="CV110" s="42"/>
      <c r="CW110" s="42"/>
      <c r="CX110" s="42"/>
      <c r="CY110" s="42"/>
      <c r="CZ110" s="42"/>
      <c r="DA110" s="42"/>
      <c r="DB110" s="42"/>
      <c r="DC110" s="42"/>
      <c r="DD110" s="42"/>
      <c r="DE110" s="42"/>
      <c r="DF110" s="42"/>
      <c r="DG110" s="42"/>
      <c r="DH110" s="42"/>
      <c r="DI110" s="42"/>
      <c r="DJ110" s="42"/>
      <c r="DK110" s="42"/>
      <c r="DL110" s="42"/>
      <c r="DM110" s="42"/>
      <c r="DN110" s="42"/>
      <c r="DO110" s="42"/>
      <c r="DP110" s="42"/>
      <c r="DQ110" s="42"/>
      <c r="DR110" s="42"/>
      <c r="DS110" s="42"/>
      <c r="DT110" s="42"/>
      <c r="DU110" s="42"/>
      <c r="DV110" s="42"/>
      <c r="DW110" s="42"/>
    </row>
    <row r="111" spans="1:127">
      <c r="A111" s="40"/>
      <c r="I111" t="s">
        <v>78</v>
      </c>
      <c r="J111" s="2">
        <v>0.2</v>
      </c>
    </row>
    <row r="112" spans="1:127">
      <c r="A112" s="40"/>
      <c r="F112" s="38" t="s">
        <v>79</v>
      </c>
      <c r="G112" s="38" t="s">
        <v>24</v>
      </c>
      <c r="H112" s="38" t="s">
        <v>81</v>
      </c>
      <c r="I112" s="38">
        <v>0</v>
      </c>
      <c r="J112" s="39" t="s">
        <v>84</v>
      </c>
      <c r="K112">
        <v>1</v>
      </c>
      <c r="L112">
        <v>2</v>
      </c>
      <c r="M112" s="40">
        <v>3</v>
      </c>
      <c r="N112" s="40">
        <v>4</v>
      </c>
      <c r="O112" s="40">
        <v>5</v>
      </c>
      <c r="P112" s="40">
        <v>6</v>
      </c>
    </row>
    <row r="113" spans="1:45">
      <c r="A113" s="40"/>
      <c r="F113" s="38" t="s">
        <v>85</v>
      </c>
      <c r="G113" s="38">
        <f>Y96</f>
        <v>9000</v>
      </c>
      <c r="H113" s="38" t="s">
        <v>80</v>
      </c>
      <c r="I113" s="38">
        <v>5</v>
      </c>
      <c r="J113" s="39" t="s">
        <v>83</v>
      </c>
      <c r="K113">
        <f>IF(K112&lt;=$I$114,1,0)</f>
        <v>1</v>
      </c>
      <c r="L113">
        <f t="shared" ref="L113:O113" si="140">IF(L112&lt;=$I$114,1,0)</f>
        <v>1</v>
      </c>
      <c r="M113">
        <f t="shared" si="140"/>
        <v>1</v>
      </c>
      <c r="N113">
        <f t="shared" si="140"/>
        <v>1</v>
      </c>
      <c r="O113">
        <f t="shared" si="140"/>
        <v>1</v>
      </c>
      <c r="P113">
        <f>IF(P112&lt;=$I$114,1,0)</f>
        <v>0</v>
      </c>
    </row>
    <row r="114" spans="1:45">
      <c r="A114" s="40"/>
      <c r="G114" s="38"/>
      <c r="H114" s="38" t="s">
        <v>82</v>
      </c>
      <c r="I114" s="38">
        <f>I113*I115</f>
        <v>5</v>
      </c>
      <c r="J114" s="39" t="s">
        <v>86</v>
      </c>
      <c r="K114">
        <f>G113</f>
        <v>9000</v>
      </c>
      <c r="L114">
        <f>K116</f>
        <v>7200</v>
      </c>
      <c r="M114">
        <f t="shared" ref="M114:P114" si="141">L116</f>
        <v>5760</v>
      </c>
      <c r="N114">
        <f t="shared" si="141"/>
        <v>4608</v>
      </c>
      <c r="O114">
        <f t="shared" si="141"/>
        <v>3686.4</v>
      </c>
      <c r="P114">
        <f t="shared" si="141"/>
        <v>0</v>
      </c>
    </row>
    <row r="115" spans="1:45">
      <c r="A115" s="40"/>
      <c r="G115" s="38" t="s">
        <v>152</v>
      </c>
      <c r="H115" s="38" t="s">
        <v>145</v>
      </c>
      <c r="I115" s="38">
        <f>VLOOKUP(H115,A280:B283,2,FALSE)</f>
        <v>1</v>
      </c>
      <c r="J115" s="39" t="s">
        <v>87</v>
      </c>
      <c r="K115" s="40">
        <f>IF(K112=$I$114,K114,K114*$J$111)*K113</f>
        <v>1800</v>
      </c>
      <c r="L115" s="40">
        <f>IF(L112=$I$114,L114,L114*$J$111)*L113</f>
        <v>1440</v>
      </c>
      <c r="M115" s="40">
        <f t="shared" ref="M115:P115" si="142">IF(M112=$I$114,M114,M114*$J$111)*M113</f>
        <v>1152</v>
      </c>
      <c r="N115" s="40">
        <f t="shared" si="142"/>
        <v>921.6</v>
      </c>
      <c r="O115" s="40">
        <f t="shared" si="142"/>
        <v>3686.4</v>
      </c>
      <c r="P115" s="40">
        <f t="shared" si="142"/>
        <v>0</v>
      </c>
    </row>
    <row r="116" spans="1:45">
      <c r="A116" s="40"/>
      <c r="J116" s="41" t="s">
        <v>88</v>
      </c>
      <c r="K116">
        <f>K114-K115</f>
        <v>7200</v>
      </c>
      <c r="L116">
        <f>L114-L115</f>
        <v>5760</v>
      </c>
      <c r="M116">
        <f t="shared" ref="M116:P116" si="143">M114-M115</f>
        <v>4608</v>
      </c>
      <c r="N116">
        <f t="shared" si="143"/>
        <v>3686.4</v>
      </c>
      <c r="O116">
        <f t="shared" si="143"/>
        <v>0</v>
      </c>
      <c r="P116">
        <f t="shared" si="143"/>
        <v>0</v>
      </c>
    </row>
    <row r="117" spans="1:45">
      <c r="A117" s="40"/>
    </row>
    <row r="118" spans="1:45">
      <c r="A118" s="246" t="s">
        <v>201</v>
      </c>
      <c r="C118" t="s">
        <v>78</v>
      </c>
      <c r="D118" s="6">
        <f>(1-D119)/D121</f>
        <v>0.33333333333333331</v>
      </c>
      <c r="F118">
        <v>2500</v>
      </c>
      <c r="G118">
        <v>2500</v>
      </c>
      <c r="H118">
        <v>2500</v>
      </c>
      <c r="I118">
        <v>2500</v>
      </c>
      <c r="J118">
        <v>2500</v>
      </c>
      <c r="K118">
        <v>2500</v>
      </c>
      <c r="L118">
        <v>2500</v>
      </c>
      <c r="M118">
        <v>2500</v>
      </c>
      <c r="N118">
        <v>2500</v>
      </c>
      <c r="O118">
        <v>2500</v>
      </c>
    </row>
    <row r="119" spans="1:45">
      <c r="A119" s="40" t="s">
        <v>79</v>
      </c>
      <c r="B119" s="40" t="s">
        <v>91</v>
      </c>
      <c r="C119" s="40" t="s">
        <v>81</v>
      </c>
      <c r="D119" s="40">
        <v>0</v>
      </c>
      <c r="E119" s="40" t="s">
        <v>84</v>
      </c>
      <c r="F119" s="40">
        <v>1</v>
      </c>
      <c r="G119" s="43">
        <v>2</v>
      </c>
      <c r="H119" s="40">
        <v>3</v>
      </c>
      <c r="I119" s="43">
        <v>4</v>
      </c>
      <c r="J119" s="40">
        <v>5</v>
      </c>
      <c r="K119" s="43">
        <v>6</v>
      </c>
      <c r="L119" s="40">
        <v>7</v>
      </c>
      <c r="M119" s="43">
        <v>8</v>
      </c>
      <c r="N119" s="40">
        <v>9</v>
      </c>
      <c r="O119" s="43">
        <v>10</v>
      </c>
      <c r="P119" s="40">
        <v>11</v>
      </c>
      <c r="Q119" s="43">
        <v>12</v>
      </c>
      <c r="R119" s="40">
        <v>13</v>
      </c>
      <c r="S119" s="43">
        <v>14</v>
      </c>
      <c r="T119" s="40">
        <v>15</v>
      </c>
      <c r="U119" s="43">
        <v>16</v>
      </c>
      <c r="V119" s="40">
        <v>17</v>
      </c>
      <c r="W119" s="40">
        <v>18</v>
      </c>
      <c r="X119" s="43">
        <v>19</v>
      </c>
      <c r="Y119" s="40">
        <v>20</v>
      </c>
      <c r="Z119" s="43">
        <v>21</v>
      </c>
      <c r="AA119" s="40">
        <v>22</v>
      </c>
      <c r="AB119" s="43">
        <v>23</v>
      </c>
      <c r="AC119" s="40">
        <v>24</v>
      </c>
      <c r="AD119" s="43">
        <v>25</v>
      </c>
      <c r="AE119" s="40">
        <v>26</v>
      </c>
      <c r="AF119" s="40">
        <v>27</v>
      </c>
      <c r="AG119" s="43">
        <v>28</v>
      </c>
      <c r="AH119" s="40">
        <v>29</v>
      </c>
      <c r="AI119" s="43">
        <v>30</v>
      </c>
      <c r="AJ119" s="40">
        <v>31</v>
      </c>
      <c r="AK119" s="40">
        <v>32</v>
      </c>
      <c r="AL119" s="43">
        <v>33</v>
      </c>
      <c r="AM119" s="40">
        <v>34</v>
      </c>
      <c r="AN119" s="43">
        <v>35</v>
      </c>
      <c r="AO119" s="40">
        <v>36</v>
      </c>
      <c r="AP119" s="43">
        <v>37</v>
      </c>
      <c r="AQ119" s="40">
        <v>38</v>
      </c>
      <c r="AR119" s="43">
        <v>39</v>
      </c>
      <c r="AS119" s="40">
        <v>40</v>
      </c>
    </row>
    <row r="120" spans="1:45">
      <c r="A120" s="43" t="s">
        <v>85</v>
      </c>
      <c r="B120" s="40">
        <v>90000</v>
      </c>
      <c r="C120" s="40" t="s">
        <v>80</v>
      </c>
      <c r="D120" s="40">
        <v>3</v>
      </c>
      <c r="E120" s="40" t="s">
        <v>83</v>
      </c>
      <c r="F120" s="40">
        <f t="shared" ref="F120:O120" si="144">IF(F119&lt;=$D$121,1,0)</f>
        <v>1</v>
      </c>
      <c r="G120" s="40">
        <f t="shared" si="144"/>
        <v>1</v>
      </c>
      <c r="H120" s="40">
        <f t="shared" si="144"/>
        <v>1</v>
      </c>
      <c r="I120" s="40">
        <f t="shared" si="144"/>
        <v>0</v>
      </c>
      <c r="J120" s="40">
        <f t="shared" si="144"/>
        <v>0</v>
      </c>
      <c r="K120" s="40">
        <f t="shared" si="144"/>
        <v>0</v>
      </c>
      <c r="L120" s="40">
        <f t="shared" si="144"/>
        <v>0</v>
      </c>
      <c r="M120" s="40">
        <f t="shared" si="144"/>
        <v>0</v>
      </c>
      <c r="N120" s="40">
        <f t="shared" si="144"/>
        <v>0</v>
      </c>
      <c r="O120" s="40">
        <f t="shared" si="144"/>
        <v>0</v>
      </c>
      <c r="P120" s="40">
        <f t="shared" ref="P120:X120" si="145">IF(P119&lt;=$D$121,1,0)</f>
        <v>0</v>
      </c>
      <c r="Q120" s="40">
        <f t="shared" si="145"/>
        <v>0</v>
      </c>
      <c r="R120" s="40">
        <f t="shared" si="145"/>
        <v>0</v>
      </c>
      <c r="S120" s="40">
        <f t="shared" si="145"/>
        <v>0</v>
      </c>
      <c r="T120" s="40">
        <f t="shared" si="145"/>
        <v>0</v>
      </c>
      <c r="U120" s="40">
        <f t="shared" si="145"/>
        <v>0</v>
      </c>
      <c r="V120" s="40">
        <f t="shared" si="145"/>
        <v>0</v>
      </c>
      <c r="W120" s="40">
        <f t="shared" si="145"/>
        <v>0</v>
      </c>
      <c r="X120" s="40">
        <f t="shared" si="145"/>
        <v>0</v>
      </c>
      <c r="Y120" s="40">
        <f t="shared" ref="Y120" si="146">IF(Y119&lt;=$D$121,1,0)</f>
        <v>0</v>
      </c>
      <c r="Z120" s="40">
        <f t="shared" ref="Z120" si="147">IF(Z119&lt;=$D$121,1,0)</f>
        <v>0</v>
      </c>
      <c r="AA120" s="40">
        <f t="shared" ref="AA120" si="148">IF(AA119&lt;=$D$121,1,0)</f>
        <v>0</v>
      </c>
      <c r="AB120" s="40">
        <f t="shared" ref="AB120" si="149">IF(AB119&lt;=$D$121,1,0)</f>
        <v>0</v>
      </c>
      <c r="AC120" s="40">
        <f t="shared" ref="AC120" si="150">IF(AC119&lt;=$D$121,1,0)</f>
        <v>0</v>
      </c>
      <c r="AD120" s="40">
        <f t="shared" ref="AD120" si="151">IF(AD119&lt;=$D$121,1,0)</f>
        <v>0</v>
      </c>
      <c r="AE120" s="40">
        <f t="shared" ref="AE120:AG120" si="152">IF(AE119&lt;=$D$121,1,0)</f>
        <v>0</v>
      </c>
      <c r="AF120" s="40">
        <f t="shared" si="152"/>
        <v>0</v>
      </c>
      <c r="AG120" s="40">
        <f t="shared" si="152"/>
        <v>0</v>
      </c>
      <c r="AH120" s="40">
        <f t="shared" ref="AH120" si="153">IF(AH119&lt;=$D$121,1,0)</f>
        <v>0</v>
      </c>
      <c r="AI120" s="40">
        <f t="shared" ref="AI120" si="154">IF(AI119&lt;=$D$121,1,0)</f>
        <v>0</v>
      </c>
      <c r="AJ120" s="40">
        <f t="shared" ref="AJ120" si="155">IF(AJ119&lt;=$D$121,1,0)</f>
        <v>0</v>
      </c>
      <c r="AK120" s="40">
        <f>IF(AK119&lt;=$D$121,1,0)</f>
        <v>0</v>
      </c>
      <c r="AL120" s="40">
        <f>IF(AL119&lt;=$D$121,1,0)</f>
        <v>0</v>
      </c>
      <c r="AM120" s="40">
        <f t="shared" ref="AM120" si="156">IF(AM119&lt;=$D$121,1,0)</f>
        <v>0</v>
      </c>
      <c r="AN120" s="40">
        <f t="shared" ref="AN120" si="157">IF(AN119&lt;=$D$121,1,0)</f>
        <v>0</v>
      </c>
      <c r="AO120" s="40">
        <f t="shared" ref="AO120" si="158">IF(AO119&lt;=$D$121,1,0)</f>
        <v>0</v>
      </c>
      <c r="AP120" s="40">
        <f t="shared" ref="AP120" si="159">IF(AP119&lt;=$D$121,1,0)</f>
        <v>0</v>
      </c>
      <c r="AQ120" s="40">
        <f t="shared" ref="AQ120" si="160">IF(AQ119&lt;=$D$121,1,0)</f>
        <v>0</v>
      </c>
      <c r="AR120" s="40">
        <f t="shared" ref="AR120" si="161">IF(AR119&lt;=$D$121,1,0)</f>
        <v>0</v>
      </c>
      <c r="AS120" s="40">
        <f t="shared" ref="AS120" si="162">IF(AS119&lt;=$D$121,1,0)</f>
        <v>0</v>
      </c>
    </row>
    <row r="121" spans="1:45">
      <c r="A121" s="40"/>
      <c r="C121" s="40" t="s">
        <v>82</v>
      </c>
      <c r="D121" s="40">
        <f>D120*D122</f>
        <v>3</v>
      </c>
      <c r="E121" s="40" t="s">
        <v>86</v>
      </c>
      <c r="F121" s="40">
        <f>B120</f>
        <v>90000</v>
      </c>
      <c r="G121" s="40">
        <f t="shared" ref="G121:O121" si="163">F123</f>
        <v>60000</v>
      </c>
      <c r="H121" s="40">
        <f t="shared" si="163"/>
        <v>30000</v>
      </c>
      <c r="I121" s="40">
        <f t="shared" si="163"/>
        <v>0</v>
      </c>
      <c r="J121" s="40">
        <f t="shared" si="163"/>
        <v>0</v>
      </c>
      <c r="K121" s="40">
        <f t="shared" si="163"/>
        <v>0</v>
      </c>
      <c r="L121" s="40">
        <f t="shared" si="163"/>
        <v>0</v>
      </c>
      <c r="M121" s="40">
        <f t="shared" si="163"/>
        <v>0</v>
      </c>
      <c r="N121" s="40">
        <f t="shared" si="163"/>
        <v>0</v>
      </c>
      <c r="O121" s="40">
        <f t="shared" si="163"/>
        <v>0</v>
      </c>
      <c r="P121" s="40">
        <f t="shared" ref="P121:X121" si="164">O123</f>
        <v>0</v>
      </c>
      <c r="Q121" s="40">
        <f t="shared" si="164"/>
        <v>0</v>
      </c>
      <c r="R121" s="40">
        <f t="shared" si="164"/>
        <v>0</v>
      </c>
      <c r="S121" s="40">
        <f t="shared" si="164"/>
        <v>0</v>
      </c>
      <c r="T121" s="40">
        <f t="shared" si="164"/>
        <v>0</v>
      </c>
      <c r="U121" s="40">
        <f t="shared" si="164"/>
        <v>0</v>
      </c>
      <c r="V121" s="40">
        <f t="shared" si="164"/>
        <v>0</v>
      </c>
      <c r="W121" s="40">
        <f t="shared" si="164"/>
        <v>0</v>
      </c>
      <c r="X121" s="40">
        <f t="shared" si="164"/>
        <v>0</v>
      </c>
      <c r="Y121" s="40">
        <f t="shared" ref="Y121:AJ121" si="165">X123</f>
        <v>0</v>
      </c>
      <c r="Z121" s="40">
        <f t="shared" si="165"/>
        <v>0</v>
      </c>
      <c r="AA121" s="40">
        <f t="shared" si="165"/>
        <v>0</v>
      </c>
      <c r="AB121" s="40">
        <f t="shared" si="165"/>
        <v>0</v>
      </c>
      <c r="AC121" s="40">
        <f t="shared" si="165"/>
        <v>0</v>
      </c>
      <c r="AD121" s="40">
        <f t="shared" si="165"/>
        <v>0</v>
      </c>
      <c r="AE121" s="40">
        <f t="shared" si="165"/>
        <v>0</v>
      </c>
      <c r="AF121" s="40">
        <f t="shared" si="165"/>
        <v>0</v>
      </c>
      <c r="AG121" s="40">
        <f t="shared" si="165"/>
        <v>0</v>
      </c>
      <c r="AH121" s="40">
        <f t="shared" si="165"/>
        <v>0</v>
      </c>
      <c r="AI121" s="40">
        <f t="shared" si="165"/>
        <v>0</v>
      </c>
      <c r="AJ121" s="40">
        <f t="shared" si="165"/>
        <v>0</v>
      </c>
      <c r="AK121" s="40">
        <f>AJ123</f>
        <v>0</v>
      </c>
      <c r="AL121" s="40">
        <f>AK123</f>
        <v>0</v>
      </c>
      <c r="AM121" s="40">
        <f t="shared" ref="AM121:AS121" si="166">AL123</f>
        <v>0</v>
      </c>
      <c r="AN121" s="40">
        <f t="shared" si="166"/>
        <v>0</v>
      </c>
      <c r="AO121" s="40">
        <f t="shared" si="166"/>
        <v>0</v>
      </c>
      <c r="AP121" s="40">
        <f t="shared" si="166"/>
        <v>0</v>
      </c>
      <c r="AQ121" s="40">
        <f t="shared" si="166"/>
        <v>0</v>
      </c>
      <c r="AR121" s="40">
        <f t="shared" si="166"/>
        <v>0</v>
      </c>
      <c r="AS121" s="40">
        <f t="shared" si="166"/>
        <v>0</v>
      </c>
    </row>
    <row r="122" spans="1:45">
      <c r="A122" s="40"/>
      <c r="C122" s="40" t="s">
        <v>145</v>
      </c>
      <c r="D122" s="40">
        <f>VLOOKUP(C122,A280:B283,2,FALSE)</f>
        <v>1</v>
      </c>
      <c r="E122" s="40" t="s">
        <v>87</v>
      </c>
      <c r="F122" s="40">
        <f t="shared" ref="F122:O122" si="167">$F$121*$D$118*F120</f>
        <v>30000</v>
      </c>
      <c r="G122" s="40">
        <f t="shared" si="167"/>
        <v>30000</v>
      </c>
      <c r="H122" s="40">
        <f t="shared" si="167"/>
        <v>30000</v>
      </c>
      <c r="I122" s="40">
        <f t="shared" si="167"/>
        <v>0</v>
      </c>
      <c r="J122" s="40">
        <f t="shared" si="167"/>
        <v>0</v>
      </c>
      <c r="K122" s="40">
        <f t="shared" si="167"/>
        <v>0</v>
      </c>
      <c r="L122" s="40">
        <f t="shared" si="167"/>
        <v>0</v>
      </c>
      <c r="M122" s="40">
        <f t="shared" si="167"/>
        <v>0</v>
      </c>
      <c r="N122" s="40">
        <f t="shared" si="167"/>
        <v>0</v>
      </c>
      <c r="O122" s="40">
        <f t="shared" si="167"/>
        <v>0</v>
      </c>
      <c r="P122" s="40">
        <f t="shared" ref="P122:X122" si="168">$F$121*$D$118*P120</f>
        <v>0</v>
      </c>
      <c r="Q122" s="40">
        <f t="shared" si="168"/>
        <v>0</v>
      </c>
      <c r="R122" s="40">
        <f t="shared" si="168"/>
        <v>0</v>
      </c>
      <c r="S122" s="40">
        <f t="shared" si="168"/>
        <v>0</v>
      </c>
      <c r="T122" s="40">
        <f t="shared" si="168"/>
        <v>0</v>
      </c>
      <c r="U122" s="40">
        <f t="shared" si="168"/>
        <v>0</v>
      </c>
      <c r="V122" s="40">
        <f t="shared" si="168"/>
        <v>0</v>
      </c>
      <c r="W122" s="40">
        <f t="shared" si="168"/>
        <v>0</v>
      </c>
      <c r="X122" s="40">
        <f t="shared" si="168"/>
        <v>0</v>
      </c>
      <c r="Y122" s="40">
        <f t="shared" ref="Y122:AJ122" si="169">$F$121*$D$118*Y120</f>
        <v>0</v>
      </c>
      <c r="Z122" s="40">
        <f t="shared" si="169"/>
        <v>0</v>
      </c>
      <c r="AA122" s="40">
        <f t="shared" si="169"/>
        <v>0</v>
      </c>
      <c r="AB122" s="40">
        <f t="shared" si="169"/>
        <v>0</v>
      </c>
      <c r="AC122" s="40">
        <f t="shared" si="169"/>
        <v>0</v>
      </c>
      <c r="AD122" s="40">
        <f t="shared" si="169"/>
        <v>0</v>
      </c>
      <c r="AE122" s="40">
        <f t="shared" si="169"/>
        <v>0</v>
      </c>
      <c r="AF122" s="40">
        <f t="shared" si="169"/>
        <v>0</v>
      </c>
      <c r="AG122" s="40">
        <f t="shared" si="169"/>
        <v>0</v>
      </c>
      <c r="AH122" s="40">
        <f t="shared" si="169"/>
        <v>0</v>
      </c>
      <c r="AI122" s="40">
        <f t="shared" si="169"/>
        <v>0</v>
      </c>
      <c r="AJ122" s="40">
        <f t="shared" si="169"/>
        <v>0</v>
      </c>
      <c r="AK122" s="40">
        <f>$F$121*$D$118*AK120</f>
        <v>0</v>
      </c>
      <c r="AL122" s="40">
        <f>$F$121*$D$118*AL120</f>
        <v>0</v>
      </c>
      <c r="AM122" s="40">
        <f t="shared" ref="AM122:AS122" si="170">$F$121*$D$118*AM120</f>
        <v>0</v>
      </c>
      <c r="AN122" s="40">
        <f t="shared" si="170"/>
        <v>0</v>
      </c>
      <c r="AO122" s="40">
        <f t="shared" si="170"/>
        <v>0</v>
      </c>
      <c r="AP122" s="40">
        <f t="shared" si="170"/>
        <v>0</v>
      </c>
      <c r="AQ122" s="40">
        <f t="shared" si="170"/>
        <v>0</v>
      </c>
      <c r="AR122" s="40">
        <f t="shared" si="170"/>
        <v>0</v>
      </c>
      <c r="AS122" s="40">
        <f t="shared" si="170"/>
        <v>0</v>
      </c>
    </row>
    <row r="123" spans="1:45">
      <c r="A123" s="43"/>
      <c r="B123" s="1"/>
      <c r="C123" s="40"/>
      <c r="D123" s="40"/>
      <c r="E123" s="40" t="s">
        <v>88</v>
      </c>
      <c r="F123" s="40">
        <f t="shared" ref="F123:O123" si="171">F121-F122</f>
        <v>60000</v>
      </c>
      <c r="G123" s="40">
        <f t="shared" si="171"/>
        <v>30000</v>
      </c>
      <c r="H123" s="40">
        <f t="shared" si="171"/>
        <v>0</v>
      </c>
      <c r="I123" s="40">
        <f t="shared" si="171"/>
        <v>0</v>
      </c>
      <c r="J123" s="40">
        <f t="shared" si="171"/>
        <v>0</v>
      </c>
      <c r="K123" s="40">
        <f t="shared" si="171"/>
        <v>0</v>
      </c>
      <c r="L123" s="40">
        <f t="shared" si="171"/>
        <v>0</v>
      </c>
      <c r="M123" s="40">
        <f t="shared" si="171"/>
        <v>0</v>
      </c>
      <c r="N123" s="40">
        <f t="shared" si="171"/>
        <v>0</v>
      </c>
      <c r="O123" s="40">
        <f t="shared" si="171"/>
        <v>0</v>
      </c>
      <c r="P123" s="40">
        <f t="shared" ref="P123:X123" si="172">P121-P122</f>
        <v>0</v>
      </c>
      <c r="Q123" s="40">
        <f t="shared" si="172"/>
        <v>0</v>
      </c>
      <c r="R123" s="40">
        <f t="shared" si="172"/>
        <v>0</v>
      </c>
      <c r="S123" s="40">
        <f t="shared" si="172"/>
        <v>0</v>
      </c>
      <c r="T123" s="40">
        <f t="shared" si="172"/>
        <v>0</v>
      </c>
      <c r="U123" s="40">
        <f t="shared" si="172"/>
        <v>0</v>
      </c>
      <c r="V123" s="40">
        <f t="shared" si="172"/>
        <v>0</v>
      </c>
      <c r="W123" s="40">
        <f t="shared" si="172"/>
        <v>0</v>
      </c>
      <c r="X123" s="40">
        <f t="shared" si="172"/>
        <v>0</v>
      </c>
      <c r="Y123" s="40">
        <f t="shared" ref="Y123" si="173">Y121-Y122</f>
        <v>0</v>
      </c>
      <c r="Z123" s="40">
        <f t="shared" ref="Z123" si="174">Z121-Z122</f>
        <v>0</v>
      </c>
      <c r="AA123" s="40">
        <f t="shared" ref="AA123" si="175">AA121-AA122</f>
        <v>0</v>
      </c>
      <c r="AB123" s="40">
        <f t="shared" ref="AB123" si="176">AB121-AB122</f>
        <v>0</v>
      </c>
      <c r="AC123" s="40">
        <f t="shared" ref="AC123" si="177">AC121-AC122</f>
        <v>0</v>
      </c>
      <c r="AD123" s="40">
        <f t="shared" ref="AD123" si="178">AD121-AD122</f>
        <v>0</v>
      </c>
      <c r="AE123" s="40">
        <f t="shared" ref="AE123:AG123" si="179">AE121-AE122</f>
        <v>0</v>
      </c>
      <c r="AF123" s="40">
        <f t="shared" si="179"/>
        <v>0</v>
      </c>
      <c r="AG123" s="40">
        <f t="shared" si="179"/>
        <v>0</v>
      </c>
      <c r="AH123" s="40">
        <f t="shared" ref="AH123" si="180">AH121-AH122</f>
        <v>0</v>
      </c>
      <c r="AI123" s="40">
        <f t="shared" ref="AI123" si="181">AI121-AI122</f>
        <v>0</v>
      </c>
      <c r="AJ123" s="40">
        <f t="shared" ref="AJ123" si="182">AJ121-AJ122</f>
        <v>0</v>
      </c>
      <c r="AK123" s="40">
        <f>AK121-AK122</f>
        <v>0</v>
      </c>
      <c r="AL123" s="40">
        <f>AL121-AL122</f>
        <v>0</v>
      </c>
      <c r="AM123" s="40">
        <f t="shared" ref="AM123" si="183">AM121-AM122</f>
        <v>0</v>
      </c>
      <c r="AN123" s="40">
        <f t="shared" ref="AN123" si="184">AN121-AN122</f>
        <v>0</v>
      </c>
      <c r="AO123" s="40">
        <f t="shared" ref="AO123" si="185">AO121-AO122</f>
        <v>0</v>
      </c>
      <c r="AP123" s="40">
        <f t="shared" ref="AP123" si="186">AP121-AP122</f>
        <v>0</v>
      </c>
      <c r="AQ123" s="40">
        <f t="shared" ref="AQ123" si="187">AQ121-AQ122</f>
        <v>0</v>
      </c>
      <c r="AR123" s="40">
        <f t="shared" ref="AR123" si="188">AR121-AR122</f>
        <v>0</v>
      </c>
      <c r="AS123" s="40">
        <f t="shared" ref="AS123" si="189">AS121-AS122</f>
        <v>0</v>
      </c>
    </row>
    <row r="124" spans="1:45">
      <c r="A124" s="43" t="s">
        <v>163</v>
      </c>
      <c r="B124" s="1" t="s">
        <v>91</v>
      </c>
      <c r="C124" t="s">
        <v>78</v>
      </c>
      <c r="D124" s="6">
        <f>(1-D125)/D127</f>
        <v>0.2</v>
      </c>
    </row>
    <row r="125" spans="1:45">
      <c r="A125" s="43" t="s">
        <v>85</v>
      </c>
      <c r="B125" s="1">
        <f>114720</f>
        <v>114720</v>
      </c>
      <c r="C125" s="40" t="s">
        <v>81</v>
      </c>
      <c r="D125" s="40">
        <v>0</v>
      </c>
      <c r="E125" s="40" t="s">
        <v>84</v>
      </c>
      <c r="F125" s="40"/>
      <c r="G125" s="43"/>
      <c r="H125" s="40"/>
      <c r="I125" s="43">
        <v>1</v>
      </c>
      <c r="J125" s="40">
        <v>2</v>
      </c>
      <c r="K125" s="40">
        <v>3</v>
      </c>
      <c r="L125" s="40">
        <v>4</v>
      </c>
      <c r="M125" s="40">
        <v>5</v>
      </c>
      <c r="N125" s="40">
        <v>6</v>
      </c>
    </row>
    <row r="126" spans="1:45">
      <c r="A126" s="43"/>
      <c r="B126" s="1"/>
      <c r="C126" s="40" t="s">
        <v>80</v>
      </c>
      <c r="D126" s="40">
        <v>5</v>
      </c>
      <c r="E126" s="40" t="s">
        <v>83</v>
      </c>
      <c r="F126" s="40"/>
      <c r="G126" s="40"/>
      <c r="H126" s="40"/>
      <c r="I126" s="40">
        <f>IF(I125&lt;=$D$127,1,0)</f>
        <v>1</v>
      </c>
      <c r="J126" s="40">
        <f>IF(J125&lt;=$D$121,1,0)</f>
        <v>1</v>
      </c>
      <c r="K126" s="40">
        <f>IF(K125&lt;=$D$121,1,0)</f>
        <v>1</v>
      </c>
      <c r="L126" s="40">
        <f>IF(L125&lt;=$D$127,1,0)</f>
        <v>1</v>
      </c>
      <c r="M126" s="40">
        <f>IF(M125&lt;=$D$127,1,0)</f>
        <v>1</v>
      </c>
      <c r="N126" s="40">
        <f>IF(N125&lt;=$D$127,1,0)</f>
        <v>0</v>
      </c>
    </row>
    <row r="127" spans="1:45">
      <c r="A127" s="43"/>
      <c r="B127" s="1"/>
      <c r="C127" s="40" t="s">
        <v>82</v>
      </c>
      <c r="D127" s="40">
        <f>D126*D128</f>
        <v>5</v>
      </c>
      <c r="E127" s="40" t="s">
        <v>86</v>
      </c>
      <c r="F127" s="40"/>
      <c r="G127" s="40"/>
      <c r="H127" s="40"/>
      <c r="I127" s="40">
        <f>B125</f>
        <v>114720</v>
      </c>
      <c r="J127" s="40">
        <f t="shared" ref="J127" si="190">I129</f>
        <v>91776</v>
      </c>
      <c r="K127" s="40">
        <f t="shared" ref="K127" si="191">J129</f>
        <v>68832</v>
      </c>
      <c r="L127" s="40">
        <f t="shared" ref="L127" si="192">K129</f>
        <v>45888</v>
      </c>
      <c r="M127" s="40">
        <f>L129</f>
        <v>22944</v>
      </c>
      <c r="N127" s="40">
        <f t="shared" ref="N127" si="193">M129</f>
        <v>0</v>
      </c>
    </row>
    <row r="128" spans="1:45">
      <c r="A128" s="43"/>
      <c r="B128" s="1"/>
      <c r="C128" s="40" t="s">
        <v>145</v>
      </c>
      <c r="D128" s="40">
        <f>VLOOKUP(C128,A280:B283,2,FALSE)</f>
        <v>1</v>
      </c>
      <c r="E128" s="40" t="s">
        <v>87</v>
      </c>
      <c r="F128" s="40"/>
      <c r="G128" s="40"/>
      <c r="H128" s="40"/>
      <c r="I128" s="40">
        <f t="shared" ref="I128:N128" si="194">$I$127*$D$124*I126</f>
        <v>22944</v>
      </c>
      <c r="J128" s="40">
        <f t="shared" si="194"/>
        <v>22944</v>
      </c>
      <c r="K128" s="40">
        <f t="shared" si="194"/>
        <v>22944</v>
      </c>
      <c r="L128" s="40">
        <f t="shared" si="194"/>
        <v>22944</v>
      </c>
      <c r="M128" s="40">
        <f t="shared" si="194"/>
        <v>22944</v>
      </c>
      <c r="N128" s="40">
        <f t="shared" si="194"/>
        <v>0</v>
      </c>
    </row>
    <row r="129" spans="1:22">
      <c r="A129" s="40"/>
      <c r="B129" s="1"/>
      <c r="C129" s="40"/>
      <c r="D129" s="40"/>
      <c r="E129" s="40" t="s">
        <v>88</v>
      </c>
      <c r="F129" s="40"/>
      <c r="G129" s="40"/>
      <c r="H129" s="40"/>
      <c r="I129" s="40">
        <f t="shared" ref="I129:N129" si="195">I127-I128</f>
        <v>91776</v>
      </c>
      <c r="J129" s="40">
        <f t="shared" si="195"/>
        <v>68832</v>
      </c>
      <c r="K129" s="40">
        <f t="shared" si="195"/>
        <v>45888</v>
      </c>
      <c r="L129" s="40">
        <f t="shared" si="195"/>
        <v>22944</v>
      </c>
      <c r="M129" s="40">
        <f t="shared" si="195"/>
        <v>0</v>
      </c>
      <c r="N129" s="40">
        <f t="shared" si="195"/>
        <v>0</v>
      </c>
    </row>
    <row r="130" spans="1:22">
      <c r="A130" s="43" t="s">
        <v>213</v>
      </c>
      <c r="B130" s="1" t="s">
        <v>91</v>
      </c>
      <c r="C130" t="s">
        <v>78</v>
      </c>
      <c r="D130" s="6">
        <f>(1-D131)/D133</f>
        <v>0.2</v>
      </c>
    </row>
    <row r="131" spans="1:22">
      <c r="A131" s="40" t="s">
        <v>85</v>
      </c>
      <c r="B131" s="1">
        <f>AB97</f>
        <v>15000</v>
      </c>
      <c r="C131" s="40" t="s">
        <v>81</v>
      </c>
      <c r="D131" s="40">
        <v>0</v>
      </c>
      <c r="E131" s="40" t="s">
        <v>84</v>
      </c>
      <c r="N131">
        <v>1</v>
      </c>
      <c r="O131">
        <v>2</v>
      </c>
      <c r="P131">
        <v>3</v>
      </c>
      <c r="Q131">
        <v>4</v>
      </c>
      <c r="R131">
        <v>5</v>
      </c>
      <c r="S131">
        <v>6</v>
      </c>
      <c r="T131">
        <v>7</v>
      </c>
    </row>
    <row r="132" spans="1:22">
      <c r="A132" s="40"/>
      <c r="B132" s="1"/>
      <c r="C132" s="40" t="s">
        <v>80</v>
      </c>
      <c r="D132" s="40">
        <v>5</v>
      </c>
      <c r="E132" s="40" t="s">
        <v>83</v>
      </c>
      <c r="N132" s="40">
        <f>IF(N131&lt;=$D$133,1,0)</f>
        <v>1</v>
      </c>
      <c r="O132" s="40">
        <f t="shared" ref="O132:S132" si="196">IF(O131&lt;=$D$133,1,0)</f>
        <v>1</v>
      </c>
      <c r="P132" s="40">
        <f t="shared" si="196"/>
        <v>1</v>
      </c>
      <c r="Q132" s="40">
        <f t="shared" si="196"/>
        <v>1</v>
      </c>
      <c r="R132" s="40">
        <f t="shared" si="196"/>
        <v>1</v>
      </c>
      <c r="S132" s="40">
        <f t="shared" si="196"/>
        <v>0</v>
      </c>
    </row>
    <row r="133" spans="1:22">
      <c r="A133" s="40"/>
      <c r="B133" s="1"/>
      <c r="C133" s="40" t="s">
        <v>82</v>
      </c>
      <c r="D133" s="40">
        <f>D132*D134</f>
        <v>5</v>
      </c>
      <c r="E133" s="40" t="s">
        <v>86</v>
      </c>
      <c r="N133">
        <f>B131</f>
        <v>15000</v>
      </c>
      <c r="O133">
        <f>N135</f>
        <v>12000</v>
      </c>
      <c r="P133">
        <f t="shared" ref="P133:S133" si="197">O135</f>
        <v>9000</v>
      </c>
      <c r="Q133">
        <f t="shared" si="197"/>
        <v>6000</v>
      </c>
      <c r="R133">
        <f t="shared" si="197"/>
        <v>3000</v>
      </c>
      <c r="S133">
        <f t="shared" si="197"/>
        <v>0</v>
      </c>
    </row>
    <row r="134" spans="1:22">
      <c r="A134" s="40"/>
      <c r="B134" s="1"/>
      <c r="C134" s="40" t="s">
        <v>145</v>
      </c>
      <c r="D134" s="40">
        <f>VLOOKUP(C134,A280:B283,2,FALSE)</f>
        <v>1</v>
      </c>
      <c r="E134" s="40" t="s">
        <v>87</v>
      </c>
      <c r="N134" s="40">
        <f>$N$133*$D$130*N132</f>
        <v>3000</v>
      </c>
      <c r="O134" s="40">
        <f>$N$133*$D$130*O132</f>
        <v>3000</v>
      </c>
      <c r="P134" s="40">
        <f t="shared" ref="P134:S134" si="198">$N$133*$D$130*P132</f>
        <v>3000</v>
      </c>
      <c r="Q134" s="40">
        <f t="shared" si="198"/>
        <v>3000</v>
      </c>
      <c r="R134" s="40">
        <f t="shared" si="198"/>
        <v>3000</v>
      </c>
      <c r="S134" s="40">
        <f t="shared" si="198"/>
        <v>0</v>
      </c>
    </row>
    <row r="135" spans="1:22">
      <c r="A135" s="40"/>
      <c r="E135" s="40" t="s">
        <v>88</v>
      </c>
      <c r="N135">
        <f>N133-N134</f>
        <v>12000</v>
      </c>
      <c r="O135">
        <f t="shared" ref="O135" si="199">O133-O134</f>
        <v>9000</v>
      </c>
      <c r="P135">
        <f t="shared" ref="P135" si="200">P133-P134</f>
        <v>6000</v>
      </c>
      <c r="Q135">
        <f t="shared" ref="Q135" si="201">Q133-Q134</f>
        <v>3000</v>
      </c>
      <c r="R135">
        <f t="shared" ref="R135" si="202">R133-R134</f>
        <v>0</v>
      </c>
      <c r="S135">
        <f t="shared" ref="S135" si="203">S133-S134</f>
        <v>0</v>
      </c>
    </row>
    <row r="136" spans="1:22" ht="29">
      <c r="A136" s="43" t="s">
        <v>216</v>
      </c>
      <c r="B136" s="1" t="s">
        <v>91</v>
      </c>
      <c r="C136" t="s">
        <v>78</v>
      </c>
      <c r="D136" s="6">
        <f>(1-D137)/D139</f>
        <v>0.14285714285714285</v>
      </c>
      <c r="E136" s="40"/>
    </row>
    <row r="137" spans="1:22">
      <c r="A137" s="40" t="s">
        <v>85</v>
      </c>
      <c r="B137" s="1">
        <v>14000</v>
      </c>
      <c r="C137" s="40" t="s">
        <v>81</v>
      </c>
      <c r="D137" s="40">
        <v>0</v>
      </c>
      <c r="E137" s="40" t="s">
        <v>84</v>
      </c>
      <c r="F137" s="40">
        <v>1</v>
      </c>
      <c r="G137">
        <v>2</v>
      </c>
      <c r="H137" s="40">
        <v>3</v>
      </c>
      <c r="I137">
        <v>4</v>
      </c>
      <c r="J137" s="40">
        <v>5</v>
      </c>
      <c r="K137">
        <v>6</v>
      </c>
      <c r="L137" s="40">
        <v>7</v>
      </c>
      <c r="M137">
        <v>8</v>
      </c>
    </row>
    <row r="138" spans="1:22">
      <c r="A138" s="40"/>
      <c r="B138" s="1"/>
      <c r="C138" s="40" t="s">
        <v>80</v>
      </c>
      <c r="D138" s="40">
        <v>7</v>
      </c>
      <c r="E138" s="40" t="s">
        <v>83</v>
      </c>
      <c r="F138" s="40">
        <f>IF(F137&lt;=$D$139,1,0)</f>
        <v>1</v>
      </c>
      <c r="G138" s="40">
        <f>IF(G137&lt;=$D$139,1,0)</f>
        <v>1</v>
      </c>
      <c r="H138" s="40">
        <f>IF(H137&lt;=$D$139,1,0)</f>
        <v>1</v>
      </c>
      <c r="I138" s="40">
        <f>IF(I137&lt;=$D$139,1,0)</f>
        <v>1</v>
      </c>
      <c r="J138" s="40">
        <f t="shared" ref="J138:M138" si="204">IF(J137&lt;=$D$139,1,0)</f>
        <v>1</v>
      </c>
      <c r="K138" s="40">
        <f t="shared" si="204"/>
        <v>1</v>
      </c>
      <c r="L138" s="40">
        <f t="shared" ref="L138" si="205">IF(L137&lt;=$D$139,1,0)</f>
        <v>1</v>
      </c>
      <c r="M138" s="40">
        <f t="shared" si="204"/>
        <v>0</v>
      </c>
    </row>
    <row r="139" spans="1:22">
      <c r="A139" s="40"/>
      <c r="B139" s="1"/>
      <c r="C139" s="40" t="s">
        <v>82</v>
      </c>
      <c r="D139" s="40">
        <f>D138*D140</f>
        <v>7</v>
      </c>
      <c r="E139" s="40" t="s">
        <v>86</v>
      </c>
      <c r="F139" s="40">
        <f>B137</f>
        <v>14000</v>
      </c>
      <c r="G139">
        <f>F141</f>
        <v>12000</v>
      </c>
      <c r="H139">
        <f t="shared" ref="H139" si="206">G141</f>
        <v>10000</v>
      </c>
      <c r="I139">
        <f>H141</f>
        <v>8000</v>
      </c>
      <c r="J139">
        <f t="shared" ref="J139:L139" si="207">I141</f>
        <v>6000</v>
      </c>
      <c r="K139">
        <f t="shared" si="207"/>
        <v>4000</v>
      </c>
      <c r="L139">
        <f t="shared" si="207"/>
        <v>2000</v>
      </c>
      <c r="M139">
        <f t="shared" ref="M139" si="208">L141</f>
        <v>0</v>
      </c>
    </row>
    <row r="140" spans="1:22">
      <c r="A140" s="40"/>
      <c r="B140" s="1"/>
      <c r="C140" s="40" t="s">
        <v>145</v>
      </c>
      <c r="D140" s="40">
        <f>VLOOKUP(C140,A280:B283,2,FALSE)</f>
        <v>1</v>
      </c>
      <c r="E140" s="40" t="s">
        <v>87</v>
      </c>
      <c r="F140" s="40">
        <f>ROUND($D$136*$F$139*F138,0)</f>
        <v>2000</v>
      </c>
      <c r="G140" s="40">
        <f>ROUND($D$136*$F$139*G138,0)</f>
        <v>2000</v>
      </c>
      <c r="H140" s="40">
        <f t="shared" ref="H140:I140" si="209">ROUND($D$136*$F$139*H138,0)</f>
        <v>2000</v>
      </c>
      <c r="I140" s="40">
        <f t="shared" si="209"/>
        <v>2000</v>
      </c>
      <c r="J140" s="40">
        <f t="shared" ref="J140:L140" si="210">ROUND($D$136*$F$139*J138,0)</f>
        <v>2000</v>
      </c>
      <c r="K140" s="40">
        <f t="shared" si="210"/>
        <v>2000</v>
      </c>
      <c r="L140" s="40">
        <f t="shared" si="210"/>
        <v>2000</v>
      </c>
      <c r="M140" s="40">
        <f t="shared" ref="M140" si="211">ROUND($D$136*$F$139*M138,0)</f>
        <v>0</v>
      </c>
    </row>
    <row r="141" spans="1:22">
      <c r="A141" s="40"/>
      <c r="E141" s="40" t="s">
        <v>88</v>
      </c>
      <c r="F141" s="40">
        <f>F139-F140</f>
        <v>12000</v>
      </c>
      <c r="G141" s="40">
        <f>G139-G140</f>
        <v>10000</v>
      </c>
      <c r="H141" s="40">
        <f t="shared" ref="H141:I141" si="212">H139-H140</f>
        <v>8000</v>
      </c>
      <c r="I141" s="40">
        <f t="shared" si="212"/>
        <v>6000</v>
      </c>
      <c r="J141" s="40">
        <f t="shared" ref="J141" si="213">J139-J140</f>
        <v>4000</v>
      </c>
      <c r="K141" s="40">
        <f t="shared" ref="K141:M141" si="214">K139-K140</f>
        <v>2000</v>
      </c>
      <c r="L141" s="40">
        <f t="shared" ref="L141" si="215">L139-L140</f>
        <v>0</v>
      </c>
      <c r="M141" s="40">
        <f t="shared" si="214"/>
        <v>0</v>
      </c>
    </row>
    <row r="142" spans="1:22">
      <c r="A142" s="246" t="s">
        <v>202</v>
      </c>
      <c r="C142" t="s">
        <v>78</v>
      </c>
      <c r="D142" s="6">
        <f>(1-D143)/D145</f>
        <v>0.1</v>
      </c>
      <c r="V142">
        <f>U142</f>
        <v>0</v>
      </c>
    </row>
    <row r="143" spans="1:22">
      <c r="A143" s="40" t="s">
        <v>79</v>
      </c>
      <c r="B143" s="40" t="s">
        <v>91</v>
      </c>
      <c r="C143" s="40" t="s">
        <v>81</v>
      </c>
      <c r="D143" s="40">
        <v>0</v>
      </c>
      <c r="E143" s="40" t="s">
        <v>84</v>
      </c>
      <c r="F143" s="40">
        <v>1</v>
      </c>
      <c r="G143" s="43">
        <v>2</v>
      </c>
      <c r="H143" s="43">
        <v>3</v>
      </c>
      <c r="I143" s="43">
        <v>4</v>
      </c>
      <c r="J143" s="43">
        <v>5</v>
      </c>
      <c r="K143" s="43">
        <v>6</v>
      </c>
      <c r="L143" s="43">
        <v>7</v>
      </c>
      <c r="M143" s="43">
        <v>8</v>
      </c>
      <c r="N143" s="43">
        <v>9</v>
      </c>
      <c r="O143" s="43">
        <v>10</v>
      </c>
      <c r="P143" s="43">
        <v>11</v>
      </c>
      <c r="Q143" s="43">
        <v>12</v>
      </c>
      <c r="R143" s="43">
        <v>13</v>
      </c>
      <c r="S143" s="43">
        <v>14</v>
      </c>
      <c r="T143" s="43">
        <v>15</v>
      </c>
      <c r="U143" s="43">
        <v>16</v>
      </c>
      <c r="V143" s="43">
        <v>17</v>
      </c>
    </row>
    <row r="144" spans="1:22">
      <c r="A144" s="43" t="s">
        <v>85</v>
      </c>
      <c r="B144" s="40">
        <v>20000</v>
      </c>
      <c r="C144" s="40" t="s">
        <v>80</v>
      </c>
      <c r="D144" s="40">
        <v>10</v>
      </c>
      <c r="E144" s="40" t="s">
        <v>83</v>
      </c>
      <c r="F144" s="40">
        <f>IF(F143&lt;=$D$145,1,0)</f>
        <v>1</v>
      </c>
      <c r="G144" s="40">
        <f>IF(G143&lt;=$D$145,1,0)</f>
        <v>1</v>
      </c>
      <c r="H144" s="40">
        <f>IF(H143&lt;=$D$145,1,0)</f>
        <v>1</v>
      </c>
      <c r="I144" s="40">
        <f>IF(I143&lt;=$D$145,1,0)</f>
        <v>1</v>
      </c>
      <c r="J144" s="40">
        <f t="shared" ref="J144:P144" si="216">IF(J143&lt;=$D$145,1,0)</f>
        <v>1</v>
      </c>
      <c r="K144" s="40">
        <f t="shared" si="216"/>
        <v>1</v>
      </c>
      <c r="L144" s="40">
        <f t="shared" si="216"/>
        <v>1</v>
      </c>
      <c r="M144" s="40">
        <f t="shared" si="216"/>
        <v>1</v>
      </c>
      <c r="N144" s="40">
        <f t="shared" si="216"/>
        <v>1</v>
      </c>
      <c r="O144" s="40">
        <f t="shared" si="216"/>
        <v>1</v>
      </c>
      <c r="P144" s="40">
        <f t="shared" si="216"/>
        <v>0</v>
      </c>
      <c r="Q144" s="40">
        <f t="shared" ref="Q144:V144" si="217">IF(Q143&lt;=$D$145,1,0)</f>
        <v>0</v>
      </c>
      <c r="R144" s="40">
        <f t="shared" si="217"/>
        <v>0</v>
      </c>
      <c r="S144" s="40">
        <f t="shared" si="217"/>
        <v>0</v>
      </c>
      <c r="T144" s="40">
        <f t="shared" si="217"/>
        <v>0</v>
      </c>
      <c r="U144" s="40">
        <f t="shared" si="217"/>
        <v>0</v>
      </c>
      <c r="V144" s="40">
        <f t="shared" si="217"/>
        <v>0</v>
      </c>
    </row>
    <row r="145" spans="1:50">
      <c r="A145" s="40"/>
      <c r="C145" s="40" t="s">
        <v>82</v>
      </c>
      <c r="D145" s="40">
        <f>D144*D146</f>
        <v>10</v>
      </c>
      <c r="E145" s="40" t="s">
        <v>86</v>
      </c>
      <c r="F145" s="40">
        <f>B144</f>
        <v>20000</v>
      </c>
      <c r="G145" s="40">
        <f>F147</f>
        <v>18000</v>
      </c>
      <c r="H145" s="40">
        <f t="shared" ref="H145:J145" si="218">G147</f>
        <v>16000</v>
      </c>
      <c r="I145" s="40">
        <f t="shared" si="218"/>
        <v>14000</v>
      </c>
      <c r="J145" s="40">
        <f t="shared" si="218"/>
        <v>12000</v>
      </c>
      <c r="K145" s="40">
        <f t="shared" ref="K145:P145" si="219">J147</f>
        <v>10000</v>
      </c>
      <c r="L145" s="40">
        <f t="shared" si="219"/>
        <v>8000</v>
      </c>
      <c r="M145" s="40">
        <f t="shared" si="219"/>
        <v>6000</v>
      </c>
      <c r="N145" s="40">
        <f t="shared" si="219"/>
        <v>4000</v>
      </c>
      <c r="O145" s="40">
        <f t="shared" si="219"/>
        <v>2000</v>
      </c>
      <c r="P145" s="40">
        <f t="shared" si="219"/>
        <v>0</v>
      </c>
      <c r="Q145" s="40">
        <f t="shared" ref="Q145:V145" si="220">P147</f>
        <v>0</v>
      </c>
      <c r="R145" s="40">
        <f t="shared" si="220"/>
        <v>0</v>
      </c>
      <c r="S145" s="40">
        <f t="shared" si="220"/>
        <v>0</v>
      </c>
      <c r="T145" s="40">
        <f t="shared" si="220"/>
        <v>0</v>
      </c>
      <c r="U145" s="40">
        <f t="shared" si="220"/>
        <v>0</v>
      </c>
      <c r="V145" s="40">
        <f t="shared" si="220"/>
        <v>0</v>
      </c>
    </row>
    <row r="146" spans="1:50">
      <c r="A146" s="40"/>
      <c r="C146" s="40" t="s">
        <v>145</v>
      </c>
      <c r="D146" s="40">
        <f>VLOOKUP(C146,A280:B283,2,FALSE)</f>
        <v>1</v>
      </c>
      <c r="E146" s="40" t="s">
        <v>87</v>
      </c>
      <c r="F146" s="40">
        <f>ROUND($D$142*$F$145*F144,0)</f>
        <v>2000</v>
      </c>
      <c r="G146" s="40">
        <f>ROUND($D$142*$F$145*G144,0)</f>
        <v>2000</v>
      </c>
      <c r="H146" s="40">
        <f t="shared" ref="H146:J146" si="221">ROUND($D$142*$F$145*H144,0)</f>
        <v>2000</v>
      </c>
      <c r="I146" s="40">
        <f t="shared" si="221"/>
        <v>2000</v>
      </c>
      <c r="J146" s="40">
        <f t="shared" si="221"/>
        <v>2000</v>
      </c>
      <c r="K146" s="40">
        <f t="shared" ref="K146:P146" si="222">ROUND($D$142*$F$145*K144,0)</f>
        <v>2000</v>
      </c>
      <c r="L146" s="40">
        <f t="shared" si="222"/>
        <v>2000</v>
      </c>
      <c r="M146" s="40">
        <f t="shared" si="222"/>
        <v>2000</v>
      </c>
      <c r="N146" s="40">
        <f t="shared" si="222"/>
        <v>2000</v>
      </c>
      <c r="O146" s="40">
        <f t="shared" si="222"/>
        <v>2000</v>
      </c>
      <c r="P146" s="40">
        <f t="shared" si="222"/>
        <v>0</v>
      </c>
      <c r="Q146" s="40">
        <f t="shared" ref="Q146:V146" si="223">ROUND($D$142*$F$145*Q144,0)</f>
        <v>0</v>
      </c>
      <c r="R146" s="40">
        <f t="shared" si="223"/>
        <v>0</v>
      </c>
      <c r="S146" s="40">
        <f t="shared" si="223"/>
        <v>0</v>
      </c>
      <c r="T146" s="40">
        <f t="shared" si="223"/>
        <v>0</v>
      </c>
      <c r="U146" s="40">
        <f t="shared" si="223"/>
        <v>0</v>
      </c>
      <c r="V146" s="40">
        <f t="shared" si="223"/>
        <v>0</v>
      </c>
    </row>
    <row r="147" spans="1:50">
      <c r="A147" s="40"/>
      <c r="C147" s="40"/>
      <c r="D147" s="40"/>
      <c r="E147" s="40" t="s">
        <v>88</v>
      </c>
      <c r="F147" s="40">
        <f>F145-F146</f>
        <v>18000</v>
      </c>
      <c r="G147" s="40">
        <f>G145-G146</f>
        <v>16000</v>
      </c>
      <c r="H147" s="40">
        <f t="shared" ref="H147:J147" si="224">H145-H146</f>
        <v>14000</v>
      </c>
      <c r="I147" s="40">
        <f t="shared" si="224"/>
        <v>12000</v>
      </c>
      <c r="J147" s="40">
        <f t="shared" si="224"/>
        <v>10000</v>
      </c>
      <c r="K147" s="40">
        <f t="shared" ref="K147" si="225">K145-K146</f>
        <v>8000</v>
      </c>
      <c r="L147" s="40">
        <f t="shared" ref="L147:M147" si="226">L145-L146</f>
        <v>6000</v>
      </c>
      <c r="M147" s="40">
        <f t="shared" si="226"/>
        <v>4000</v>
      </c>
      <c r="N147" s="40">
        <f t="shared" ref="N147" si="227">N145-N146</f>
        <v>2000</v>
      </c>
      <c r="O147" s="40">
        <f t="shared" ref="O147:P147" si="228">O145-O146</f>
        <v>0</v>
      </c>
      <c r="P147" s="40">
        <f t="shared" si="228"/>
        <v>0</v>
      </c>
      <c r="Q147" s="40">
        <f t="shared" ref="Q147:V147" si="229">Q145-Q146</f>
        <v>0</v>
      </c>
      <c r="R147" s="40">
        <f t="shared" si="229"/>
        <v>0</v>
      </c>
      <c r="S147" s="40">
        <f t="shared" si="229"/>
        <v>0</v>
      </c>
      <c r="T147" s="40">
        <f t="shared" si="229"/>
        <v>0</v>
      </c>
      <c r="U147" s="40">
        <f t="shared" si="229"/>
        <v>0</v>
      </c>
      <c r="V147" s="40">
        <f t="shared" si="229"/>
        <v>0</v>
      </c>
    </row>
    <row r="148" spans="1:50">
      <c r="A148" s="40"/>
    </row>
    <row r="149" spans="1:50">
      <c r="A149" s="254" t="s">
        <v>203</v>
      </c>
      <c r="B149" s="38"/>
      <c r="C149" s="38" t="s">
        <v>78</v>
      </c>
      <c r="D149" s="44">
        <f>(1-D150)/D152</f>
        <v>0.11874999999999999</v>
      </c>
      <c r="E149" s="37"/>
    </row>
    <row r="150" spans="1:50">
      <c r="A150" s="38" t="s">
        <v>79</v>
      </c>
      <c r="B150" s="38" t="s">
        <v>24</v>
      </c>
      <c r="C150" s="38" t="s">
        <v>81</v>
      </c>
      <c r="D150" s="63">
        <v>0.05</v>
      </c>
      <c r="E150" s="39" t="s">
        <v>84</v>
      </c>
      <c r="AG150">
        <v>1</v>
      </c>
      <c r="AH150">
        <v>2</v>
      </c>
      <c r="AI150">
        <v>3</v>
      </c>
      <c r="AJ150">
        <v>4</v>
      </c>
      <c r="AK150">
        <v>5</v>
      </c>
      <c r="AL150">
        <v>6</v>
      </c>
      <c r="AM150">
        <v>7</v>
      </c>
      <c r="AN150">
        <v>8</v>
      </c>
      <c r="AO150">
        <v>9</v>
      </c>
      <c r="AP150">
        <v>10</v>
      </c>
    </row>
    <row r="151" spans="1:50">
      <c r="A151" s="38" t="s">
        <v>85</v>
      </c>
      <c r="B151" s="38">
        <f>AG99</f>
        <v>50000</v>
      </c>
      <c r="C151" s="38" t="s">
        <v>80</v>
      </c>
      <c r="D151" s="38">
        <v>8</v>
      </c>
      <c r="E151" s="39" t="s">
        <v>83</v>
      </c>
      <c r="AG151" s="40">
        <f>IF(AG150&lt;=$D$152,1,0)</f>
        <v>1</v>
      </c>
      <c r="AH151" s="40">
        <f t="shared" ref="AH151:AL151" si="230">IF(AH150&lt;=$D$152,1,0)</f>
        <v>1</v>
      </c>
      <c r="AI151" s="40">
        <f t="shared" si="230"/>
        <v>1</v>
      </c>
      <c r="AJ151" s="40">
        <f t="shared" si="230"/>
        <v>1</v>
      </c>
      <c r="AK151" s="40">
        <f t="shared" si="230"/>
        <v>1</v>
      </c>
      <c r="AL151" s="40">
        <f t="shared" si="230"/>
        <v>1</v>
      </c>
      <c r="AM151" s="40">
        <f t="shared" ref="AM151" si="231">IF(AM150&lt;=$D$152,1,0)</f>
        <v>1</v>
      </c>
      <c r="AN151" s="40">
        <f t="shared" ref="AN151" si="232">IF(AN150&lt;=$D$152,1,0)</f>
        <v>1</v>
      </c>
      <c r="AO151" s="40">
        <f t="shared" ref="AO151" si="233">IF(AO150&lt;=$D$152,1,0)</f>
        <v>0</v>
      </c>
      <c r="AP151" s="40">
        <f t="shared" ref="AP151" si="234">IF(AP150&lt;=$D$152,1,0)</f>
        <v>0</v>
      </c>
    </row>
    <row r="152" spans="1:50">
      <c r="A152" s="40"/>
      <c r="B152" s="38"/>
      <c r="C152" s="38" t="s">
        <v>82</v>
      </c>
      <c r="D152" s="38">
        <f>D151*D153</f>
        <v>8</v>
      </c>
      <c r="E152" s="39" t="s">
        <v>86</v>
      </c>
      <c r="AG152">
        <f>B151</f>
        <v>50000</v>
      </c>
      <c r="AH152">
        <f>AG154</f>
        <v>44062.5</v>
      </c>
      <c r="AI152">
        <f t="shared" ref="AI152:AP152" si="235">AH154</f>
        <v>38830.078125</v>
      </c>
      <c r="AJ152">
        <f t="shared" si="235"/>
        <v>34219.00634765625</v>
      </c>
      <c r="AK152">
        <f t="shared" si="235"/>
        <v>30155.49934387207</v>
      </c>
      <c r="AL152">
        <f t="shared" si="235"/>
        <v>26574.533796787262</v>
      </c>
      <c r="AM152">
        <f t="shared" si="235"/>
        <v>23418.807908418774</v>
      </c>
      <c r="AN152">
        <f t="shared" si="235"/>
        <v>20637.824469294046</v>
      </c>
      <c r="AO152">
        <f t="shared" si="235"/>
        <v>0</v>
      </c>
      <c r="AP152">
        <f t="shared" si="235"/>
        <v>0</v>
      </c>
    </row>
    <row r="153" spans="1:50">
      <c r="A153" s="40"/>
      <c r="B153" s="38" t="s">
        <v>152</v>
      </c>
      <c r="C153" s="38" t="s">
        <v>145</v>
      </c>
      <c r="D153" s="38">
        <f>VLOOKUP(C153,A280:B283,2,FALSE)</f>
        <v>1</v>
      </c>
      <c r="E153" s="39" t="s">
        <v>87</v>
      </c>
      <c r="AG153" s="40">
        <f>IF(AG150=$D$152,AG152,AG152*$D$149)*AG151</f>
        <v>5937.5</v>
      </c>
      <c r="AH153" s="40">
        <f>IF(AH150=$D$152,AH152,AH152*$D$149)*AH151</f>
        <v>5232.421875</v>
      </c>
      <c r="AI153" s="40">
        <f t="shared" ref="AI153:AP153" si="236">IF(AI150=$D$152,AI152,AI152*$D$149)*AI151</f>
        <v>4611.07177734375</v>
      </c>
      <c r="AJ153" s="40">
        <f t="shared" si="236"/>
        <v>4063.5070037841797</v>
      </c>
      <c r="AK153" s="40">
        <f t="shared" si="236"/>
        <v>3580.9655470848083</v>
      </c>
      <c r="AL153" s="40">
        <f t="shared" si="236"/>
        <v>3155.7258883684872</v>
      </c>
      <c r="AM153" s="40">
        <f t="shared" si="236"/>
        <v>2780.9834391247291</v>
      </c>
      <c r="AN153" s="40">
        <f t="shared" si="236"/>
        <v>20637.824469294046</v>
      </c>
      <c r="AO153" s="40">
        <f t="shared" si="236"/>
        <v>0</v>
      </c>
      <c r="AP153" s="40">
        <f t="shared" si="236"/>
        <v>0</v>
      </c>
    </row>
    <row r="154" spans="1:50">
      <c r="A154" s="40"/>
      <c r="B154" s="38"/>
      <c r="C154" s="38"/>
      <c r="D154" s="38"/>
      <c r="E154" s="41" t="s">
        <v>88</v>
      </c>
      <c r="AG154">
        <f>AG152-AG153</f>
        <v>44062.5</v>
      </c>
      <c r="AH154">
        <f>AH152-AH153</f>
        <v>38830.078125</v>
      </c>
      <c r="AI154">
        <f t="shared" ref="AI154:AP154" si="237">AI152-AI153</f>
        <v>34219.00634765625</v>
      </c>
      <c r="AJ154">
        <f t="shared" si="237"/>
        <v>30155.49934387207</v>
      </c>
      <c r="AK154">
        <f t="shared" si="237"/>
        <v>26574.533796787262</v>
      </c>
      <c r="AL154">
        <f t="shared" si="237"/>
        <v>23418.807908418774</v>
      </c>
      <c r="AM154">
        <f t="shared" si="237"/>
        <v>20637.824469294046</v>
      </c>
      <c r="AN154">
        <f t="shared" si="237"/>
        <v>0</v>
      </c>
      <c r="AO154">
        <f t="shared" si="237"/>
        <v>0</v>
      </c>
      <c r="AP154">
        <f t="shared" si="237"/>
        <v>0</v>
      </c>
    </row>
    <row r="155" spans="1:50">
      <c r="A155" s="40"/>
    </row>
    <row r="156" spans="1:50">
      <c r="A156" s="40"/>
    </row>
    <row r="157" spans="1:50">
      <c r="A157" s="246" t="s">
        <v>204</v>
      </c>
      <c r="C157" t="s">
        <v>78</v>
      </c>
      <c r="D157" s="6">
        <f>(1-D158)/D160</f>
        <v>6.6666666666666666E-2</v>
      </c>
    </row>
    <row r="158" spans="1:50">
      <c r="A158" s="40" t="s">
        <v>79</v>
      </c>
      <c r="B158" s="40" t="s">
        <v>91</v>
      </c>
      <c r="C158" s="40" t="s">
        <v>81</v>
      </c>
      <c r="D158" s="40">
        <v>0</v>
      </c>
      <c r="E158" s="40" t="s">
        <v>84</v>
      </c>
      <c r="AG158" s="40">
        <v>1</v>
      </c>
      <c r="AH158">
        <v>2</v>
      </c>
      <c r="AI158">
        <v>3</v>
      </c>
      <c r="AJ158" s="40">
        <v>4</v>
      </c>
      <c r="AK158">
        <v>5</v>
      </c>
      <c r="AL158">
        <v>6</v>
      </c>
      <c r="AM158" s="40">
        <v>7</v>
      </c>
      <c r="AN158">
        <v>8</v>
      </c>
      <c r="AO158">
        <v>9</v>
      </c>
      <c r="AP158" s="40">
        <v>10</v>
      </c>
      <c r="AQ158" s="40">
        <v>11</v>
      </c>
      <c r="AR158" s="40">
        <v>12</v>
      </c>
      <c r="AS158" s="40">
        <v>13</v>
      </c>
      <c r="AT158" s="40">
        <v>14</v>
      </c>
      <c r="AU158" s="40">
        <v>15</v>
      </c>
      <c r="AV158" s="40">
        <v>16</v>
      </c>
      <c r="AW158" s="40">
        <v>17</v>
      </c>
      <c r="AX158" s="40">
        <v>18</v>
      </c>
    </row>
    <row r="159" spans="1:50">
      <c r="A159" s="43" t="s">
        <v>85</v>
      </c>
      <c r="B159" s="40">
        <f>AG100</f>
        <v>10000</v>
      </c>
      <c r="C159" s="40" t="s">
        <v>80</v>
      </c>
      <c r="D159" s="40">
        <v>15</v>
      </c>
      <c r="E159" s="40" t="s">
        <v>83</v>
      </c>
      <c r="AG159" s="40">
        <f>IF(AG158&lt;=$D$145,1,0)</f>
        <v>1</v>
      </c>
      <c r="AH159" s="40">
        <f>IF(AH158&lt;=$D$145,1,0)</f>
        <v>1</v>
      </c>
      <c r="AI159" s="40">
        <f t="shared" ref="AI159:AQ159" si="238">IF(AI158&lt;=$D$145,1,0)</f>
        <v>1</v>
      </c>
      <c r="AJ159" s="40">
        <f t="shared" si="238"/>
        <v>1</v>
      </c>
      <c r="AK159" s="40">
        <f t="shared" si="238"/>
        <v>1</v>
      </c>
      <c r="AL159" s="40">
        <f t="shared" si="238"/>
        <v>1</v>
      </c>
      <c r="AM159" s="40">
        <f t="shared" si="238"/>
        <v>1</v>
      </c>
      <c r="AN159" s="40">
        <f t="shared" si="238"/>
        <v>1</v>
      </c>
      <c r="AO159" s="40">
        <f t="shared" si="238"/>
        <v>1</v>
      </c>
      <c r="AP159" s="40">
        <f t="shared" si="238"/>
        <v>1</v>
      </c>
      <c r="AQ159" s="40">
        <f t="shared" si="238"/>
        <v>0</v>
      </c>
      <c r="AR159" s="40">
        <f t="shared" ref="AR159" si="239">IF(AR158&lt;=$D$145,1,0)</f>
        <v>0</v>
      </c>
      <c r="AS159" s="40">
        <f t="shared" ref="AS159" si="240">IF(AS158&lt;=$D$145,1,0)</f>
        <v>0</v>
      </c>
      <c r="AT159" s="40">
        <f t="shared" ref="AT159" si="241">IF(AT158&lt;=$D$145,1,0)</f>
        <v>0</v>
      </c>
      <c r="AU159" s="40">
        <f t="shared" ref="AU159" si="242">IF(AU158&lt;=$D$145,1,0)</f>
        <v>0</v>
      </c>
      <c r="AV159" s="40">
        <f t="shared" ref="AV159" si="243">IF(AV158&lt;=$D$145,1,0)</f>
        <v>0</v>
      </c>
      <c r="AW159" s="40">
        <f t="shared" ref="AW159" si="244">IF(AW158&lt;=$D$145,1,0)</f>
        <v>0</v>
      </c>
      <c r="AX159" s="40">
        <f t="shared" ref="AX159" si="245">IF(AX158&lt;=$D$145,1,0)</f>
        <v>0</v>
      </c>
    </row>
    <row r="160" spans="1:50">
      <c r="A160" s="40"/>
      <c r="C160" s="40" t="s">
        <v>82</v>
      </c>
      <c r="D160" s="40">
        <f>D159*D161</f>
        <v>15</v>
      </c>
      <c r="E160" s="40" t="s">
        <v>86</v>
      </c>
      <c r="AG160" s="40">
        <f>B159</f>
        <v>10000</v>
      </c>
      <c r="AH160">
        <f>AG162</f>
        <v>9333</v>
      </c>
      <c r="AI160">
        <f t="shared" ref="AI160:AQ160" si="246">AH162</f>
        <v>8666</v>
      </c>
      <c r="AJ160">
        <f t="shared" si="246"/>
        <v>7999</v>
      </c>
      <c r="AK160">
        <f t="shared" si="246"/>
        <v>7332</v>
      </c>
      <c r="AL160">
        <f t="shared" si="246"/>
        <v>6665</v>
      </c>
      <c r="AM160">
        <f t="shared" si="246"/>
        <v>5998</v>
      </c>
      <c r="AN160">
        <f t="shared" si="246"/>
        <v>5331</v>
      </c>
      <c r="AO160">
        <f t="shared" si="246"/>
        <v>4664</v>
      </c>
      <c r="AP160">
        <f t="shared" si="246"/>
        <v>3997</v>
      </c>
      <c r="AQ160">
        <f t="shared" si="246"/>
        <v>3330</v>
      </c>
      <c r="AR160">
        <f t="shared" ref="AR160:AX160" si="247">AQ162</f>
        <v>3330</v>
      </c>
      <c r="AS160">
        <f t="shared" si="247"/>
        <v>3330</v>
      </c>
      <c r="AT160">
        <f t="shared" si="247"/>
        <v>3330</v>
      </c>
      <c r="AU160">
        <f t="shared" si="247"/>
        <v>3330</v>
      </c>
      <c r="AV160">
        <f t="shared" si="247"/>
        <v>3330</v>
      </c>
      <c r="AW160">
        <f t="shared" si="247"/>
        <v>3330</v>
      </c>
      <c r="AX160">
        <f t="shared" si="247"/>
        <v>3330</v>
      </c>
    </row>
    <row r="161" spans="1:50">
      <c r="A161" s="40"/>
      <c r="C161" s="40" t="s">
        <v>145</v>
      </c>
      <c r="D161" s="40">
        <f>VLOOKUP(C161,A280:B283,2,FALSE)</f>
        <v>1</v>
      </c>
      <c r="E161" s="40" t="s">
        <v>87</v>
      </c>
      <c r="AG161" s="40">
        <f>ROUND($D$157*$AG$160*AG159,0)</f>
        <v>667</v>
      </c>
      <c r="AH161" s="40">
        <f>ROUND($D$157*$AG$160*AH159,0)</f>
        <v>667</v>
      </c>
      <c r="AI161" s="40">
        <f t="shared" ref="AI161:AQ161" si="248">ROUND($D$157*$AG$160*AI159,0)</f>
        <v>667</v>
      </c>
      <c r="AJ161" s="40">
        <f t="shared" si="248"/>
        <v>667</v>
      </c>
      <c r="AK161" s="40">
        <f t="shared" si="248"/>
        <v>667</v>
      </c>
      <c r="AL161" s="40">
        <f t="shared" si="248"/>
        <v>667</v>
      </c>
      <c r="AM161" s="40">
        <f t="shared" si="248"/>
        <v>667</v>
      </c>
      <c r="AN161" s="40">
        <f t="shared" si="248"/>
        <v>667</v>
      </c>
      <c r="AO161" s="40">
        <f t="shared" si="248"/>
        <v>667</v>
      </c>
      <c r="AP161" s="40">
        <f t="shared" si="248"/>
        <v>667</v>
      </c>
      <c r="AQ161" s="40">
        <f t="shared" si="248"/>
        <v>0</v>
      </c>
      <c r="AR161" s="40">
        <f t="shared" ref="AR161:AX161" si="249">ROUND($D$157*$AG$160*AR159,0)</f>
        <v>0</v>
      </c>
      <c r="AS161" s="40">
        <f t="shared" si="249"/>
        <v>0</v>
      </c>
      <c r="AT161" s="40">
        <f t="shared" si="249"/>
        <v>0</v>
      </c>
      <c r="AU161" s="40">
        <f t="shared" si="249"/>
        <v>0</v>
      </c>
      <c r="AV161" s="40">
        <f t="shared" si="249"/>
        <v>0</v>
      </c>
      <c r="AW161" s="40">
        <f t="shared" si="249"/>
        <v>0</v>
      </c>
      <c r="AX161" s="40">
        <f t="shared" si="249"/>
        <v>0</v>
      </c>
    </row>
    <row r="162" spans="1:50">
      <c r="A162" s="40"/>
      <c r="C162" s="40"/>
      <c r="D162" s="40"/>
      <c r="E162" s="40" t="s">
        <v>88</v>
      </c>
      <c r="AG162" s="40">
        <f>AG160-AG161</f>
        <v>9333</v>
      </c>
      <c r="AH162">
        <f>AH160-AH161</f>
        <v>8666</v>
      </c>
      <c r="AI162">
        <f t="shared" ref="AI162:AQ162" si="250">AI160-AI161</f>
        <v>7999</v>
      </c>
      <c r="AJ162">
        <f t="shared" si="250"/>
        <v>7332</v>
      </c>
      <c r="AK162">
        <f t="shared" si="250"/>
        <v>6665</v>
      </c>
      <c r="AL162">
        <f t="shared" si="250"/>
        <v>5998</v>
      </c>
      <c r="AM162">
        <f t="shared" si="250"/>
        <v>5331</v>
      </c>
      <c r="AN162">
        <f t="shared" si="250"/>
        <v>4664</v>
      </c>
      <c r="AO162">
        <f t="shared" si="250"/>
        <v>3997</v>
      </c>
      <c r="AP162">
        <f t="shared" si="250"/>
        <v>3330</v>
      </c>
      <c r="AQ162">
        <f t="shared" si="250"/>
        <v>3330</v>
      </c>
      <c r="AR162">
        <f t="shared" ref="AR162" si="251">AR160-AR161</f>
        <v>3330</v>
      </c>
      <c r="AS162">
        <f t="shared" ref="AS162" si="252">AS160-AS161</f>
        <v>3330</v>
      </c>
      <c r="AT162">
        <f t="shared" ref="AT162" si="253">AT160-AT161</f>
        <v>3330</v>
      </c>
      <c r="AU162">
        <f t="shared" ref="AU162" si="254">AU160-AU161</f>
        <v>3330</v>
      </c>
      <c r="AV162">
        <f t="shared" ref="AV162" si="255">AV160-AV161</f>
        <v>3330</v>
      </c>
      <c r="AW162">
        <f t="shared" ref="AW162" si="256">AW160-AW161</f>
        <v>3330</v>
      </c>
      <c r="AX162">
        <f t="shared" ref="AX162" si="257">AX160-AX161</f>
        <v>3330</v>
      </c>
    </row>
    <row r="163" spans="1:50">
      <c r="A163" s="40"/>
    </row>
    <row r="164" spans="1:50">
      <c r="A164" s="40" t="s">
        <v>212</v>
      </c>
      <c r="B164" t="s">
        <v>214</v>
      </c>
      <c r="F164" s="40">
        <v>8000</v>
      </c>
      <c r="G164" s="40">
        <v>7866.666666666667</v>
      </c>
      <c r="H164" s="40">
        <v>7735.5555555555557</v>
      </c>
      <c r="I164" s="40">
        <v>7606.6296296296296</v>
      </c>
      <c r="J164" s="40">
        <v>7479.8524691358025</v>
      </c>
      <c r="K164" s="40">
        <v>7355.1882613168727</v>
      </c>
      <c r="L164" s="40">
        <v>7232.6017902949252</v>
      </c>
      <c r="M164" s="40">
        <v>7112.0584271233429</v>
      </c>
      <c r="N164" s="40">
        <v>6993.5241200046203</v>
      </c>
      <c r="O164" s="40">
        <v>6876.9653846712099</v>
      </c>
      <c r="P164" s="40">
        <v>6762.3492949266902</v>
      </c>
      <c r="Q164" s="40">
        <v>6649.6434733445785</v>
      </c>
      <c r="R164" s="40">
        <v>6480</v>
      </c>
      <c r="S164" s="40">
        <v>5832</v>
      </c>
      <c r="T164" s="40">
        <v>5120</v>
      </c>
      <c r="U164" s="40">
        <v>4096</v>
      </c>
      <c r="V164" s="40">
        <v>3276.8</v>
      </c>
      <c r="Y164" s="40">
        <v>9000</v>
      </c>
      <c r="Z164" s="40">
        <v>7200</v>
      </c>
      <c r="AA164" s="40">
        <v>5760</v>
      </c>
      <c r="AB164" s="40">
        <v>4608</v>
      </c>
      <c r="AC164" s="40">
        <v>3686.4</v>
      </c>
      <c r="AG164">
        <f>Y164*2</f>
        <v>18000</v>
      </c>
      <c r="AH164">
        <f t="shared" ref="AH164:AK166" si="258">Z164*2</f>
        <v>14400</v>
      </c>
      <c r="AI164">
        <f t="shared" si="258"/>
        <v>11520</v>
      </c>
      <c r="AJ164">
        <f t="shared" si="258"/>
        <v>9216</v>
      </c>
      <c r="AK164">
        <f t="shared" si="258"/>
        <v>7372.8</v>
      </c>
    </row>
    <row r="165" spans="1:50">
      <c r="A165" s="40"/>
      <c r="B165" t="s">
        <v>105</v>
      </c>
      <c r="F165" s="40">
        <v>133.33333333333334</v>
      </c>
      <c r="G165" s="40">
        <v>131.11111111111111</v>
      </c>
      <c r="H165" s="40">
        <v>128.92592592592592</v>
      </c>
      <c r="I165" s="40">
        <v>126.77716049382715</v>
      </c>
      <c r="J165" s="40">
        <v>124.66420781893004</v>
      </c>
      <c r="K165" s="40">
        <v>122.58647102194787</v>
      </c>
      <c r="L165" s="40">
        <v>120.54336317158209</v>
      </c>
      <c r="M165" s="40">
        <v>118.53430711872238</v>
      </c>
      <c r="N165" s="40">
        <v>116.55873533341034</v>
      </c>
      <c r="O165" s="40">
        <v>114.61608974452017</v>
      </c>
      <c r="P165" s="40">
        <v>112.7058215821115</v>
      </c>
      <c r="Q165" s="40">
        <v>110.82739122240964</v>
      </c>
      <c r="R165" s="40">
        <v>648</v>
      </c>
      <c r="S165" s="40">
        <v>583.20000000000005</v>
      </c>
      <c r="T165" s="40">
        <v>1024</v>
      </c>
      <c r="U165" s="40">
        <v>819.2</v>
      </c>
      <c r="V165" s="40">
        <v>3276.8</v>
      </c>
      <c r="Y165" s="40">
        <v>1800</v>
      </c>
      <c r="Z165" s="40">
        <v>1440</v>
      </c>
      <c r="AA165" s="40">
        <v>1152</v>
      </c>
      <c r="AB165" s="40">
        <v>921.6</v>
      </c>
      <c r="AC165" s="40">
        <v>3686.4</v>
      </c>
      <c r="AG165">
        <f t="shared" ref="AG165:AG166" si="259">Y165*2</f>
        <v>3600</v>
      </c>
      <c r="AH165">
        <f t="shared" si="258"/>
        <v>2880</v>
      </c>
      <c r="AI165">
        <f t="shared" si="258"/>
        <v>2304</v>
      </c>
      <c r="AJ165">
        <f t="shared" si="258"/>
        <v>1843.2</v>
      </c>
      <c r="AK165">
        <f t="shared" si="258"/>
        <v>7372.8</v>
      </c>
    </row>
    <row r="166" spans="1:50">
      <c r="A166" s="40"/>
      <c r="B166" t="s">
        <v>106</v>
      </c>
      <c r="F166" s="40">
        <v>7866.666666666667</v>
      </c>
      <c r="G166" s="40">
        <v>7735.5555555555557</v>
      </c>
      <c r="H166" s="40">
        <v>7606.6296296296296</v>
      </c>
      <c r="I166" s="40">
        <v>7479.8524691358025</v>
      </c>
      <c r="J166" s="40">
        <v>7355.1882613168727</v>
      </c>
      <c r="K166" s="40">
        <v>7232.6017902949252</v>
      </c>
      <c r="L166" s="40">
        <v>7112.0584271233429</v>
      </c>
      <c r="M166" s="40">
        <v>6993.5241200046203</v>
      </c>
      <c r="N166" s="40">
        <v>6876.9653846712099</v>
      </c>
      <c r="O166" s="40">
        <v>6762.3492949266902</v>
      </c>
      <c r="P166" s="40">
        <v>6649.6434733445785</v>
      </c>
      <c r="Q166" s="40">
        <v>6538.8160821221691</v>
      </c>
      <c r="R166" s="40">
        <v>5832</v>
      </c>
      <c r="S166" s="40">
        <v>5248.8</v>
      </c>
      <c r="T166" s="40">
        <v>4096</v>
      </c>
      <c r="U166" s="40">
        <v>3276.8</v>
      </c>
      <c r="V166" s="40">
        <v>0</v>
      </c>
      <c r="Y166" s="40">
        <v>7200</v>
      </c>
      <c r="Z166" s="40">
        <v>5760</v>
      </c>
      <c r="AA166" s="40">
        <v>4608</v>
      </c>
      <c r="AB166" s="40">
        <v>3686.4</v>
      </c>
      <c r="AC166" s="40">
        <v>0</v>
      </c>
      <c r="AG166">
        <f t="shared" si="259"/>
        <v>14400</v>
      </c>
      <c r="AH166">
        <f t="shared" si="258"/>
        <v>11520</v>
      </c>
      <c r="AI166">
        <f t="shared" si="258"/>
        <v>9216</v>
      </c>
      <c r="AJ166">
        <f t="shared" si="258"/>
        <v>7372.8</v>
      </c>
      <c r="AK166">
        <f t="shared" si="258"/>
        <v>0</v>
      </c>
    </row>
    <row r="167" spans="1:50">
      <c r="A167" s="40"/>
      <c r="B167" t="s">
        <v>215</v>
      </c>
      <c r="Y167" s="40">
        <f>Y96</f>
        <v>9000</v>
      </c>
      <c r="AG167">
        <v>18000</v>
      </c>
    </row>
    <row r="168" spans="1:50">
      <c r="A168" s="40"/>
      <c r="B168" t="s">
        <v>263</v>
      </c>
      <c r="V168" s="40">
        <v>8000</v>
      </c>
    </row>
    <row r="169" spans="1:50">
      <c r="A169" s="40"/>
      <c r="B169" t="s">
        <v>85</v>
      </c>
      <c r="F169">
        <f t="shared" ref="F169:V169" si="260">F96</f>
        <v>8000</v>
      </c>
      <c r="G169">
        <f t="shared" si="260"/>
        <v>8000</v>
      </c>
      <c r="H169">
        <f t="shared" si="260"/>
        <v>8000</v>
      </c>
      <c r="I169">
        <f t="shared" si="260"/>
        <v>8000</v>
      </c>
      <c r="J169">
        <f t="shared" si="260"/>
        <v>8000</v>
      </c>
      <c r="K169">
        <f t="shared" si="260"/>
        <v>8000</v>
      </c>
      <c r="L169">
        <f t="shared" si="260"/>
        <v>8000</v>
      </c>
      <c r="M169">
        <f t="shared" si="260"/>
        <v>8000</v>
      </c>
      <c r="N169">
        <f t="shared" si="260"/>
        <v>8000</v>
      </c>
      <c r="O169">
        <f t="shared" si="260"/>
        <v>8000</v>
      </c>
      <c r="P169">
        <f t="shared" si="260"/>
        <v>8000</v>
      </c>
      <c r="Q169">
        <f t="shared" si="260"/>
        <v>8000</v>
      </c>
      <c r="R169">
        <f t="shared" si="260"/>
        <v>8000</v>
      </c>
      <c r="S169">
        <f t="shared" si="260"/>
        <v>8000</v>
      </c>
      <c r="T169">
        <f t="shared" si="260"/>
        <v>8000</v>
      </c>
      <c r="U169">
        <f t="shared" si="260"/>
        <v>8000</v>
      </c>
      <c r="V169">
        <f t="shared" si="260"/>
        <v>8000</v>
      </c>
      <c r="Y169">
        <f>Y96</f>
        <v>9000</v>
      </c>
      <c r="Z169">
        <f>Z96</f>
        <v>9000</v>
      </c>
      <c r="AA169">
        <f>AA96</f>
        <v>9000</v>
      </c>
      <c r="AB169">
        <f>AB96</f>
        <v>9000</v>
      </c>
      <c r="AC169">
        <f>AC96</f>
        <v>9000</v>
      </c>
      <c r="AG169">
        <f>AG96</f>
        <v>18000</v>
      </c>
      <c r="AH169">
        <f>AH96</f>
        <v>18000</v>
      </c>
      <c r="AI169">
        <f>AI96</f>
        <v>18000</v>
      </c>
      <c r="AJ169">
        <f>AJ96</f>
        <v>18000</v>
      </c>
      <c r="AK169">
        <f>AK96</f>
        <v>18000</v>
      </c>
    </row>
    <row r="170" spans="1:50">
      <c r="A170" s="40"/>
      <c r="B170" t="s">
        <v>153</v>
      </c>
      <c r="F170">
        <f>F165</f>
        <v>133.33333333333334</v>
      </c>
      <c r="G170">
        <f t="shared" ref="G170:V170" si="261">F170+G165</f>
        <v>264.44444444444446</v>
      </c>
      <c r="H170">
        <f t="shared" si="261"/>
        <v>393.37037037037038</v>
      </c>
      <c r="I170">
        <f t="shared" si="261"/>
        <v>520.14753086419751</v>
      </c>
      <c r="J170">
        <f t="shared" si="261"/>
        <v>644.81173868312749</v>
      </c>
      <c r="K170">
        <f t="shared" si="261"/>
        <v>767.39820970507537</v>
      </c>
      <c r="L170">
        <f t="shared" si="261"/>
        <v>887.94157287665746</v>
      </c>
      <c r="M170">
        <f t="shared" si="261"/>
        <v>1006.4758799953798</v>
      </c>
      <c r="N170">
        <f t="shared" si="261"/>
        <v>1123.0346153287901</v>
      </c>
      <c r="O170">
        <f t="shared" si="261"/>
        <v>1237.6507050733103</v>
      </c>
      <c r="P170">
        <f t="shared" si="261"/>
        <v>1350.3565266554217</v>
      </c>
      <c r="Q170">
        <f t="shared" si="261"/>
        <v>1461.1839178778314</v>
      </c>
      <c r="R170">
        <f t="shared" si="261"/>
        <v>2109.1839178778314</v>
      </c>
      <c r="S170">
        <f t="shared" si="261"/>
        <v>2692.3839178778317</v>
      </c>
      <c r="T170">
        <f t="shared" si="261"/>
        <v>3716.3839178778317</v>
      </c>
      <c r="U170">
        <f t="shared" si="261"/>
        <v>4535.5839178778315</v>
      </c>
      <c r="V170">
        <f t="shared" si="261"/>
        <v>7812.3839178778317</v>
      </c>
      <c r="Y170">
        <f>Y165</f>
        <v>1800</v>
      </c>
      <c r="Z170">
        <f>Y170+Z165</f>
        <v>3240</v>
      </c>
      <c r="AA170">
        <f>Z170+AA165</f>
        <v>4392</v>
      </c>
      <c r="AB170">
        <f>AA170+AB165</f>
        <v>5313.6</v>
      </c>
      <c r="AC170">
        <f>AB170+AC165</f>
        <v>9000</v>
      </c>
      <c r="AG170">
        <f>AF170+AG165</f>
        <v>3600</v>
      </c>
      <c r="AH170">
        <f>AG170+AH165</f>
        <v>6480</v>
      </c>
      <c r="AI170">
        <f>AH170+AI165</f>
        <v>8784</v>
      </c>
      <c r="AJ170">
        <f>AI170+AJ165</f>
        <v>10627.2</v>
      </c>
      <c r="AK170">
        <f>AJ170+AK165</f>
        <v>18000</v>
      </c>
    </row>
    <row r="171" spans="1:50">
      <c r="A171" s="40"/>
      <c r="B171" t="s">
        <v>262</v>
      </c>
      <c r="F171">
        <f>F169-F170</f>
        <v>7866.666666666667</v>
      </c>
      <c r="G171">
        <f>G169-G170</f>
        <v>7735.5555555555557</v>
      </c>
      <c r="H171">
        <f t="shared" ref="H171:AK171" si="262">H169-H170</f>
        <v>7606.6296296296296</v>
      </c>
      <c r="I171">
        <f t="shared" si="262"/>
        <v>7479.8524691358025</v>
      </c>
      <c r="J171">
        <f t="shared" si="262"/>
        <v>7355.1882613168727</v>
      </c>
      <c r="K171">
        <f t="shared" si="262"/>
        <v>7232.6017902949243</v>
      </c>
      <c r="L171">
        <f t="shared" si="262"/>
        <v>7112.0584271233429</v>
      </c>
      <c r="M171">
        <f t="shared" si="262"/>
        <v>6993.5241200046203</v>
      </c>
      <c r="N171">
        <f t="shared" si="262"/>
        <v>6876.9653846712099</v>
      </c>
      <c r="O171">
        <f t="shared" si="262"/>
        <v>6762.3492949266893</v>
      </c>
      <c r="P171">
        <f t="shared" si="262"/>
        <v>6649.6434733445785</v>
      </c>
      <c r="Q171">
        <f t="shared" si="262"/>
        <v>6538.8160821221682</v>
      </c>
      <c r="R171">
        <f t="shared" si="262"/>
        <v>5890.8160821221682</v>
      </c>
      <c r="S171">
        <f t="shared" si="262"/>
        <v>5307.6160821221683</v>
      </c>
      <c r="T171">
        <f t="shared" si="262"/>
        <v>4283.6160821221683</v>
      </c>
      <c r="U171">
        <f t="shared" si="262"/>
        <v>3464.4160821221685</v>
      </c>
      <c r="V171">
        <f t="shared" si="262"/>
        <v>187.61608212216834</v>
      </c>
      <c r="Y171">
        <f t="shared" si="262"/>
        <v>7200</v>
      </c>
      <c r="Z171">
        <f t="shared" si="262"/>
        <v>5760</v>
      </c>
      <c r="AA171">
        <f t="shared" si="262"/>
        <v>4608</v>
      </c>
      <c r="AB171">
        <f t="shared" si="262"/>
        <v>3686.3999999999996</v>
      </c>
      <c r="AC171">
        <f t="shared" si="262"/>
        <v>0</v>
      </c>
      <c r="AG171">
        <f t="shared" si="262"/>
        <v>14400</v>
      </c>
      <c r="AH171">
        <f t="shared" si="262"/>
        <v>11520</v>
      </c>
      <c r="AI171">
        <f t="shared" si="262"/>
        <v>9216</v>
      </c>
      <c r="AJ171">
        <f t="shared" si="262"/>
        <v>7372.7999999999993</v>
      </c>
      <c r="AK171">
        <f t="shared" si="262"/>
        <v>0</v>
      </c>
    </row>
    <row r="172" spans="1:50">
      <c r="A172" s="40"/>
    </row>
    <row r="173" spans="1:50">
      <c r="A173" s="40"/>
      <c r="AM173" s="64">
        <v>14000</v>
      </c>
      <c r="AN173" s="64">
        <v>12000</v>
      </c>
      <c r="AO173" s="64">
        <v>10000</v>
      </c>
      <c r="AP173" s="64">
        <v>8000</v>
      </c>
      <c r="AQ173" s="64">
        <v>6000</v>
      </c>
      <c r="AR173" s="64">
        <v>4000</v>
      </c>
      <c r="AS173" s="64">
        <v>2000</v>
      </c>
    </row>
    <row r="174" spans="1:50">
      <c r="A174" s="40" t="s">
        <v>201</v>
      </c>
      <c r="B174" t="s">
        <v>214</v>
      </c>
      <c r="F174">
        <v>90000</v>
      </c>
      <c r="G174">
        <v>87500</v>
      </c>
      <c r="H174">
        <v>85000</v>
      </c>
      <c r="I174">
        <v>82500</v>
      </c>
      <c r="J174">
        <v>80000</v>
      </c>
      <c r="K174">
        <v>77500</v>
      </c>
      <c r="L174">
        <v>75000</v>
      </c>
      <c r="M174">
        <v>72500</v>
      </c>
      <c r="N174">
        <v>70000</v>
      </c>
      <c r="O174">
        <v>67500</v>
      </c>
      <c r="P174">
        <v>65000</v>
      </c>
      <c r="Q174">
        <v>62500</v>
      </c>
      <c r="R174">
        <v>60000</v>
      </c>
      <c r="S174">
        <v>45000</v>
      </c>
      <c r="T174">
        <v>30000</v>
      </c>
      <c r="U174" s="40">
        <v>114720</v>
      </c>
      <c r="V174" s="40">
        <v>91776</v>
      </c>
      <c r="Y174" s="40">
        <v>68832</v>
      </c>
      <c r="Z174" s="40">
        <v>45888</v>
      </c>
      <c r="AA174" s="40">
        <v>22944</v>
      </c>
      <c r="AB174">
        <v>15000</v>
      </c>
      <c r="AC174">
        <v>12000</v>
      </c>
      <c r="AG174">
        <f t="shared" ref="AG174:AK176" si="263">Y174+AM173</f>
        <v>82832</v>
      </c>
      <c r="AH174">
        <f t="shared" si="263"/>
        <v>57888</v>
      </c>
      <c r="AI174">
        <f t="shared" si="263"/>
        <v>32944</v>
      </c>
      <c r="AJ174">
        <f t="shared" si="263"/>
        <v>23000</v>
      </c>
      <c r="AK174">
        <f t="shared" si="263"/>
        <v>18000</v>
      </c>
      <c r="AM174" s="64">
        <v>2000</v>
      </c>
      <c r="AN174" s="64">
        <v>2000</v>
      </c>
      <c r="AO174" s="64">
        <v>2000</v>
      </c>
      <c r="AP174" s="64">
        <v>2000</v>
      </c>
      <c r="AQ174" s="64">
        <v>2000</v>
      </c>
      <c r="AR174" s="64">
        <v>2000</v>
      </c>
      <c r="AS174" s="64">
        <v>2000</v>
      </c>
    </row>
    <row r="175" spans="1:50">
      <c r="A175" s="40"/>
      <c r="B175" t="s">
        <v>105</v>
      </c>
      <c r="F175">
        <v>2500</v>
      </c>
      <c r="G175">
        <v>2500</v>
      </c>
      <c r="H175">
        <v>2500</v>
      </c>
      <c r="I175">
        <v>2500</v>
      </c>
      <c r="J175">
        <v>2500</v>
      </c>
      <c r="K175">
        <v>2500</v>
      </c>
      <c r="L175">
        <v>2500</v>
      </c>
      <c r="M175">
        <v>2500</v>
      </c>
      <c r="N175">
        <v>2500</v>
      </c>
      <c r="O175">
        <v>2500</v>
      </c>
      <c r="P175">
        <v>2500</v>
      </c>
      <c r="Q175">
        <v>2500</v>
      </c>
      <c r="R175">
        <v>15000</v>
      </c>
      <c r="S175">
        <v>15000</v>
      </c>
      <c r="T175">
        <v>30000</v>
      </c>
      <c r="U175" s="40">
        <v>22944</v>
      </c>
      <c r="V175" s="40">
        <v>22944</v>
      </c>
      <c r="Y175" s="40">
        <v>22944</v>
      </c>
      <c r="Z175" s="40">
        <v>22944</v>
      </c>
      <c r="AA175" s="40">
        <v>22944</v>
      </c>
      <c r="AB175">
        <v>3000</v>
      </c>
      <c r="AC175">
        <v>3000</v>
      </c>
      <c r="AG175">
        <f t="shared" si="263"/>
        <v>24944</v>
      </c>
      <c r="AH175">
        <f t="shared" si="263"/>
        <v>24944</v>
      </c>
      <c r="AI175">
        <f t="shared" si="263"/>
        <v>24944</v>
      </c>
      <c r="AJ175">
        <f t="shared" si="263"/>
        <v>5000</v>
      </c>
      <c r="AK175">
        <f t="shared" si="263"/>
        <v>5000</v>
      </c>
      <c r="AM175" s="64">
        <v>12000</v>
      </c>
      <c r="AN175" s="64">
        <v>10000</v>
      </c>
      <c r="AO175" s="64">
        <v>8000</v>
      </c>
      <c r="AP175" s="64">
        <v>6000</v>
      </c>
      <c r="AQ175" s="64">
        <v>4000</v>
      </c>
      <c r="AR175" s="64">
        <v>2000</v>
      </c>
      <c r="AS175" s="64">
        <v>0</v>
      </c>
    </row>
    <row r="176" spans="1:50">
      <c r="A176" s="40"/>
      <c r="B176" t="s">
        <v>106</v>
      </c>
      <c r="F176">
        <v>87500</v>
      </c>
      <c r="G176">
        <v>85000</v>
      </c>
      <c r="H176">
        <v>82500</v>
      </c>
      <c r="I176">
        <v>80000</v>
      </c>
      <c r="J176">
        <v>77500</v>
      </c>
      <c r="K176">
        <v>75000</v>
      </c>
      <c r="L176">
        <v>72500</v>
      </c>
      <c r="M176">
        <v>70000</v>
      </c>
      <c r="N176">
        <v>67500</v>
      </c>
      <c r="O176">
        <v>65000</v>
      </c>
      <c r="P176">
        <v>62500</v>
      </c>
      <c r="Q176">
        <v>60000</v>
      </c>
      <c r="R176">
        <v>45000</v>
      </c>
      <c r="S176">
        <v>30000</v>
      </c>
      <c r="T176">
        <v>0</v>
      </c>
      <c r="U176" s="40">
        <v>91776</v>
      </c>
      <c r="V176" s="40">
        <v>68832</v>
      </c>
      <c r="Y176" s="40">
        <v>45888</v>
      </c>
      <c r="Z176" s="40">
        <v>22944</v>
      </c>
      <c r="AA176" s="40">
        <v>0</v>
      </c>
      <c r="AB176">
        <v>12000</v>
      </c>
      <c r="AC176">
        <v>9000</v>
      </c>
      <c r="AG176">
        <f t="shared" si="263"/>
        <v>57888</v>
      </c>
      <c r="AH176">
        <f t="shared" si="263"/>
        <v>32944</v>
      </c>
      <c r="AI176">
        <f t="shared" si="263"/>
        <v>8000</v>
      </c>
      <c r="AJ176">
        <f t="shared" si="263"/>
        <v>18000</v>
      </c>
      <c r="AK176">
        <f t="shared" si="263"/>
        <v>13000</v>
      </c>
    </row>
    <row r="177" spans="1:37">
      <c r="A177" s="40"/>
      <c r="B177" t="s">
        <v>215</v>
      </c>
      <c r="T177">
        <f>U97</f>
        <v>114720</v>
      </c>
      <c r="AA177">
        <f>AB97</f>
        <v>15000</v>
      </c>
      <c r="AI177">
        <f>AA177</f>
        <v>15000</v>
      </c>
    </row>
    <row r="178" spans="1:37">
      <c r="A178" s="40"/>
      <c r="B178" t="s">
        <v>263</v>
      </c>
      <c r="U178">
        <f>T179</f>
        <v>90000</v>
      </c>
      <c r="AB178">
        <f>AA179</f>
        <v>114720</v>
      </c>
      <c r="AJ178">
        <f>V179</f>
        <v>114720</v>
      </c>
    </row>
    <row r="179" spans="1:37">
      <c r="A179" s="40"/>
      <c r="B179" t="s">
        <v>85</v>
      </c>
      <c r="F179">
        <f>F97</f>
        <v>90000</v>
      </c>
      <c r="G179">
        <f>G97</f>
        <v>90000</v>
      </c>
      <c r="H179">
        <f t="shared" ref="H179:T179" si="264">H97</f>
        <v>90000</v>
      </c>
      <c r="I179">
        <f t="shared" si="264"/>
        <v>90000</v>
      </c>
      <c r="J179">
        <f t="shared" si="264"/>
        <v>90000</v>
      </c>
      <c r="K179">
        <f t="shared" si="264"/>
        <v>90000</v>
      </c>
      <c r="L179">
        <f t="shared" si="264"/>
        <v>90000</v>
      </c>
      <c r="M179">
        <f t="shared" si="264"/>
        <v>90000</v>
      </c>
      <c r="N179">
        <f t="shared" si="264"/>
        <v>90000</v>
      </c>
      <c r="O179">
        <f t="shared" si="264"/>
        <v>90000</v>
      </c>
      <c r="P179">
        <f t="shared" si="264"/>
        <v>90000</v>
      </c>
      <c r="Q179">
        <f t="shared" si="264"/>
        <v>90000</v>
      </c>
      <c r="R179">
        <f t="shared" si="264"/>
        <v>90000</v>
      </c>
      <c r="S179">
        <f t="shared" si="264"/>
        <v>90000</v>
      </c>
      <c r="T179">
        <f t="shared" si="264"/>
        <v>90000</v>
      </c>
      <c r="U179">
        <f>U97</f>
        <v>114720</v>
      </c>
      <c r="V179">
        <f t="shared" ref="V179" si="265">V97</f>
        <v>114720</v>
      </c>
      <c r="Y179">
        <f t="shared" ref="Y179:Z179" si="266">Y97</f>
        <v>114720</v>
      </c>
      <c r="Z179">
        <f t="shared" si="266"/>
        <v>114720</v>
      </c>
      <c r="AA179">
        <f t="shared" ref="AA179:AI179" si="267">AA97</f>
        <v>114720</v>
      </c>
      <c r="AB179">
        <f t="shared" si="267"/>
        <v>15000</v>
      </c>
      <c r="AC179">
        <f t="shared" si="267"/>
        <v>15000</v>
      </c>
      <c r="AG179">
        <f t="shared" si="267"/>
        <v>128720</v>
      </c>
      <c r="AH179">
        <f t="shared" si="267"/>
        <v>128720</v>
      </c>
      <c r="AI179">
        <f t="shared" si="267"/>
        <v>128720</v>
      </c>
      <c r="AJ179">
        <f t="shared" ref="AJ179:AK179" si="268">AJ97</f>
        <v>29000</v>
      </c>
      <c r="AK179">
        <f t="shared" si="268"/>
        <v>29000</v>
      </c>
    </row>
    <row r="180" spans="1:37">
      <c r="A180" s="40"/>
      <c r="B180" t="s">
        <v>153</v>
      </c>
      <c r="F180">
        <f>F175</f>
        <v>2500</v>
      </c>
      <c r="G180">
        <f>F180+G175</f>
        <v>5000</v>
      </c>
      <c r="H180">
        <f t="shared" ref="H180:T180" si="269">G180+H175</f>
        <v>7500</v>
      </c>
      <c r="I180">
        <f t="shared" si="269"/>
        <v>10000</v>
      </c>
      <c r="J180">
        <f t="shared" si="269"/>
        <v>12500</v>
      </c>
      <c r="K180">
        <f t="shared" si="269"/>
        <v>15000</v>
      </c>
      <c r="L180">
        <f t="shared" si="269"/>
        <v>17500</v>
      </c>
      <c r="M180">
        <f t="shared" si="269"/>
        <v>20000</v>
      </c>
      <c r="N180">
        <f t="shared" si="269"/>
        <v>22500</v>
      </c>
      <c r="O180">
        <f t="shared" si="269"/>
        <v>25000</v>
      </c>
      <c r="P180">
        <f t="shared" si="269"/>
        <v>27500</v>
      </c>
      <c r="Q180">
        <f t="shared" si="269"/>
        <v>30000</v>
      </c>
      <c r="R180">
        <f t="shared" si="269"/>
        <v>45000</v>
      </c>
      <c r="S180">
        <f t="shared" si="269"/>
        <v>60000</v>
      </c>
      <c r="T180">
        <f t="shared" si="269"/>
        <v>90000</v>
      </c>
      <c r="U180">
        <f>U175</f>
        <v>22944</v>
      </c>
      <c r="V180">
        <f>U180+V175</f>
        <v>45888</v>
      </c>
      <c r="Y180">
        <f>V180+Y175</f>
        <v>68832</v>
      </c>
      <c r="Z180">
        <f>Y180+Z175</f>
        <v>91776</v>
      </c>
      <c r="AA180">
        <f>Z180+AA175</f>
        <v>114720</v>
      </c>
      <c r="AB180">
        <f>AB175</f>
        <v>3000</v>
      </c>
      <c r="AC180">
        <f t="shared" ref="AC180" si="270">AB180+AC175</f>
        <v>6000</v>
      </c>
      <c r="AG180">
        <f>V180+AG175</f>
        <v>70832</v>
      </c>
      <c r="AH180">
        <f>AG180+AH175</f>
        <v>95776</v>
      </c>
      <c r="AI180">
        <f>AH180+AI175</f>
        <v>120720</v>
      </c>
      <c r="AJ180">
        <f>AI180+AJ175-AJ178</f>
        <v>11000</v>
      </c>
      <c r="AK180">
        <f>AK175</f>
        <v>5000</v>
      </c>
    </row>
    <row r="181" spans="1:37">
      <c r="A181" s="40"/>
      <c r="B181" t="s">
        <v>262</v>
      </c>
      <c r="F181">
        <f>F179-F180</f>
        <v>87500</v>
      </c>
      <c r="G181">
        <f>G179-G180</f>
        <v>85000</v>
      </c>
      <c r="H181">
        <f t="shared" ref="H181:T181" si="271">H179-H180</f>
        <v>82500</v>
      </c>
      <c r="I181">
        <f t="shared" si="271"/>
        <v>80000</v>
      </c>
      <c r="J181">
        <f t="shared" si="271"/>
        <v>77500</v>
      </c>
      <c r="K181">
        <f t="shared" si="271"/>
        <v>75000</v>
      </c>
      <c r="L181">
        <f t="shared" si="271"/>
        <v>72500</v>
      </c>
      <c r="M181">
        <f t="shared" si="271"/>
        <v>70000</v>
      </c>
      <c r="N181">
        <f t="shared" si="271"/>
        <v>67500</v>
      </c>
      <c r="O181">
        <f t="shared" si="271"/>
        <v>65000</v>
      </c>
      <c r="P181">
        <f t="shared" si="271"/>
        <v>62500</v>
      </c>
      <c r="Q181">
        <f t="shared" si="271"/>
        <v>60000</v>
      </c>
      <c r="R181">
        <f t="shared" si="271"/>
        <v>45000</v>
      </c>
      <c r="S181">
        <f t="shared" si="271"/>
        <v>30000</v>
      </c>
      <c r="T181">
        <f t="shared" si="271"/>
        <v>0</v>
      </c>
      <c r="U181">
        <f t="shared" ref="U181" si="272">U179-U180</f>
        <v>91776</v>
      </c>
      <c r="V181">
        <f t="shared" ref="V181" si="273">V179-V180</f>
        <v>68832</v>
      </c>
      <c r="Y181">
        <f t="shared" ref="Y181" si="274">Y179-Y180</f>
        <v>45888</v>
      </c>
      <c r="Z181">
        <f t="shared" ref="Z181" si="275">Z179-Z180</f>
        <v>22944</v>
      </c>
      <c r="AA181">
        <f t="shared" ref="AA181" si="276">AA179-AA180</f>
        <v>0</v>
      </c>
      <c r="AB181">
        <f t="shared" ref="AB181" si="277">AB179-AB180</f>
        <v>12000</v>
      </c>
      <c r="AC181">
        <f t="shared" ref="AC181" si="278">AC179-AC180</f>
        <v>9000</v>
      </c>
      <c r="AG181">
        <f>AG179-AG180</f>
        <v>57888</v>
      </c>
      <c r="AH181">
        <f t="shared" ref="AH181:AK181" si="279">AH179-AH180</f>
        <v>32944</v>
      </c>
      <c r="AI181">
        <f t="shared" si="279"/>
        <v>8000</v>
      </c>
      <c r="AJ181">
        <f t="shared" si="279"/>
        <v>18000</v>
      </c>
      <c r="AK181">
        <f t="shared" si="279"/>
        <v>24000</v>
      </c>
    </row>
    <row r="182" spans="1:37">
      <c r="A182" s="40"/>
    </row>
    <row r="183" spans="1:37">
      <c r="A183" s="40" t="s">
        <v>202</v>
      </c>
      <c r="B183" t="s">
        <v>214</v>
      </c>
      <c r="F183">
        <v>20000</v>
      </c>
      <c r="G183">
        <v>19833</v>
      </c>
      <c r="H183">
        <v>19666</v>
      </c>
      <c r="I183">
        <v>19499</v>
      </c>
      <c r="J183">
        <v>19332</v>
      </c>
      <c r="K183">
        <v>19165</v>
      </c>
      <c r="L183">
        <v>18998</v>
      </c>
      <c r="M183">
        <v>18831</v>
      </c>
      <c r="N183">
        <v>18664</v>
      </c>
      <c r="O183">
        <v>18497</v>
      </c>
      <c r="P183">
        <v>18330</v>
      </c>
      <c r="Q183">
        <v>18163</v>
      </c>
      <c r="R183" s="40">
        <v>18000</v>
      </c>
      <c r="S183" s="40">
        <v>17000</v>
      </c>
      <c r="T183">
        <v>16000</v>
      </c>
      <c r="U183">
        <v>14000</v>
      </c>
      <c r="V183">
        <v>12000</v>
      </c>
      <c r="Y183">
        <v>10000</v>
      </c>
      <c r="Z183">
        <v>8000</v>
      </c>
      <c r="AA183">
        <v>6000</v>
      </c>
      <c r="AB183">
        <v>4000</v>
      </c>
      <c r="AC183">
        <v>2000</v>
      </c>
      <c r="AG183">
        <f>Y183*2</f>
        <v>20000</v>
      </c>
      <c r="AH183">
        <f t="shared" ref="AH183:AK185" si="280">Z183*2</f>
        <v>16000</v>
      </c>
      <c r="AI183">
        <f t="shared" si="280"/>
        <v>12000</v>
      </c>
      <c r="AJ183">
        <f t="shared" si="280"/>
        <v>8000</v>
      </c>
      <c r="AK183">
        <f t="shared" si="280"/>
        <v>4000</v>
      </c>
    </row>
    <row r="184" spans="1:37">
      <c r="A184" s="40"/>
      <c r="B184" t="s">
        <v>105</v>
      </c>
      <c r="F184">
        <v>167</v>
      </c>
      <c r="G184">
        <v>167</v>
      </c>
      <c r="H184">
        <v>167</v>
      </c>
      <c r="I184">
        <v>167</v>
      </c>
      <c r="J184">
        <v>167</v>
      </c>
      <c r="K184">
        <v>167</v>
      </c>
      <c r="L184">
        <v>167</v>
      </c>
      <c r="M184">
        <v>167</v>
      </c>
      <c r="N184">
        <v>167</v>
      </c>
      <c r="O184">
        <v>167</v>
      </c>
      <c r="P184">
        <v>167</v>
      </c>
      <c r="Q184">
        <v>167</v>
      </c>
      <c r="R184" s="40">
        <v>1000</v>
      </c>
      <c r="S184" s="40">
        <v>1000</v>
      </c>
      <c r="T184">
        <v>2000</v>
      </c>
      <c r="U184">
        <v>2000</v>
      </c>
      <c r="V184">
        <v>2000</v>
      </c>
      <c r="Y184">
        <v>2000</v>
      </c>
      <c r="Z184">
        <v>2000</v>
      </c>
      <c r="AA184">
        <v>2000</v>
      </c>
      <c r="AB184">
        <v>2000</v>
      </c>
      <c r="AC184">
        <v>2000</v>
      </c>
      <c r="AG184">
        <f t="shared" ref="AG184:AG185" si="281">Y184*2</f>
        <v>4000</v>
      </c>
      <c r="AH184">
        <f t="shared" si="280"/>
        <v>4000</v>
      </c>
      <c r="AI184">
        <f t="shared" si="280"/>
        <v>4000</v>
      </c>
      <c r="AJ184">
        <f t="shared" si="280"/>
        <v>4000</v>
      </c>
      <c r="AK184">
        <f t="shared" si="280"/>
        <v>4000</v>
      </c>
    </row>
    <row r="185" spans="1:37">
      <c r="A185" s="40"/>
      <c r="B185" t="s">
        <v>106</v>
      </c>
      <c r="F185">
        <v>19833</v>
      </c>
      <c r="G185">
        <v>19666</v>
      </c>
      <c r="H185">
        <v>19499</v>
      </c>
      <c r="I185">
        <v>19332</v>
      </c>
      <c r="J185">
        <v>19165</v>
      </c>
      <c r="K185">
        <v>18998</v>
      </c>
      <c r="L185">
        <v>18831</v>
      </c>
      <c r="M185">
        <v>18664</v>
      </c>
      <c r="N185">
        <v>18497</v>
      </c>
      <c r="O185">
        <v>18330</v>
      </c>
      <c r="P185">
        <v>18163</v>
      </c>
      <c r="Q185">
        <v>17996</v>
      </c>
      <c r="R185" s="40">
        <v>17000</v>
      </c>
      <c r="S185" s="40">
        <v>16000</v>
      </c>
      <c r="T185">
        <v>14000</v>
      </c>
      <c r="U185">
        <v>12000</v>
      </c>
      <c r="V185">
        <v>10000</v>
      </c>
      <c r="Y185">
        <v>8000</v>
      </c>
      <c r="Z185">
        <v>6000</v>
      </c>
      <c r="AA185">
        <v>4000</v>
      </c>
      <c r="AB185">
        <v>2000</v>
      </c>
      <c r="AC185">
        <v>0</v>
      </c>
      <c r="AG185">
        <f t="shared" si="281"/>
        <v>16000</v>
      </c>
      <c r="AH185">
        <f t="shared" si="280"/>
        <v>12000</v>
      </c>
      <c r="AI185">
        <f t="shared" si="280"/>
        <v>8000</v>
      </c>
      <c r="AJ185">
        <f t="shared" si="280"/>
        <v>4000</v>
      </c>
      <c r="AK185">
        <f t="shared" si="280"/>
        <v>0</v>
      </c>
    </row>
    <row r="186" spans="1:37">
      <c r="A186" s="40"/>
      <c r="B186" t="s">
        <v>215</v>
      </c>
      <c r="AG186">
        <v>10000</v>
      </c>
    </row>
    <row r="187" spans="1:37">
      <c r="A187" s="40"/>
      <c r="B187" t="s">
        <v>263</v>
      </c>
    </row>
    <row r="188" spans="1:37">
      <c r="A188" s="40"/>
      <c r="B188" t="s">
        <v>85</v>
      </c>
      <c r="F188">
        <f>F98</f>
        <v>20000</v>
      </c>
      <c r="G188">
        <f>G98</f>
        <v>20000</v>
      </c>
      <c r="H188">
        <f t="shared" ref="H188:V188" si="282">H98</f>
        <v>20000</v>
      </c>
      <c r="I188">
        <f t="shared" si="282"/>
        <v>20000</v>
      </c>
      <c r="J188">
        <f t="shared" si="282"/>
        <v>20000</v>
      </c>
      <c r="K188">
        <f t="shared" si="282"/>
        <v>20000</v>
      </c>
      <c r="L188">
        <f t="shared" si="282"/>
        <v>20000</v>
      </c>
      <c r="M188">
        <f t="shared" si="282"/>
        <v>20000</v>
      </c>
      <c r="N188">
        <f t="shared" si="282"/>
        <v>20000</v>
      </c>
      <c r="O188">
        <f t="shared" si="282"/>
        <v>20000</v>
      </c>
      <c r="P188">
        <f t="shared" si="282"/>
        <v>20000</v>
      </c>
      <c r="Q188">
        <f t="shared" si="282"/>
        <v>20000</v>
      </c>
      <c r="R188">
        <f t="shared" si="282"/>
        <v>20000</v>
      </c>
      <c r="S188">
        <f t="shared" si="282"/>
        <v>20000</v>
      </c>
      <c r="T188">
        <f t="shared" si="282"/>
        <v>20000</v>
      </c>
      <c r="U188">
        <f t="shared" si="282"/>
        <v>20000</v>
      </c>
      <c r="V188">
        <f t="shared" si="282"/>
        <v>20000</v>
      </c>
      <c r="Y188">
        <f t="shared" ref="Y188:AC188" si="283">Y98</f>
        <v>20000</v>
      </c>
      <c r="Z188">
        <f t="shared" si="283"/>
        <v>20000</v>
      </c>
      <c r="AA188">
        <f t="shared" si="283"/>
        <v>20000</v>
      </c>
      <c r="AB188">
        <f t="shared" si="283"/>
        <v>20000</v>
      </c>
      <c r="AC188">
        <f t="shared" si="283"/>
        <v>20000</v>
      </c>
      <c r="AG188">
        <f>AG98</f>
        <v>42000</v>
      </c>
      <c r="AH188">
        <f t="shared" ref="AH188:AK188" si="284">AH98</f>
        <v>42000</v>
      </c>
      <c r="AI188">
        <f t="shared" si="284"/>
        <v>42000</v>
      </c>
      <c r="AJ188">
        <f t="shared" si="284"/>
        <v>42000</v>
      </c>
      <c r="AK188">
        <f t="shared" si="284"/>
        <v>42000</v>
      </c>
    </row>
    <row r="189" spans="1:37">
      <c r="A189" s="40"/>
      <c r="B189" t="s">
        <v>153</v>
      </c>
      <c r="F189">
        <f>F184</f>
        <v>167</v>
      </c>
      <c r="G189">
        <f>F189+G184</f>
        <v>334</v>
      </c>
      <c r="H189">
        <f t="shared" ref="H189:V189" si="285">G189+H184</f>
        <v>501</v>
      </c>
      <c r="I189">
        <f t="shared" si="285"/>
        <v>668</v>
      </c>
      <c r="J189">
        <f t="shared" si="285"/>
        <v>835</v>
      </c>
      <c r="K189">
        <f t="shared" si="285"/>
        <v>1002</v>
      </c>
      <c r="L189">
        <f t="shared" si="285"/>
        <v>1169</v>
      </c>
      <c r="M189">
        <f t="shared" si="285"/>
        <v>1336</v>
      </c>
      <c r="N189">
        <f t="shared" si="285"/>
        <v>1503</v>
      </c>
      <c r="O189">
        <f t="shared" si="285"/>
        <v>1670</v>
      </c>
      <c r="P189">
        <f t="shared" si="285"/>
        <v>1837</v>
      </c>
      <c r="Q189">
        <f t="shared" si="285"/>
        <v>2004</v>
      </c>
      <c r="R189">
        <f t="shared" si="285"/>
        <v>3004</v>
      </c>
      <c r="S189">
        <f t="shared" si="285"/>
        <v>4004</v>
      </c>
      <c r="T189">
        <f t="shared" si="285"/>
        <v>6004</v>
      </c>
      <c r="U189">
        <f t="shared" si="285"/>
        <v>8004</v>
      </c>
      <c r="V189">
        <f t="shared" si="285"/>
        <v>10004</v>
      </c>
      <c r="Y189">
        <f>V189+Y184</f>
        <v>12004</v>
      </c>
      <c r="Z189">
        <f>Y189+Z184</f>
        <v>14004</v>
      </c>
      <c r="AA189">
        <f t="shared" ref="AA189:AB189" si="286">Z189+AA184</f>
        <v>16004</v>
      </c>
      <c r="AB189">
        <f t="shared" si="286"/>
        <v>18004</v>
      </c>
      <c r="AC189">
        <f>AB189+AC184</f>
        <v>20004</v>
      </c>
      <c r="AG189">
        <f>V189+AG184</f>
        <v>14004</v>
      </c>
      <c r="AH189">
        <f>AG189+AH184</f>
        <v>18004</v>
      </c>
      <c r="AI189">
        <f>AH189+AI184</f>
        <v>22004</v>
      </c>
      <c r="AJ189">
        <f t="shared" ref="AJ189:AK189" si="287">AI189+AJ184</f>
        <v>26004</v>
      </c>
      <c r="AK189">
        <f t="shared" si="287"/>
        <v>30004</v>
      </c>
    </row>
    <row r="190" spans="1:37">
      <c r="A190" s="40"/>
      <c r="B190" t="s">
        <v>262</v>
      </c>
      <c r="F190">
        <f>F188-F189</f>
        <v>19833</v>
      </c>
      <c r="G190">
        <f>G188-G189</f>
        <v>19666</v>
      </c>
      <c r="H190">
        <f t="shared" ref="H190:V190" si="288">H188-H189</f>
        <v>19499</v>
      </c>
      <c r="I190">
        <f t="shared" si="288"/>
        <v>19332</v>
      </c>
      <c r="J190">
        <f t="shared" si="288"/>
        <v>19165</v>
      </c>
      <c r="K190">
        <f t="shared" si="288"/>
        <v>18998</v>
      </c>
      <c r="L190">
        <f t="shared" si="288"/>
        <v>18831</v>
      </c>
      <c r="M190">
        <f t="shared" si="288"/>
        <v>18664</v>
      </c>
      <c r="N190">
        <f t="shared" si="288"/>
        <v>18497</v>
      </c>
      <c r="O190">
        <f t="shared" si="288"/>
        <v>18330</v>
      </c>
      <c r="P190">
        <f t="shared" si="288"/>
        <v>18163</v>
      </c>
      <c r="Q190">
        <f t="shared" si="288"/>
        <v>17996</v>
      </c>
      <c r="R190">
        <f t="shared" si="288"/>
        <v>16996</v>
      </c>
      <c r="S190">
        <f t="shared" si="288"/>
        <v>15996</v>
      </c>
      <c r="T190">
        <f t="shared" si="288"/>
        <v>13996</v>
      </c>
      <c r="U190">
        <f t="shared" si="288"/>
        <v>11996</v>
      </c>
      <c r="V190">
        <f t="shared" si="288"/>
        <v>9996</v>
      </c>
      <c r="Y190">
        <f t="shared" ref="Y190" si="289">Y188-Y189</f>
        <v>7996</v>
      </c>
      <c r="Z190">
        <f t="shared" ref="Z190" si="290">Z188-Z189</f>
        <v>5996</v>
      </c>
      <c r="AA190">
        <f t="shared" ref="AA190" si="291">AA188-AA189</f>
        <v>3996</v>
      </c>
      <c r="AB190">
        <f t="shared" ref="AB190" si="292">AB188-AB189</f>
        <v>1996</v>
      </c>
      <c r="AC190">
        <f>IF(AC188-AC189&lt;0,0,AC188-AC189)</f>
        <v>0</v>
      </c>
      <c r="AG190">
        <f t="shared" ref="AG190" si="293">AG188-AG189</f>
        <v>27996</v>
      </c>
      <c r="AH190">
        <f t="shared" ref="AH190" si="294">AH188-AH189</f>
        <v>23996</v>
      </c>
      <c r="AI190">
        <f t="shared" ref="AI190" si="295">AI188-AI189</f>
        <v>19996</v>
      </c>
      <c r="AJ190">
        <f t="shared" ref="AJ190" si="296">AJ188-AJ189</f>
        <v>15996</v>
      </c>
      <c r="AK190">
        <f t="shared" ref="AK190" si="297">AK188-AK189</f>
        <v>11996</v>
      </c>
    </row>
    <row r="191" spans="1:37">
      <c r="A191" s="40"/>
    </row>
    <row r="192" spans="1:37">
      <c r="A192" s="43" t="s">
        <v>217</v>
      </c>
      <c r="B192" t="s">
        <v>214</v>
      </c>
      <c r="AG192">
        <v>50000</v>
      </c>
      <c r="AH192">
        <v>44062.5</v>
      </c>
      <c r="AI192">
        <v>38830.078125</v>
      </c>
      <c r="AJ192">
        <v>34219.00634765625</v>
      </c>
      <c r="AK192">
        <v>30155.49934387207</v>
      </c>
    </row>
    <row r="193" spans="1:37">
      <c r="A193" s="43"/>
      <c r="B193" t="s">
        <v>105</v>
      </c>
      <c r="AG193">
        <v>5937.5</v>
      </c>
      <c r="AH193">
        <v>5232.421875</v>
      </c>
      <c r="AI193">
        <v>4611.07177734375</v>
      </c>
      <c r="AJ193">
        <v>4063.5070037841797</v>
      </c>
      <c r="AK193">
        <v>3580.9655470848083</v>
      </c>
    </row>
    <row r="194" spans="1:37">
      <c r="A194" s="43"/>
      <c r="B194" t="s">
        <v>106</v>
      </c>
      <c r="AG194">
        <v>44062.5</v>
      </c>
      <c r="AH194">
        <v>38830.078125</v>
      </c>
      <c r="AI194">
        <v>34219.00634765625</v>
      </c>
      <c r="AJ194">
        <v>30155.49934387207</v>
      </c>
      <c r="AK194">
        <v>26574.533796787262</v>
      </c>
    </row>
    <row r="195" spans="1:37">
      <c r="A195" s="43"/>
      <c r="B195" t="s">
        <v>215</v>
      </c>
      <c r="AG195">
        <f>AG197</f>
        <v>50000</v>
      </c>
    </row>
    <row r="196" spans="1:37">
      <c r="A196" s="43"/>
      <c r="B196" t="s">
        <v>263</v>
      </c>
    </row>
    <row r="197" spans="1:37">
      <c r="A197" s="43"/>
      <c r="B197" t="s">
        <v>85</v>
      </c>
      <c r="AG197">
        <f>AG99</f>
        <v>50000</v>
      </c>
      <c r="AH197">
        <f>AH99</f>
        <v>50000</v>
      </c>
      <c r="AI197">
        <f t="shared" ref="AI197:AK197" si="298">AI99</f>
        <v>50000</v>
      </c>
      <c r="AJ197">
        <f t="shared" si="298"/>
        <v>50000</v>
      </c>
      <c r="AK197">
        <f t="shared" si="298"/>
        <v>50000</v>
      </c>
    </row>
    <row r="198" spans="1:37">
      <c r="A198" s="43"/>
      <c r="B198" t="s">
        <v>153</v>
      </c>
      <c r="AG198">
        <f>AG193</f>
        <v>5937.5</v>
      </c>
      <c r="AH198">
        <f>AH193+AG198</f>
        <v>11169.921875</v>
      </c>
      <c r="AI198">
        <f t="shared" ref="AI198:AK198" si="299">AI193+AH198</f>
        <v>15780.99365234375</v>
      </c>
      <c r="AJ198">
        <f t="shared" si="299"/>
        <v>19844.50065612793</v>
      </c>
      <c r="AK198">
        <f t="shared" si="299"/>
        <v>23425.466203212738</v>
      </c>
    </row>
    <row r="199" spans="1:37">
      <c r="A199" s="43"/>
      <c r="B199" t="s">
        <v>262</v>
      </c>
      <c r="AG199">
        <f>AG197-AG198</f>
        <v>44062.5</v>
      </c>
      <c r="AH199">
        <f>AH197-AH198</f>
        <v>38830.078125</v>
      </c>
      <c r="AI199">
        <f t="shared" ref="AI199:AK199" si="300">AI197-AI198</f>
        <v>34219.00634765625</v>
      </c>
      <c r="AJ199">
        <f t="shared" si="300"/>
        <v>30155.49934387207</v>
      </c>
      <c r="AK199">
        <f t="shared" si="300"/>
        <v>26574.533796787262</v>
      </c>
    </row>
    <row r="200" spans="1:37">
      <c r="A200" s="43"/>
    </row>
    <row r="201" spans="1:37">
      <c r="A201" s="43" t="s">
        <v>218</v>
      </c>
      <c r="B201" t="s">
        <v>214</v>
      </c>
      <c r="AG201">
        <v>10000</v>
      </c>
      <c r="AH201">
        <v>9333</v>
      </c>
      <c r="AI201">
        <v>8666</v>
      </c>
      <c r="AJ201">
        <v>7999</v>
      </c>
      <c r="AK201">
        <v>7332</v>
      </c>
    </row>
    <row r="202" spans="1:37">
      <c r="A202" s="40"/>
      <c r="B202" t="s">
        <v>105</v>
      </c>
      <c r="AG202">
        <v>667</v>
      </c>
      <c r="AH202">
        <v>667</v>
      </c>
      <c r="AI202">
        <v>667</v>
      </c>
      <c r="AJ202">
        <v>667</v>
      </c>
      <c r="AK202">
        <v>667</v>
      </c>
    </row>
    <row r="203" spans="1:37">
      <c r="A203" s="40"/>
      <c r="B203" t="s">
        <v>106</v>
      </c>
      <c r="AG203">
        <v>9333</v>
      </c>
      <c r="AH203">
        <v>8666</v>
      </c>
      <c r="AI203">
        <v>7999</v>
      </c>
      <c r="AJ203">
        <v>7332</v>
      </c>
      <c r="AK203">
        <v>6665</v>
      </c>
    </row>
    <row r="204" spans="1:37">
      <c r="A204" s="40"/>
      <c r="B204" t="s">
        <v>215</v>
      </c>
      <c r="AG204">
        <f>AG206</f>
        <v>10000</v>
      </c>
    </row>
    <row r="205" spans="1:37">
      <c r="A205" s="40"/>
      <c r="B205" t="s">
        <v>263</v>
      </c>
    </row>
    <row r="206" spans="1:37">
      <c r="A206" s="40"/>
      <c r="B206" t="s">
        <v>85</v>
      </c>
      <c r="AG206">
        <f>AG100</f>
        <v>10000</v>
      </c>
      <c r="AH206">
        <f>AH100</f>
        <v>10000</v>
      </c>
      <c r="AI206">
        <f t="shared" ref="AI206:AK206" si="301">AI100</f>
        <v>10000</v>
      </c>
      <c r="AJ206">
        <f t="shared" si="301"/>
        <v>10000</v>
      </c>
      <c r="AK206">
        <f t="shared" si="301"/>
        <v>10000</v>
      </c>
    </row>
    <row r="207" spans="1:37">
      <c r="A207" s="40"/>
      <c r="B207" t="s">
        <v>153</v>
      </c>
      <c r="AG207">
        <f>AG202</f>
        <v>667</v>
      </c>
      <c r="AH207">
        <f>AG207+AH202</f>
        <v>1334</v>
      </c>
      <c r="AI207">
        <f t="shared" ref="AI207:AK207" si="302">AH207+AI202</f>
        <v>2001</v>
      </c>
      <c r="AJ207">
        <f t="shared" si="302"/>
        <v>2668</v>
      </c>
      <c r="AK207">
        <f t="shared" si="302"/>
        <v>3335</v>
      </c>
    </row>
    <row r="208" spans="1:37">
      <c r="A208" s="40"/>
      <c r="B208" t="s">
        <v>262</v>
      </c>
      <c r="AG208">
        <f>AG206-AG207</f>
        <v>9333</v>
      </c>
      <c r="AH208">
        <f>AH206-AH207</f>
        <v>8666</v>
      </c>
      <c r="AI208">
        <f t="shared" ref="AI208:AK208" si="303">AI206-AI207</f>
        <v>7999</v>
      </c>
      <c r="AJ208">
        <f t="shared" si="303"/>
        <v>7332</v>
      </c>
      <c r="AK208">
        <f t="shared" si="303"/>
        <v>6665</v>
      </c>
    </row>
    <row r="209" spans="1:37">
      <c r="A209" s="40"/>
    </row>
    <row r="210" spans="1:37">
      <c r="A210" s="40"/>
    </row>
    <row r="211" spans="1:37">
      <c r="A211" s="235" t="s">
        <v>231</v>
      </c>
      <c r="F211">
        <f>SUM(F212:F213)</f>
        <v>37552</v>
      </c>
      <c r="G211">
        <f t="shared" ref="G211:AK211" si="304">SUM(G212:G213)</f>
        <v>54430</v>
      </c>
      <c r="H211">
        <f t="shared" si="304"/>
        <v>58370</v>
      </c>
      <c r="I211">
        <f t="shared" si="304"/>
        <v>54540</v>
      </c>
      <c r="J211">
        <f t="shared" si="304"/>
        <v>58530</v>
      </c>
      <c r="K211">
        <f t="shared" si="304"/>
        <v>46950</v>
      </c>
      <c r="L211">
        <f t="shared" si="304"/>
        <v>54900</v>
      </c>
      <c r="M211">
        <f t="shared" si="304"/>
        <v>46020</v>
      </c>
      <c r="N211">
        <f t="shared" si="304"/>
        <v>56560</v>
      </c>
      <c r="O211">
        <f t="shared" si="304"/>
        <v>54250</v>
      </c>
      <c r="P211">
        <f t="shared" si="304"/>
        <v>58470</v>
      </c>
      <c r="Q211">
        <f t="shared" si="304"/>
        <v>51060</v>
      </c>
      <c r="R211">
        <f t="shared" si="304"/>
        <v>321910.51889466273</v>
      </c>
      <c r="S211">
        <f t="shared" si="304"/>
        <v>334030.74036488851</v>
      </c>
      <c r="T211">
        <f t="shared" si="304"/>
        <v>634750.69745283597</v>
      </c>
      <c r="U211">
        <f t="shared" si="304"/>
        <v>640737.89278727025</v>
      </c>
      <c r="V211">
        <f t="shared" si="304"/>
        <v>647104.44602916413</v>
      </c>
      <c r="Y211">
        <f t="shared" si="304"/>
        <v>704008.3020368031</v>
      </c>
      <c r="Z211">
        <f t="shared" si="304"/>
        <v>808098.82688833284</v>
      </c>
      <c r="AA211">
        <f t="shared" si="304"/>
        <v>1007674.2493358968</v>
      </c>
      <c r="AB211">
        <f t="shared" si="304"/>
        <v>1413123.979606634</v>
      </c>
      <c r="AC211">
        <f t="shared" si="304"/>
        <v>2280824.5484137209</v>
      </c>
      <c r="AG211">
        <f t="shared" si="304"/>
        <v>2274155.2861656672</v>
      </c>
      <c r="AH211">
        <f t="shared" si="304"/>
        <v>2392934.0576363667</v>
      </c>
      <c r="AI211">
        <f t="shared" si="304"/>
        <v>2608139.6865594783</v>
      </c>
      <c r="AJ211">
        <f t="shared" si="304"/>
        <v>3031165.8481279383</v>
      </c>
      <c r="AK211">
        <f t="shared" si="304"/>
        <v>3917156.427976585</v>
      </c>
    </row>
    <row r="212" spans="1:37">
      <c r="A212" s="40" t="s">
        <v>232</v>
      </c>
      <c r="F212">
        <f t="shared" ref="F212:V212" si="305">F75</f>
        <v>34960</v>
      </c>
      <c r="G212">
        <f t="shared" si="305"/>
        <v>51820</v>
      </c>
      <c r="H212">
        <f t="shared" si="305"/>
        <v>55720</v>
      </c>
      <c r="I212">
        <f t="shared" si="305"/>
        <v>51820</v>
      </c>
      <c r="J212">
        <f t="shared" si="305"/>
        <v>55720</v>
      </c>
      <c r="K212">
        <f t="shared" si="305"/>
        <v>44020</v>
      </c>
      <c r="L212">
        <f t="shared" si="305"/>
        <v>51820</v>
      </c>
      <c r="M212">
        <f t="shared" si="305"/>
        <v>42760</v>
      </c>
      <c r="N212">
        <f t="shared" si="305"/>
        <v>53080</v>
      </c>
      <c r="O212">
        <f t="shared" si="305"/>
        <v>50500</v>
      </c>
      <c r="P212">
        <f t="shared" si="305"/>
        <v>54400</v>
      </c>
      <c r="Q212">
        <f t="shared" si="305"/>
        <v>46600</v>
      </c>
      <c r="R212">
        <f t="shared" si="305"/>
        <v>291420</v>
      </c>
      <c r="S212">
        <f t="shared" si="305"/>
        <v>297900</v>
      </c>
      <c r="T212">
        <f t="shared" si="305"/>
        <v>542640</v>
      </c>
      <c r="U212">
        <f t="shared" si="305"/>
        <v>542640</v>
      </c>
      <c r="V212">
        <f t="shared" si="305"/>
        <v>542640</v>
      </c>
      <c r="Y212">
        <f>Y75</f>
        <v>542640</v>
      </c>
      <c r="Z212">
        <f>Z75</f>
        <v>542640</v>
      </c>
      <c r="AA212">
        <f>AA75</f>
        <v>542640</v>
      </c>
      <c r="AB212">
        <f>AB75</f>
        <v>542640</v>
      </c>
      <c r="AC212">
        <f>AC75</f>
        <v>542640</v>
      </c>
      <c r="AG212">
        <f>AG75</f>
        <v>1886640</v>
      </c>
      <c r="AH212">
        <f>AH75</f>
        <v>1886640</v>
      </c>
      <c r="AI212">
        <f>AI75</f>
        <v>1886640</v>
      </c>
      <c r="AJ212">
        <f>AJ75</f>
        <v>1886640</v>
      </c>
      <c r="AK212">
        <f>AK75</f>
        <v>1886640</v>
      </c>
    </row>
    <row r="213" spans="1:37">
      <c r="A213" s="40" t="s">
        <v>233</v>
      </c>
      <c r="F213">
        <f t="shared" ref="F213:V213" si="306">F56</f>
        <v>2592</v>
      </c>
      <c r="G213">
        <f t="shared" si="306"/>
        <v>2610</v>
      </c>
      <c r="H213">
        <f t="shared" si="306"/>
        <v>2650</v>
      </c>
      <c r="I213">
        <f t="shared" si="306"/>
        <v>2720</v>
      </c>
      <c r="J213">
        <f t="shared" si="306"/>
        <v>2810</v>
      </c>
      <c r="K213">
        <f t="shared" si="306"/>
        <v>2930</v>
      </c>
      <c r="L213">
        <f t="shared" si="306"/>
        <v>3080</v>
      </c>
      <c r="M213">
        <f t="shared" si="306"/>
        <v>3260</v>
      </c>
      <c r="N213">
        <f t="shared" si="306"/>
        <v>3480</v>
      </c>
      <c r="O213">
        <f t="shared" si="306"/>
        <v>3750</v>
      </c>
      <c r="P213">
        <f t="shared" si="306"/>
        <v>4070</v>
      </c>
      <c r="Q213">
        <f t="shared" si="306"/>
        <v>4460</v>
      </c>
      <c r="R213">
        <f t="shared" si="306"/>
        <v>30490.518894662731</v>
      </c>
      <c r="S213">
        <f t="shared" si="306"/>
        <v>36130.740364888508</v>
      </c>
      <c r="T213">
        <f t="shared" si="306"/>
        <v>92110.697452835928</v>
      </c>
      <c r="U213">
        <f t="shared" si="306"/>
        <v>98097.892787270262</v>
      </c>
      <c r="V213">
        <f t="shared" si="306"/>
        <v>104464.4460291641</v>
      </c>
      <c r="Y213">
        <f>Y56</f>
        <v>161368.3020368031</v>
      </c>
      <c r="Z213">
        <f>Z56</f>
        <v>265458.82688833284</v>
      </c>
      <c r="AA213">
        <f>AA56</f>
        <v>465034.24933589681</v>
      </c>
      <c r="AB213">
        <f>AB56</f>
        <v>870483.97960663412</v>
      </c>
      <c r="AC213">
        <f>AC56</f>
        <v>1738184.5484137211</v>
      </c>
      <c r="AG213">
        <f>AG56</f>
        <v>387515.28616566741</v>
      </c>
      <c r="AH213">
        <f>AH56</f>
        <v>506294.05763636687</v>
      </c>
      <c r="AI213">
        <f>AI56</f>
        <v>721499.68655947829</v>
      </c>
      <c r="AJ213">
        <f>AJ56</f>
        <v>1144525.8481279383</v>
      </c>
      <c r="AK213">
        <f>AK56</f>
        <v>2030516.4279765848</v>
      </c>
    </row>
    <row r="214" spans="1:37">
      <c r="A214" s="40"/>
    </row>
    <row r="215" spans="1:37">
      <c r="A215" s="235" t="s">
        <v>234</v>
      </c>
      <c r="F215">
        <f>F216</f>
        <v>4000</v>
      </c>
      <c r="G215">
        <f t="shared" ref="G215:AK215" si="307">G216</f>
        <v>4033.333333333333</v>
      </c>
      <c r="H215">
        <f t="shared" si="307"/>
        <v>4066.9444444444443</v>
      </c>
      <c r="I215">
        <f t="shared" si="307"/>
        <v>4100.8356481481478</v>
      </c>
      <c r="J215">
        <f t="shared" si="307"/>
        <v>4135.0092785493816</v>
      </c>
      <c r="K215">
        <f t="shared" si="307"/>
        <v>4169.4676892039597</v>
      </c>
      <c r="L215">
        <f t="shared" si="307"/>
        <v>4204.213253280659</v>
      </c>
      <c r="M215">
        <f t="shared" si="307"/>
        <v>4239.2483637246642</v>
      </c>
      <c r="N215">
        <f t="shared" si="307"/>
        <v>4274.5754334223693</v>
      </c>
      <c r="O215">
        <f t="shared" si="307"/>
        <v>4310.196895367556</v>
      </c>
      <c r="P215">
        <f t="shared" si="307"/>
        <v>4346.1152028289516</v>
      </c>
      <c r="Q215">
        <f t="shared" si="307"/>
        <v>4382.3328295191932</v>
      </c>
      <c r="R215">
        <f t="shared" si="307"/>
        <v>4557.6261426999599</v>
      </c>
      <c r="S215">
        <f t="shared" si="307"/>
        <v>4739.9311884079589</v>
      </c>
      <c r="T215">
        <f t="shared" si="307"/>
        <v>5098.7439793704416</v>
      </c>
      <c r="U215">
        <f t="shared" si="307"/>
        <v>5430.1623380295205</v>
      </c>
      <c r="V215">
        <f t="shared" si="307"/>
        <v>5782.579873767635</v>
      </c>
      <c r="Y215">
        <f t="shared" si="307"/>
        <v>6178.8793477831778</v>
      </c>
      <c r="Z215">
        <f t="shared" si="307"/>
        <v>6580.1975614216954</v>
      </c>
      <c r="AA215">
        <f t="shared" si="307"/>
        <v>7007.2523831579629</v>
      </c>
      <c r="AB215">
        <f t="shared" si="307"/>
        <v>7487.4827464837217</v>
      </c>
      <c r="AC215">
        <f t="shared" si="307"/>
        <v>7987.2098241219564</v>
      </c>
      <c r="AG215">
        <f t="shared" si="307"/>
        <v>6178.8793477831778</v>
      </c>
      <c r="AH215">
        <f t="shared" si="307"/>
        <v>6580.1975614216954</v>
      </c>
      <c r="AI215">
        <f t="shared" si="307"/>
        <v>7007.2523831579629</v>
      </c>
      <c r="AJ215">
        <f t="shared" si="307"/>
        <v>7487.4827464837217</v>
      </c>
      <c r="AK215">
        <f t="shared" si="307"/>
        <v>7987.2098241219564</v>
      </c>
    </row>
    <row r="216" spans="1:37">
      <c r="A216" s="256" t="s">
        <v>235</v>
      </c>
      <c r="F216">
        <f t="shared" ref="F216:V216" si="308">F84</f>
        <v>4000</v>
      </c>
      <c r="G216">
        <f t="shared" si="308"/>
        <v>4033.333333333333</v>
      </c>
      <c r="H216">
        <f t="shared" si="308"/>
        <v>4066.9444444444443</v>
      </c>
      <c r="I216">
        <f t="shared" si="308"/>
        <v>4100.8356481481478</v>
      </c>
      <c r="J216">
        <f t="shared" si="308"/>
        <v>4135.0092785493816</v>
      </c>
      <c r="K216">
        <f t="shared" si="308"/>
        <v>4169.4676892039597</v>
      </c>
      <c r="L216">
        <f t="shared" si="308"/>
        <v>4204.213253280659</v>
      </c>
      <c r="M216">
        <f t="shared" si="308"/>
        <v>4239.2483637246642</v>
      </c>
      <c r="N216">
        <f t="shared" si="308"/>
        <v>4274.5754334223693</v>
      </c>
      <c r="O216">
        <f t="shared" si="308"/>
        <v>4310.196895367556</v>
      </c>
      <c r="P216">
        <f t="shared" si="308"/>
        <v>4346.1152028289516</v>
      </c>
      <c r="Q216">
        <f t="shared" si="308"/>
        <v>4382.3328295191932</v>
      </c>
      <c r="R216">
        <f t="shared" si="308"/>
        <v>4557.6261426999599</v>
      </c>
      <c r="S216">
        <f t="shared" si="308"/>
        <v>4739.9311884079589</v>
      </c>
      <c r="T216">
        <f t="shared" si="308"/>
        <v>5098.7439793704416</v>
      </c>
      <c r="U216">
        <f t="shared" si="308"/>
        <v>5430.1623380295205</v>
      </c>
      <c r="V216">
        <f t="shared" si="308"/>
        <v>5782.579873767635</v>
      </c>
      <c r="Y216">
        <f>Y84</f>
        <v>6178.8793477831778</v>
      </c>
      <c r="Z216">
        <f>Z84</f>
        <v>6580.1975614216954</v>
      </c>
      <c r="AA216">
        <f>AA84</f>
        <v>7007.2523831579629</v>
      </c>
      <c r="AB216">
        <f>AB84</f>
        <v>7487.4827464837217</v>
      </c>
      <c r="AC216">
        <f>AC84</f>
        <v>7987.2098241219564</v>
      </c>
      <c r="AG216">
        <f>AG84</f>
        <v>6178.8793477831778</v>
      </c>
      <c r="AH216">
        <f>AH84</f>
        <v>6580.1975614216954</v>
      </c>
      <c r="AI216">
        <f>AI84</f>
        <v>7007.2523831579629</v>
      </c>
      <c r="AJ216">
        <f>AJ84</f>
        <v>7487.4827464837217</v>
      </c>
      <c r="AK216">
        <f>AK84</f>
        <v>7987.2098241219564</v>
      </c>
    </row>
    <row r="217" spans="1:37">
      <c r="A217" s="40"/>
    </row>
    <row r="218" spans="1:37">
      <c r="A218" s="235" t="s">
        <v>236</v>
      </c>
      <c r="F218">
        <f>SUM(F219:F221)</f>
        <v>50000</v>
      </c>
      <c r="G218">
        <f t="shared" ref="G218:AK218" si="309">SUM(G219:G221)</f>
        <v>50000</v>
      </c>
      <c r="H218">
        <f t="shared" si="309"/>
        <v>50000</v>
      </c>
      <c r="I218">
        <f t="shared" si="309"/>
        <v>50000</v>
      </c>
      <c r="J218">
        <f t="shared" si="309"/>
        <v>50000</v>
      </c>
      <c r="K218">
        <f t="shared" si="309"/>
        <v>50000</v>
      </c>
      <c r="L218">
        <f t="shared" si="309"/>
        <v>52500</v>
      </c>
      <c r="M218">
        <f t="shared" si="309"/>
        <v>52500</v>
      </c>
      <c r="N218">
        <f t="shared" si="309"/>
        <v>52500</v>
      </c>
      <c r="O218">
        <f t="shared" si="309"/>
        <v>52500</v>
      </c>
      <c r="P218">
        <f t="shared" si="309"/>
        <v>52500</v>
      </c>
      <c r="Q218">
        <f t="shared" si="309"/>
        <v>52500</v>
      </c>
      <c r="R218">
        <f t="shared" si="309"/>
        <v>330750</v>
      </c>
      <c r="S218">
        <f t="shared" si="309"/>
        <v>347287.5</v>
      </c>
      <c r="T218">
        <f t="shared" si="309"/>
        <v>729303.75</v>
      </c>
      <c r="U218">
        <f t="shared" si="309"/>
        <v>765768.9375</v>
      </c>
      <c r="V218">
        <f t="shared" si="309"/>
        <v>804057.38437500002</v>
      </c>
      <c r="Y218">
        <f t="shared" si="309"/>
        <v>844260.25359375007</v>
      </c>
      <c r="Z218">
        <f t="shared" si="309"/>
        <v>886473.26627343765</v>
      </c>
      <c r="AA218">
        <f t="shared" si="309"/>
        <v>930796.9295871096</v>
      </c>
      <c r="AB218">
        <f t="shared" si="309"/>
        <v>977336.77606646507</v>
      </c>
      <c r="AC218">
        <f t="shared" si="309"/>
        <v>1026203.6148697884</v>
      </c>
      <c r="AG218">
        <f t="shared" si="309"/>
        <v>924260.25359375007</v>
      </c>
      <c r="AH218">
        <f t="shared" si="309"/>
        <v>962035.76627343765</v>
      </c>
      <c r="AI218">
        <f t="shared" si="309"/>
        <v>1002702.0077121096</v>
      </c>
      <c r="AJ218">
        <f t="shared" si="309"/>
        <v>1046284.5324141213</v>
      </c>
      <c r="AK218">
        <f t="shared" si="309"/>
        <v>1092824.3017136604</v>
      </c>
    </row>
    <row r="219" spans="1:37">
      <c r="A219" s="40" t="s">
        <v>237</v>
      </c>
      <c r="F219">
        <f t="shared" ref="F219:V219" si="310">F80</f>
        <v>50000</v>
      </c>
      <c r="G219">
        <f t="shared" si="310"/>
        <v>50000</v>
      </c>
      <c r="H219">
        <f t="shared" si="310"/>
        <v>50000</v>
      </c>
      <c r="I219">
        <f t="shared" si="310"/>
        <v>50000</v>
      </c>
      <c r="J219">
        <f t="shared" si="310"/>
        <v>50000</v>
      </c>
      <c r="K219">
        <f t="shared" si="310"/>
        <v>50000</v>
      </c>
      <c r="L219">
        <f t="shared" si="310"/>
        <v>52500</v>
      </c>
      <c r="M219">
        <f t="shared" si="310"/>
        <v>52500</v>
      </c>
      <c r="N219">
        <f t="shared" si="310"/>
        <v>52500</v>
      </c>
      <c r="O219">
        <f t="shared" si="310"/>
        <v>52500</v>
      </c>
      <c r="P219">
        <f t="shared" si="310"/>
        <v>52500</v>
      </c>
      <c r="Q219">
        <f t="shared" si="310"/>
        <v>52500</v>
      </c>
      <c r="R219">
        <f t="shared" si="310"/>
        <v>330750</v>
      </c>
      <c r="S219">
        <f t="shared" si="310"/>
        <v>347287.5</v>
      </c>
      <c r="T219">
        <f t="shared" si="310"/>
        <v>729303.75</v>
      </c>
      <c r="U219">
        <f t="shared" si="310"/>
        <v>765768.9375</v>
      </c>
      <c r="V219">
        <f t="shared" si="310"/>
        <v>804057.38437500002</v>
      </c>
      <c r="Y219">
        <f>Y80</f>
        <v>844260.25359375007</v>
      </c>
      <c r="Z219">
        <f>Z80</f>
        <v>886473.26627343765</v>
      </c>
      <c r="AA219">
        <f>AA80</f>
        <v>930796.9295871096</v>
      </c>
      <c r="AB219">
        <f>AB80</f>
        <v>977336.77606646507</v>
      </c>
      <c r="AC219">
        <f>AC80</f>
        <v>1026203.6148697884</v>
      </c>
      <c r="AG219">
        <f>AG80</f>
        <v>874260.25359375007</v>
      </c>
      <c r="AH219">
        <f>AH80</f>
        <v>917973.26627343765</v>
      </c>
      <c r="AI219">
        <f>AI80</f>
        <v>963871.9295871096</v>
      </c>
      <c r="AJ219">
        <f>AJ80</f>
        <v>1012065.5260664651</v>
      </c>
      <c r="AK219">
        <f>AK80</f>
        <v>1062668.8023697883</v>
      </c>
    </row>
    <row r="220" spans="1:37">
      <c r="A220" s="40" t="s">
        <v>238</v>
      </c>
      <c r="F220">
        <f t="shared" ref="F220:V220" si="311">F193</f>
        <v>0</v>
      </c>
      <c r="G220">
        <f t="shared" si="311"/>
        <v>0</v>
      </c>
      <c r="H220">
        <f t="shared" si="311"/>
        <v>0</v>
      </c>
      <c r="I220">
        <f t="shared" si="311"/>
        <v>0</v>
      </c>
      <c r="J220">
        <f t="shared" si="311"/>
        <v>0</v>
      </c>
      <c r="K220">
        <f t="shared" si="311"/>
        <v>0</v>
      </c>
      <c r="L220">
        <f t="shared" si="311"/>
        <v>0</v>
      </c>
      <c r="M220">
        <f t="shared" si="311"/>
        <v>0</v>
      </c>
      <c r="N220">
        <f t="shared" si="311"/>
        <v>0</v>
      </c>
      <c r="O220">
        <f t="shared" si="311"/>
        <v>0</v>
      </c>
      <c r="P220">
        <f t="shared" si="311"/>
        <v>0</v>
      </c>
      <c r="Q220">
        <f t="shared" si="311"/>
        <v>0</v>
      </c>
      <c r="R220">
        <f t="shared" si="311"/>
        <v>0</v>
      </c>
      <c r="S220">
        <f t="shared" si="311"/>
        <v>0</v>
      </c>
      <c r="T220">
        <f t="shared" si="311"/>
        <v>0</v>
      </c>
      <c r="U220">
        <f t="shared" si="311"/>
        <v>0</v>
      </c>
      <c r="V220">
        <f t="shared" si="311"/>
        <v>0</v>
      </c>
      <c r="Y220">
        <f t="shared" ref="Y220:AC221" si="312">Y193</f>
        <v>0</v>
      </c>
      <c r="Z220">
        <f t="shared" si="312"/>
        <v>0</v>
      </c>
      <c r="AA220">
        <f t="shared" si="312"/>
        <v>0</v>
      </c>
      <c r="AB220">
        <f t="shared" si="312"/>
        <v>0</v>
      </c>
      <c r="AC220">
        <f t="shared" si="312"/>
        <v>0</v>
      </c>
      <c r="AG220">
        <f t="shared" ref="AG220:AK221" si="313">AG193</f>
        <v>5937.5</v>
      </c>
      <c r="AH220">
        <f t="shared" si="313"/>
        <v>5232.421875</v>
      </c>
      <c r="AI220">
        <f t="shared" si="313"/>
        <v>4611.07177734375</v>
      </c>
      <c r="AJ220">
        <f t="shared" si="313"/>
        <v>4063.5070037841797</v>
      </c>
      <c r="AK220">
        <f t="shared" si="313"/>
        <v>3580.9655470848083</v>
      </c>
    </row>
    <row r="221" spans="1:37">
      <c r="A221" s="40" t="s">
        <v>239</v>
      </c>
      <c r="F221">
        <f t="shared" ref="F221:V221" si="314">F194</f>
        <v>0</v>
      </c>
      <c r="G221">
        <f t="shared" si="314"/>
        <v>0</v>
      </c>
      <c r="H221">
        <f t="shared" si="314"/>
        <v>0</v>
      </c>
      <c r="I221">
        <f t="shared" si="314"/>
        <v>0</v>
      </c>
      <c r="J221">
        <f t="shared" si="314"/>
        <v>0</v>
      </c>
      <c r="K221">
        <f t="shared" si="314"/>
        <v>0</v>
      </c>
      <c r="L221">
        <f t="shared" si="314"/>
        <v>0</v>
      </c>
      <c r="M221">
        <f t="shared" si="314"/>
        <v>0</v>
      </c>
      <c r="N221">
        <f t="shared" si="314"/>
        <v>0</v>
      </c>
      <c r="O221">
        <f t="shared" si="314"/>
        <v>0</v>
      </c>
      <c r="P221">
        <f t="shared" si="314"/>
        <v>0</v>
      </c>
      <c r="Q221">
        <f t="shared" si="314"/>
        <v>0</v>
      </c>
      <c r="R221">
        <f t="shared" si="314"/>
        <v>0</v>
      </c>
      <c r="S221">
        <f t="shared" si="314"/>
        <v>0</v>
      </c>
      <c r="T221">
        <f t="shared" si="314"/>
        <v>0</v>
      </c>
      <c r="U221">
        <f t="shared" si="314"/>
        <v>0</v>
      </c>
      <c r="V221">
        <f t="shared" si="314"/>
        <v>0</v>
      </c>
      <c r="Y221">
        <f t="shared" si="312"/>
        <v>0</v>
      </c>
      <c r="Z221">
        <f t="shared" si="312"/>
        <v>0</v>
      </c>
      <c r="AA221">
        <f t="shared" si="312"/>
        <v>0</v>
      </c>
      <c r="AB221">
        <f t="shared" si="312"/>
        <v>0</v>
      </c>
      <c r="AC221">
        <f t="shared" si="312"/>
        <v>0</v>
      </c>
      <c r="AG221">
        <f t="shared" si="313"/>
        <v>44062.5</v>
      </c>
      <c r="AH221">
        <f t="shared" si="313"/>
        <v>38830.078125</v>
      </c>
      <c r="AI221">
        <f t="shared" si="313"/>
        <v>34219.00634765625</v>
      </c>
      <c r="AJ221">
        <f t="shared" si="313"/>
        <v>30155.49934387207</v>
      </c>
      <c r="AK221">
        <f t="shared" si="313"/>
        <v>26574.533796787262</v>
      </c>
    </row>
    <row r="222" spans="1:37">
      <c r="A222" s="40"/>
    </row>
    <row r="223" spans="1:37">
      <c r="A223" s="235" t="s">
        <v>258</v>
      </c>
      <c r="B223" t="s">
        <v>259</v>
      </c>
      <c r="F223">
        <v>0</v>
      </c>
      <c r="G223">
        <v>0</v>
      </c>
      <c r="H223">
        <v>0</v>
      </c>
      <c r="I223">
        <v>0</v>
      </c>
      <c r="J223">
        <v>0</v>
      </c>
      <c r="K223">
        <v>0</v>
      </c>
      <c r="L223">
        <v>0</v>
      </c>
      <c r="M223">
        <v>0</v>
      </c>
      <c r="N223">
        <v>0</v>
      </c>
      <c r="O223">
        <v>0</v>
      </c>
      <c r="P223">
        <v>0</v>
      </c>
      <c r="Q223">
        <v>0</v>
      </c>
      <c r="R223">
        <v>0</v>
      </c>
      <c r="S223">
        <v>0</v>
      </c>
      <c r="T223">
        <v>0</v>
      </c>
      <c r="U223">
        <v>0</v>
      </c>
      <c r="V223">
        <v>0</v>
      </c>
      <c r="Y223">
        <v>0</v>
      </c>
      <c r="Z223">
        <v>0</v>
      </c>
      <c r="AA223">
        <v>0</v>
      </c>
      <c r="AB223">
        <v>0</v>
      </c>
      <c r="AC223">
        <v>0</v>
      </c>
      <c r="AG223" s="80">
        <f>D259</f>
        <v>450000</v>
      </c>
      <c r="AH223" s="80">
        <f t="shared" ref="AH223:AK223" si="315">E259</f>
        <v>383258.00139231223</v>
      </c>
      <c r="AI223" s="80">
        <f t="shared" si="315"/>
        <v>306504.70299347129</v>
      </c>
      <c r="AJ223" s="80">
        <f t="shared" si="315"/>
        <v>218238.40983480425</v>
      </c>
      <c r="AK223" s="80">
        <f t="shared" si="315"/>
        <v>116732.17270233713</v>
      </c>
    </row>
    <row r="224" spans="1:37">
      <c r="A224" s="40"/>
    </row>
    <row r="225" spans="1:37" ht="43.5">
      <c r="A225" s="235" t="s">
        <v>100</v>
      </c>
      <c r="C225" s="1" t="s">
        <v>101</v>
      </c>
      <c r="D225" s="2">
        <f>'Control Sheet'!G35/100</f>
        <v>0.2</v>
      </c>
    </row>
    <row r="226" spans="1:37" ht="43.5">
      <c r="A226" s="235" t="s">
        <v>103</v>
      </c>
      <c r="C226" s="1" t="s">
        <v>219</v>
      </c>
      <c r="D226" s="2">
        <f>'Control Sheet'!G39/100</f>
        <v>0.1</v>
      </c>
    </row>
    <row r="227" spans="1:37">
      <c r="A227" s="40"/>
    </row>
    <row r="228" spans="1:37">
      <c r="A228" s="235" t="s">
        <v>107</v>
      </c>
      <c r="C228" s="1" t="s">
        <v>108</v>
      </c>
    </row>
    <row r="229" spans="1:37" ht="29">
      <c r="A229" s="235" t="s">
        <v>154</v>
      </c>
      <c r="C229" s="1" t="s">
        <v>111</v>
      </c>
      <c r="D229" s="2">
        <v>0.01</v>
      </c>
      <c r="F229">
        <f t="shared" ref="F229:Q229" si="316">$D$229*F25</f>
        <v>642.6</v>
      </c>
      <c r="G229">
        <f t="shared" si="316"/>
        <v>1478.7</v>
      </c>
      <c r="H229">
        <f t="shared" si="316"/>
        <v>1672.2</v>
      </c>
      <c r="I229">
        <f t="shared" si="316"/>
        <v>1528.4</v>
      </c>
      <c r="J229">
        <f t="shared" si="316"/>
        <v>1728.4</v>
      </c>
      <c r="K229">
        <f t="shared" si="316"/>
        <v>1128.4000000000001</v>
      </c>
      <c r="L229">
        <f t="shared" si="316"/>
        <v>1547.05</v>
      </c>
      <c r="M229">
        <f t="shared" si="316"/>
        <v>1111.8</v>
      </c>
      <c r="N229">
        <f t="shared" si="316"/>
        <v>1664.3500000000001</v>
      </c>
      <c r="O229">
        <f t="shared" si="316"/>
        <v>1525.8</v>
      </c>
      <c r="P229">
        <f t="shared" si="316"/>
        <v>1734.75</v>
      </c>
      <c r="Q229">
        <f t="shared" si="316"/>
        <v>1317.4</v>
      </c>
      <c r="R229">
        <f>$D$229*R25/6</f>
        <v>1527.8000000000002</v>
      </c>
      <c r="S229">
        <f>$D$229*S25/6</f>
        <v>1635.9833333333333</v>
      </c>
      <c r="T229">
        <f>$D$229*T25/12</f>
        <v>1451.25</v>
      </c>
      <c r="U229">
        <f>$D$229*U25/12</f>
        <v>1557.6750000000002</v>
      </c>
      <c r="V229">
        <f>$D$229*V25/12</f>
        <v>1673.7749999999999</v>
      </c>
      <c r="Y229">
        <f>$D$229*Y25/12</f>
        <v>1780.2</v>
      </c>
      <c r="Z229">
        <f>$D$229*Z25/12</f>
        <v>1896.3000000000002</v>
      </c>
      <c r="AA229">
        <f>$D$229*AA25/12</f>
        <v>2041.4250000000002</v>
      </c>
      <c r="AB229">
        <f>$D$229*AB25/12</f>
        <v>2157.5250000000001</v>
      </c>
      <c r="AC229">
        <f>$D$229*AC25/12</f>
        <v>2302.65</v>
      </c>
      <c r="AG229">
        <f>$D$229*AG25/12</f>
        <v>6151.8666666666677</v>
      </c>
      <c r="AH229">
        <f>$D$229*AH25/12</f>
        <v>6471.3</v>
      </c>
      <c r="AI229">
        <f>$D$229*AI25/12</f>
        <v>6972.2583333333341</v>
      </c>
      <c r="AJ229">
        <f>$D$229*AJ25/12</f>
        <v>7393.3583333333336</v>
      </c>
      <c r="AK229">
        <f>$D$229*AK25/12</f>
        <v>7894.3166666666666</v>
      </c>
    </row>
    <row r="230" spans="1:37">
      <c r="A230" s="40" t="s">
        <v>109</v>
      </c>
      <c r="C230" s="1" t="s">
        <v>112</v>
      </c>
      <c r="D230">
        <v>12</v>
      </c>
      <c r="F230">
        <f t="shared" ref="F230:Q230" si="317">F48/$D$230</f>
        <v>521.02777777777783</v>
      </c>
      <c r="G230">
        <f t="shared" si="317"/>
        <v>617.34259259259261</v>
      </c>
      <c r="H230">
        <f t="shared" si="317"/>
        <v>644.66049382716051</v>
      </c>
      <c r="I230">
        <f t="shared" si="317"/>
        <v>629.48143004115229</v>
      </c>
      <c r="J230">
        <f t="shared" si="317"/>
        <v>660.13868398491081</v>
      </c>
      <c r="K230">
        <f t="shared" si="317"/>
        <v>604.13220591849563</v>
      </c>
      <c r="L230">
        <f t="shared" si="317"/>
        <v>663.1286135976319</v>
      </c>
      <c r="M230">
        <f t="shared" si="317"/>
        <v>626.29452559322692</v>
      </c>
      <c r="N230">
        <f t="shared" si="317"/>
        <v>706.12989461111749</v>
      </c>
      <c r="O230">
        <f t="shared" si="317"/>
        <v>715.13467414537661</v>
      </c>
      <c r="P230">
        <f t="shared" si="317"/>
        <v>766.64215179850942</v>
      </c>
      <c r="Q230">
        <f t="shared" si="317"/>
        <v>753.15228260186757</v>
      </c>
      <c r="R230">
        <f>(R48/$D$230)/6</f>
        <v>822.89609575920451</v>
      </c>
      <c r="S230">
        <f>(S48/$D$230)/6</f>
        <v>914.22139395678471</v>
      </c>
      <c r="T230">
        <f>(T48/$D$230)/12</f>
        <v>1033.4353989780273</v>
      </c>
      <c r="U230">
        <f>(U48/$D$230)/12</f>
        <v>1035.2853665782657</v>
      </c>
      <c r="V230">
        <f>(V48/$D$230)/12</f>
        <v>1107.8836529803061</v>
      </c>
      <c r="Y230">
        <f>(Y48/$D$230)/12</f>
        <v>1505.5715419222436</v>
      </c>
      <c r="Z230">
        <f>(Z48/$D$230)/12</f>
        <v>2238.908520057867</v>
      </c>
      <c r="AA230">
        <f>(AA48/$D$230)/12</f>
        <v>3636.5989537215059</v>
      </c>
      <c r="AB230">
        <f>(AB48/$D$230)/12</f>
        <v>6327.6081917127367</v>
      </c>
      <c r="AC230">
        <f>(AC48/$D$230)/12</f>
        <v>12388.617697317508</v>
      </c>
      <c r="AG230">
        <f>Y230*2</f>
        <v>3011.1430838444871</v>
      </c>
      <c r="AH230">
        <f t="shared" ref="AH230:AK230" si="318">Z230*2</f>
        <v>4477.817040115734</v>
      </c>
      <c r="AI230">
        <f t="shared" si="318"/>
        <v>7273.1979074430119</v>
      </c>
      <c r="AJ230">
        <f t="shared" si="318"/>
        <v>12655.216383425473</v>
      </c>
      <c r="AK230">
        <f t="shared" si="318"/>
        <v>24777.235394635016</v>
      </c>
    </row>
    <row r="231" spans="1:37">
      <c r="A231" s="40"/>
    </row>
    <row r="232" spans="1:37">
      <c r="A232" s="257"/>
    </row>
    <row r="233" spans="1:37">
      <c r="A233" s="40"/>
    </row>
    <row r="234" spans="1:37">
      <c r="A234" s="235" t="s">
        <v>122</v>
      </c>
      <c r="F234">
        <f>SUM(F235:F237)</f>
        <v>91212.333333333343</v>
      </c>
      <c r="G234">
        <f t="shared" ref="G234:V234" si="319">SUM(G235:G237)</f>
        <v>109228.11111111111</v>
      </c>
      <c r="H234">
        <f t="shared" si="319"/>
        <v>113455.92592592593</v>
      </c>
      <c r="I234">
        <f t="shared" si="319"/>
        <v>109373.77716049383</v>
      </c>
      <c r="J234">
        <f t="shared" si="319"/>
        <v>113641.66420781893</v>
      </c>
      <c r="K234">
        <f t="shared" si="319"/>
        <v>101269.58647102195</v>
      </c>
      <c r="L234">
        <f t="shared" si="319"/>
        <v>112277.54336317159</v>
      </c>
      <c r="M234">
        <f t="shared" si="319"/>
        <v>102775.53430711872</v>
      </c>
      <c r="N234">
        <f t="shared" si="319"/>
        <v>114053.55873533341</v>
      </c>
      <c r="O234">
        <f t="shared" si="319"/>
        <v>111581.61608974452</v>
      </c>
      <c r="P234">
        <f t="shared" si="319"/>
        <v>116099.70582158212</v>
      </c>
      <c r="Q234">
        <f t="shared" si="319"/>
        <v>108137.82739122241</v>
      </c>
      <c r="R234">
        <f t="shared" si="319"/>
        <v>681418.51889466273</v>
      </c>
      <c r="S234">
        <f t="shared" si="319"/>
        <v>711011.44036488852</v>
      </c>
      <c r="T234">
        <f t="shared" si="319"/>
        <v>1420758.447452836</v>
      </c>
      <c r="U234">
        <f t="shared" si="319"/>
        <v>1457490.0302872702</v>
      </c>
      <c r="V234">
        <f t="shared" si="319"/>
        <v>1506232.6304041641</v>
      </c>
    </row>
    <row r="235" spans="1:37" ht="29">
      <c r="A235" s="40" t="s">
        <v>115</v>
      </c>
      <c r="B235" s="1"/>
      <c r="C235" s="1" t="s">
        <v>119</v>
      </c>
      <c r="F235">
        <f>F48</f>
        <v>6252.3333333333339</v>
      </c>
      <c r="G235">
        <f t="shared" ref="G235:AK235" si="320">G48</f>
        <v>7408.1111111111113</v>
      </c>
      <c r="H235">
        <f t="shared" si="320"/>
        <v>7735.9259259259261</v>
      </c>
      <c r="I235">
        <f t="shared" si="320"/>
        <v>7553.7771604938271</v>
      </c>
      <c r="J235">
        <f t="shared" si="320"/>
        <v>7921.6642078189298</v>
      </c>
      <c r="K235">
        <f t="shared" si="320"/>
        <v>7249.5864710219475</v>
      </c>
      <c r="L235">
        <f t="shared" si="320"/>
        <v>7957.5433631715823</v>
      </c>
      <c r="M235">
        <f t="shared" si="320"/>
        <v>7515.5343071187226</v>
      </c>
      <c r="N235">
        <f t="shared" si="320"/>
        <v>8473.5587353334104</v>
      </c>
      <c r="O235">
        <f t="shared" si="320"/>
        <v>8581.6160897445188</v>
      </c>
      <c r="P235">
        <f t="shared" si="320"/>
        <v>9199.7058215821125</v>
      </c>
      <c r="Q235">
        <f t="shared" si="320"/>
        <v>9037.8273912224104</v>
      </c>
      <c r="R235">
        <f t="shared" si="320"/>
        <v>59248.518894662731</v>
      </c>
      <c r="S235">
        <f t="shared" si="320"/>
        <v>65823.940364888505</v>
      </c>
      <c r="T235">
        <f t="shared" si="320"/>
        <v>148814.69745283591</v>
      </c>
      <c r="U235">
        <f t="shared" si="320"/>
        <v>149081.09278727026</v>
      </c>
      <c r="V235">
        <f t="shared" si="320"/>
        <v>159535.24602916409</v>
      </c>
      <c r="W235">
        <f t="shared" si="320"/>
        <v>0</v>
      </c>
      <c r="X235">
        <f t="shared" si="320"/>
        <v>0</v>
      </c>
      <c r="Y235">
        <f t="shared" si="320"/>
        <v>216802.3020368031</v>
      </c>
      <c r="Z235">
        <f t="shared" si="320"/>
        <v>322402.82688833284</v>
      </c>
      <c r="AA235">
        <f t="shared" si="320"/>
        <v>523670.24933589681</v>
      </c>
      <c r="AB235">
        <f t="shared" si="320"/>
        <v>911175.5796066341</v>
      </c>
      <c r="AC235">
        <f t="shared" si="320"/>
        <v>1783960.9484137211</v>
      </c>
      <c r="AD235">
        <f t="shared" si="320"/>
        <v>0</v>
      </c>
      <c r="AE235">
        <f t="shared" si="320"/>
        <v>0</v>
      </c>
      <c r="AF235">
        <f t="shared" si="320"/>
        <v>0</v>
      </c>
      <c r="AG235">
        <f t="shared" si="320"/>
        <v>557083.28616566746</v>
      </c>
      <c r="AH235">
        <f t="shared" si="320"/>
        <v>656958.05763636692</v>
      </c>
      <c r="AI235">
        <f t="shared" si="320"/>
        <v>853833.68655947829</v>
      </c>
      <c r="AJ235">
        <f t="shared" si="320"/>
        <v>1294489.0481279383</v>
      </c>
      <c r="AK235">
        <f t="shared" si="320"/>
        <v>2189429.2279765848</v>
      </c>
    </row>
    <row r="236" spans="1:37">
      <c r="A236" s="40" t="s">
        <v>116</v>
      </c>
      <c r="B236" s="1"/>
      <c r="C236" s="1" t="s">
        <v>220</v>
      </c>
      <c r="F236">
        <f t="shared" ref="F236:V236" si="321">F75</f>
        <v>34960</v>
      </c>
      <c r="G236">
        <f t="shared" si="321"/>
        <v>51820</v>
      </c>
      <c r="H236">
        <f t="shared" si="321"/>
        <v>55720</v>
      </c>
      <c r="I236">
        <f t="shared" si="321"/>
        <v>51820</v>
      </c>
      <c r="J236">
        <f t="shared" si="321"/>
        <v>55720</v>
      </c>
      <c r="K236">
        <f t="shared" si="321"/>
        <v>44020</v>
      </c>
      <c r="L236">
        <f t="shared" si="321"/>
        <v>51820</v>
      </c>
      <c r="M236">
        <f t="shared" si="321"/>
        <v>42760</v>
      </c>
      <c r="N236">
        <f t="shared" si="321"/>
        <v>53080</v>
      </c>
      <c r="O236">
        <f t="shared" si="321"/>
        <v>50500</v>
      </c>
      <c r="P236">
        <f t="shared" si="321"/>
        <v>54400</v>
      </c>
      <c r="Q236">
        <f t="shared" si="321"/>
        <v>46600</v>
      </c>
      <c r="R236">
        <f t="shared" si="321"/>
        <v>291420</v>
      </c>
      <c r="S236">
        <f t="shared" si="321"/>
        <v>297900</v>
      </c>
      <c r="T236">
        <f t="shared" si="321"/>
        <v>542640</v>
      </c>
      <c r="U236">
        <f t="shared" si="321"/>
        <v>542640</v>
      </c>
      <c r="V236">
        <f t="shared" si="321"/>
        <v>542640</v>
      </c>
      <c r="Y236">
        <f>Y75</f>
        <v>542640</v>
      </c>
      <c r="Z236">
        <f>Z75</f>
        <v>542640</v>
      </c>
      <c r="AA236">
        <f>AA75</f>
        <v>542640</v>
      </c>
      <c r="AB236">
        <f>AB75</f>
        <v>542640</v>
      </c>
      <c r="AC236">
        <f>AC75</f>
        <v>542640</v>
      </c>
      <c r="AG236">
        <f>AG75</f>
        <v>1886640</v>
      </c>
      <c r="AH236">
        <f>AH75</f>
        <v>1886640</v>
      </c>
      <c r="AI236">
        <f>AI75</f>
        <v>1886640</v>
      </c>
      <c r="AJ236">
        <f>AJ75</f>
        <v>1886640</v>
      </c>
      <c r="AK236">
        <f>AK75</f>
        <v>1886640</v>
      </c>
    </row>
    <row r="237" spans="1:37">
      <c r="A237" s="40" t="s">
        <v>117</v>
      </c>
      <c r="B237" s="1"/>
      <c r="C237" s="1" t="s">
        <v>118</v>
      </c>
      <c r="F237">
        <f t="shared" ref="F237:V237" si="322">F80</f>
        <v>50000</v>
      </c>
      <c r="G237">
        <f t="shared" si="322"/>
        <v>50000</v>
      </c>
      <c r="H237">
        <f t="shared" si="322"/>
        <v>50000</v>
      </c>
      <c r="I237">
        <f t="shared" si="322"/>
        <v>50000</v>
      </c>
      <c r="J237">
        <f t="shared" si="322"/>
        <v>50000</v>
      </c>
      <c r="K237">
        <f t="shared" si="322"/>
        <v>50000</v>
      </c>
      <c r="L237">
        <f t="shared" si="322"/>
        <v>52500</v>
      </c>
      <c r="M237">
        <f t="shared" si="322"/>
        <v>52500</v>
      </c>
      <c r="N237">
        <f t="shared" si="322"/>
        <v>52500</v>
      </c>
      <c r="O237">
        <f t="shared" si="322"/>
        <v>52500</v>
      </c>
      <c r="P237">
        <f t="shared" si="322"/>
        <v>52500</v>
      </c>
      <c r="Q237">
        <f t="shared" si="322"/>
        <v>52500</v>
      </c>
      <c r="R237">
        <f t="shared" si="322"/>
        <v>330750</v>
      </c>
      <c r="S237">
        <f t="shared" si="322"/>
        <v>347287.5</v>
      </c>
      <c r="T237">
        <f t="shared" si="322"/>
        <v>729303.75</v>
      </c>
      <c r="U237">
        <f t="shared" si="322"/>
        <v>765768.9375</v>
      </c>
      <c r="V237">
        <f t="shared" si="322"/>
        <v>804057.38437500002</v>
      </c>
      <c r="Y237">
        <f>Y80</f>
        <v>844260.25359375007</v>
      </c>
      <c r="Z237">
        <f>Z80</f>
        <v>886473.26627343765</v>
      </c>
      <c r="AA237">
        <f>AA80</f>
        <v>930796.9295871096</v>
      </c>
      <c r="AB237">
        <f>AB80</f>
        <v>977336.77606646507</v>
      </c>
      <c r="AC237">
        <f>AC80</f>
        <v>1026203.6148697884</v>
      </c>
      <c r="AG237">
        <f>AG80</f>
        <v>874260.25359375007</v>
      </c>
      <c r="AH237">
        <f>AH80</f>
        <v>917973.26627343765</v>
      </c>
      <c r="AI237">
        <f>AI80</f>
        <v>963871.9295871096</v>
      </c>
      <c r="AJ237">
        <f>AJ80</f>
        <v>1012065.5260664651</v>
      </c>
      <c r="AK237">
        <f>AK80</f>
        <v>1062668.8023697883</v>
      </c>
    </row>
    <row r="238" spans="1:37">
      <c r="A238" s="40"/>
    </row>
    <row r="239" spans="1:37">
      <c r="A239" s="40"/>
    </row>
    <row r="240" spans="1:37">
      <c r="A240" s="40" t="s">
        <v>268</v>
      </c>
      <c r="U240" s="80">
        <f>C260</f>
        <v>0</v>
      </c>
      <c r="V240" s="80"/>
      <c r="AG240" s="80">
        <f>E260</f>
        <v>511688.65599227278</v>
      </c>
      <c r="AH240" s="80">
        <f>F260</f>
        <v>588441.95439111372</v>
      </c>
      <c r="AI240" s="80">
        <f>G260</f>
        <v>676708.24754978076</v>
      </c>
      <c r="AJ240" s="80">
        <f>H260</f>
        <v>778214.48468224786</v>
      </c>
      <c r="AK240" s="80">
        <f>I260</f>
        <v>0</v>
      </c>
    </row>
    <row r="241" spans="1:37">
      <c r="A241" s="40"/>
    </row>
    <row r="242" spans="1:37">
      <c r="A242" s="40" t="s">
        <v>269</v>
      </c>
      <c r="S242" s="80"/>
      <c r="T242" s="80"/>
      <c r="U242" s="80"/>
      <c r="V242" s="80"/>
      <c r="AG242" s="80">
        <f>SUM(F260:I260)</f>
        <v>2043364.6866231426</v>
      </c>
      <c r="AH242" s="80">
        <f>SUM(G260:J260)</f>
        <v>1454922.7322320286</v>
      </c>
      <c r="AI242" s="80">
        <f>SUM(H260:K260)</f>
        <v>778214.48468224786</v>
      </c>
      <c r="AJ242" s="80">
        <f>SUM(I260:L260)</f>
        <v>0</v>
      </c>
      <c r="AK242" s="80">
        <f>SUM(J260:M260)</f>
        <v>0</v>
      </c>
    </row>
    <row r="243" spans="1:37">
      <c r="A243" s="40"/>
    </row>
    <row r="244" spans="1:37">
      <c r="A244" s="40"/>
    </row>
    <row r="245" spans="1:37">
      <c r="A245" s="40"/>
    </row>
    <row r="246" spans="1:37" ht="15" thickBot="1">
      <c r="A246" s="40"/>
    </row>
    <row r="247" spans="1:37" ht="15.5">
      <c r="A247" s="40"/>
      <c r="B247" s="66" t="s">
        <v>242</v>
      </c>
      <c r="C247" s="67"/>
    </row>
    <row r="248" spans="1:37" ht="15.5">
      <c r="A248" s="40"/>
      <c r="B248" s="68" t="s">
        <v>243</v>
      </c>
      <c r="C248" s="69" t="s">
        <v>250</v>
      </c>
    </row>
    <row r="249" spans="1:37" ht="15.5">
      <c r="A249" s="40"/>
      <c r="B249" s="68" t="s">
        <v>244</v>
      </c>
      <c r="C249" s="70">
        <f>1000*'Control Sheet'!F56</f>
        <v>3000000</v>
      </c>
    </row>
    <row r="250" spans="1:37" ht="15.5">
      <c r="A250" s="40"/>
      <c r="B250" s="68" t="s">
        <v>245</v>
      </c>
      <c r="C250" s="71">
        <f>('Control Sheet'!C52+'Control Sheet'!C56)/100</f>
        <v>0.15</v>
      </c>
    </row>
    <row r="251" spans="1:37" ht="15.5">
      <c r="A251" s="40"/>
      <c r="B251" s="68" t="s">
        <v>246</v>
      </c>
      <c r="C251" s="69">
        <f>'Control Sheet'!F52</f>
        <v>5</v>
      </c>
    </row>
    <row r="252" spans="1:37" ht="15.5">
      <c r="A252" s="40"/>
      <c r="B252" s="68" t="s">
        <v>247</v>
      </c>
      <c r="C252" s="69" t="s">
        <v>145</v>
      </c>
    </row>
    <row r="253" spans="1:37" ht="15.5">
      <c r="A253" s="40"/>
      <c r="B253" s="68" t="s">
        <v>248</v>
      </c>
      <c r="C253" s="69">
        <v>1</v>
      </c>
    </row>
    <row r="254" spans="1:37" ht="16" thickBot="1">
      <c r="A254" s="40"/>
      <c r="B254" s="72" t="s">
        <v>249</v>
      </c>
      <c r="C254" s="73">
        <f>C253*C251</f>
        <v>5</v>
      </c>
    </row>
    <row r="255" spans="1:37" ht="15" thickBot="1">
      <c r="A255" s="40"/>
      <c r="AG255">
        <f>$D$274</f>
        <v>1300000</v>
      </c>
      <c r="AH255">
        <f>$D$274</f>
        <v>1300000</v>
      </c>
      <c r="AI255">
        <f>$D$274</f>
        <v>1300000</v>
      </c>
      <c r="AJ255">
        <f>$D$274</f>
        <v>1300000</v>
      </c>
      <c r="AK255">
        <f>$D$274</f>
        <v>1300000</v>
      </c>
    </row>
    <row r="256" spans="1:37" ht="15.5">
      <c r="A256" s="258" t="s">
        <v>251</v>
      </c>
      <c r="D256" s="74"/>
      <c r="E256" s="74"/>
      <c r="F256" s="74"/>
      <c r="G256" s="74"/>
      <c r="H256" s="74"/>
    </row>
    <row r="257" spans="1:37" ht="15.5">
      <c r="A257" s="259" t="s">
        <v>252</v>
      </c>
      <c r="D257" s="75">
        <v>1</v>
      </c>
      <c r="E257" s="75">
        <v>2</v>
      </c>
      <c r="F257" s="75">
        <v>3</v>
      </c>
      <c r="G257" s="75">
        <v>4</v>
      </c>
      <c r="H257" s="75">
        <v>5</v>
      </c>
      <c r="I257" s="75">
        <v>6</v>
      </c>
      <c r="J257" s="75">
        <v>7</v>
      </c>
      <c r="K257" s="75">
        <v>8</v>
      </c>
      <c r="L257" s="75">
        <v>9</v>
      </c>
      <c r="M257" s="75">
        <v>10</v>
      </c>
      <c r="N257" s="75">
        <v>11</v>
      </c>
      <c r="O257" s="75">
        <v>12</v>
      </c>
      <c r="AG257">
        <f>Y276</f>
        <v>30000</v>
      </c>
      <c r="AH257">
        <f>Z276</f>
        <v>30000</v>
      </c>
      <c r="AI257">
        <f>AA276</f>
        <v>30000</v>
      </c>
      <c r="AJ257">
        <f>AB276</f>
        <v>30000</v>
      </c>
      <c r="AK257">
        <f>AC276</f>
        <v>30000</v>
      </c>
    </row>
    <row r="258" spans="1:37" ht="15.5">
      <c r="A258" s="259" t="s">
        <v>253</v>
      </c>
      <c r="D258" s="76">
        <f>C249</f>
        <v>3000000</v>
      </c>
      <c r="E258" s="77">
        <f>D262</f>
        <v>2555053.3426154149</v>
      </c>
      <c r="F258" s="77">
        <f t="shared" ref="F258:I258" si="323">E262</f>
        <v>2043364.6866231421</v>
      </c>
      <c r="G258" s="77">
        <f t="shared" si="323"/>
        <v>1454922.7322320284</v>
      </c>
      <c r="H258" s="77">
        <f t="shared" si="323"/>
        <v>778214.48468224762</v>
      </c>
      <c r="I258" s="77">
        <f t="shared" si="323"/>
        <v>0</v>
      </c>
      <c r="J258" s="77">
        <f t="shared" ref="J258:O258" si="324">I262</f>
        <v>0</v>
      </c>
      <c r="K258" s="77">
        <f t="shared" si="324"/>
        <v>0</v>
      </c>
      <c r="L258" s="77">
        <f t="shared" si="324"/>
        <v>0</v>
      </c>
      <c r="M258" s="77">
        <f t="shared" si="324"/>
        <v>0</v>
      </c>
      <c r="N258" s="77">
        <f t="shared" si="324"/>
        <v>0</v>
      </c>
      <c r="O258" s="77">
        <f t="shared" si="324"/>
        <v>0</v>
      </c>
    </row>
    <row r="259" spans="1:37" ht="15.5">
      <c r="A259" s="259" t="s">
        <v>254</v>
      </c>
      <c r="D259" s="78">
        <f t="shared" ref="D259:I259" si="325">IF(D257&lt;=$C$254,D258*$C$250/$C$253,0)</f>
        <v>450000</v>
      </c>
      <c r="E259" s="78">
        <f t="shared" si="325"/>
        <v>383258.00139231223</v>
      </c>
      <c r="F259" s="78">
        <f t="shared" si="325"/>
        <v>306504.70299347129</v>
      </c>
      <c r="G259" s="78">
        <f t="shared" si="325"/>
        <v>218238.40983480425</v>
      </c>
      <c r="H259" s="78">
        <f t="shared" si="325"/>
        <v>116732.17270233713</v>
      </c>
      <c r="I259" s="78">
        <f t="shared" si="325"/>
        <v>0</v>
      </c>
      <c r="J259" s="78">
        <f t="shared" ref="J259:O259" si="326">IF(J257&lt;=$C$254,J258*$C$250/$C$253,0)</f>
        <v>0</v>
      </c>
      <c r="K259" s="78">
        <f t="shared" si="326"/>
        <v>0</v>
      </c>
      <c r="L259" s="78">
        <f t="shared" si="326"/>
        <v>0</v>
      </c>
      <c r="M259" s="78">
        <f t="shared" si="326"/>
        <v>0</v>
      </c>
      <c r="N259" s="78">
        <f t="shared" si="326"/>
        <v>0</v>
      </c>
      <c r="O259" s="78">
        <f t="shared" si="326"/>
        <v>0</v>
      </c>
    </row>
    <row r="260" spans="1:37" ht="15.5">
      <c r="A260" s="259" t="s">
        <v>255</v>
      </c>
      <c r="D260" s="78">
        <f>D261-D259</f>
        <v>444946.65738458501</v>
      </c>
      <c r="E260" s="78">
        <f>E261-E259</f>
        <v>511688.65599227278</v>
      </c>
      <c r="F260" s="78">
        <f t="shared" ref="F260:I260" si="327">F261-F259</f>
        <v>588441.95439111372</v>
      </c>
      <c r="G260" s="78">
        <f t="shared" si="327"/>
        <v>676708.24754978076</v>
      </c>
      <c r="H260" s="78">
        <f t="shared" si="327"/>
        <v>778214.48468224786</v>
      </c>
      <c r="I260" s="78">
        <f t="shared" si="327"/>
        <v>0</v>
      </c>
      <c r="J260" s="78">
        <f t="shared" ref="J260" si="328">J261-J259</f>
        <v>0</v>
      </c>
      <c r="K260" s="78">
        <f t="shared" ref="K260" si="329">K261-K259</f>
        <v>0</v>
      </c>
      <c r="L260" s="78">
        <f t="shared" ref="L260" si="330">L261-L259</f>
        <v>0</v>
      </c>
      <c r="M260" s="78">
        <f t="shared" ref="M260" si="331">M261-M259</f>
        <v>0</v>
      </c>
      <c r="N260" s="78">
        <f t="shared" ref="N260" si="332">N261-N259</f>
        <v>0</v>
      </c>
      <c r="O260" s="78">
        <f t="shared" ref="O260" si="333">O261-O259</f>
        <v>0</v>
      </c>
    </row>
    <row r="261" spans="1:37" ht="15.5">
      <c r="A261" s="259" t="s">
        <v>256</v>
      </c>
      <c r="D261" s="78">
        <f t="shared" ref="D261:I261" si="334">IF(D257&lt;=$C$254,PMT($C$250/$C$253,$C$254,-$C$249,0),0)</f>
        <v>894946.65738458501</v>
      </c>
      <c r="E261" s="78">
        <f t="shared" si="334"/>
        <v>894946.65738458501</v>
      </c>
      <c r="F261" s="78">
        <f t="shared" si="334"/>
        <v>894946.65738458501</v>
      </c>
      <c r="G261" s="78">
        <f t="shared" si="334"/>
        <v>894946.65738458501</v>
      </c>
      <c r="H261" s="78">
        <f t="shared" si="334"/>
        <v>894946.65738458501</v>
      </c>
      <c r="I261" s="78">
        <f t="shared" si="334"/>
        <v>0</v>
      </c>
      <c r="J261" s="78">
        <f t="shared" ref="J261:O261" si="335">IF(J257&lt;=$C$254,PMT($C$250/$C$253,$C$254,-$C$249,0),0)</f>
        <v>0</v>
      </c>
      <c r="K261" s="78">
        <f t="shared" si="335"/>
        <v>0</v>
      </c>
      <c r="L261" s="78">
        <f t="shared" si="335"/>
        <v>0</v>
      </c>
      <c r="M261" s="78">
        <f t="shared" si="335"/>
        <v>0</v>
      </c>
      <c r="N261" s="78">
        <f t="shared" si="335"/>
        <v>0</v>
      </c>
      <c r="O261" s="78">
        <f t="shared" si="335"/>
        <v>0</v>
      </c>
    </row>
    <row r="262" spans="1:37" ht="16" thickBot="1">
      <c r="A262" s="260" t="s">
        <v>257</v>
      </c>
      <c r="D262" s="79">
        <f t="shared" ref="D262:I262" si="336">IF(D257&lt;$C$254,D258-D260,0)</f>
        <v>2555053.3426154149</v>
      </c>
      <c r="E262" s="79">
        <f t="shared" si="336"/>
        <v>2043364.6866231421</v>
      </c>
      <c r="F262" s="79">
        <f t="shared" si="336"/>
        <v>1454922.7322320284</v>
      </c>
      <c r="G262" s="79">
        <f t="shared" si="336"/>
        <v>778214.48468224762</v>
      </c>
      <c r="H262" s="79">
        <f t="shared" si="336"/>
        <v>0</v>
      </c>
      <c r="I262" s="79">
        <f t="shared" si="336"/>
        <v>0</v>
      </c>
      <c r="J262" s="79">
        <f t="shared" ref="J262:O262" si="337">IF(J257&lt;$C$254,J258-J260,0)</f>
        <v>0</v>
      </c>
      <c r="K262" s="79">
        <f t="shared" si="337"/>
        <v>0</v>
      </c>
      <c r="L262" s="79">
        <f t="shared" si="337"/>
        <v>0</v>
      </c>
      <c r="M262" s="79">
        <f t="shared" si="337"/>
        <v>0</v>
      </c>
      <c r="N262" s="79">
        <f t="shared" si="337"/>
        <v>0</v>
      </c>
      <c r="O262" s="79">
        <f t="shared" si="337"/>
        <v>0</v>
      </c>
    </row>
    <row r="263" spans="1:37">
      <c r="A263" s="40"/>
    </row>
    <row r="264" spans="1:37">
      <c r="A264" s="40"/>
    </row>
    <row r="265" spans="1:37">
      <c r="A265" s="40"/>
    </row>
    <row r="266" spans="1:37">
      <c r="A266" s="40"/>
    </row>
    <row r="267" spans="1:37">
      <c r="A267" s="40"/>
    </row>
    <row r="268" spans="1:37">
      <c r="A268" s="40"/>
    </row>
    <row r="269" spans="1:37">
      <c r="A269" s="40" t="s">
        <v>123</v>
      </c>
      <c r="C269" s="1" t="s">
        <v>120</v>
      </c>
    </row>
    <row r="270" spans="1:37" ht="29">
      <c r="A270" s="40" t="s">
        <v>110</v>
      </c>
      <c r="B270" s="1" t="s">
        <v>127</v>
      </c>
      <c r="C270" s="1" t="s">
        <v>272</v>
      </c>
      <c r="F270">
        <f>2000000/(7*12)</f>
        <v>23809.523809523809</v>
      </c>
      <c r="G270">
        <f>2000000/(7*12)</f>
        <v>23809.523809523809</v>
      </c>
      <c r="H270">
        <f t="shared" ref="H270:Q270" si="338">2000000/(7*12)</f>
        <v>23809.523809523809</v>
      </c>
      <c r="I270">
        <f t="shared" si="338"/>
        <v>23809.523809523809</v>
      </c>
      <c r="J270">
        <f t="shared" si="338"/>
        <v>23809.523809523809</v>
      </c>
      <c r="K270">
        <f t="shared" si="338"/>
        <v>23809.523809523809</v>
      </c>
      <c r="L270">
        <f t="shared" si="338"/>
        <v>23809.523809523809</v>
      </c>
      <c r="M270">
        <f t="shared" si="338"/>
        <v>23809.523809523809</v>
      </c>
      <c r="N270">
        <f t="shared" si="338"/>
        <v>23809.523809523809</v>
      </c>
      <c r="O270">
        <f t="shared" si="338"/>
        <v>23809.523809523809</v>
      </c>
      <c r="P270">
        <f t="shared" si="338"/>
        <v>23809.523809523809</v>
      </c>
      <c r="Q270">
        <f t="shared" si="338"/>
        <v>23809.523809523809</v>
      </c>
      <c r="R270">
        <f>2000000/(7*6)</f>
        <v>47619.047619047618</v>
      </c>
      <c r="S270">
        <f>2000000/(7*6)</f>
        <v>47619.047619047618</v>
      </c>
      <c r="T270">
        <f>2000000/(7)</f>
        <v>285714.28571428574</v>
      </c>
      <c r="U270">
        <f t="shared" ref="U270:Z270" si="339">2000000/(7)</f>
        <v>285714.28571428574</v>
      </c>
      <c r="V270">
        <f t="shared" si="339"/>
        <v>285714.28571428574</v>
      </c>
      <c r="Y270">
        <f t="shared" si="339"/>
        <v>285714.28571428574</v>
      </c>
      <c r="Z270">
        <f t="shared" si="339"/>
        <v>285714.28571428574</v>
      </c>
      <c r="AA270">
        <v>0</v>
      </c>
      <c r="AB270">
        <v>0</v>
      </c>
      <c r="AC270">
        <v>0</v>
      </c>
      <c r="AG270">
        <f>Y270</f>
        <v>285714.28571428574</v>
      </c>
      <c r="AH270">
        <f t="shared" ref="AH270:AK270" si="340">Z270</f>
        <v>285714.28571428574</v>
      </c>
      <c r="AI270">
        <f t="shared" si="340"/>
        <v>0</v>
      </c>
      <c r="AJ270">
        <f t="shared" si="340"/>
        <v>0</v>
      </c>
      <c r="AK270">
        <f t="shared" si="340"/>
        <v>0</v>
      </c>
    </row>
    <row r="271" spans="1:37">
      <c r="A271" s="40"/>
      <c r="B271" s="1"/>
      <c r="C271" s="1"/>
    </row>
    <row r="272" spans="1:37">
      <c r="A272" s="40"/>
      <c r="B272" s="1"/>
      <c r="C272" s="1"/>
    </row>
    <row r="273" spans="1:37">
      <c r="A273" s="40"/>
      <c r="B273" s="1"/>
      <c r="C273" s="120" t="s">
        <v>317</v>
      </c>
    </row>
    <row r="274" spans="1:37">
      <c r="A274" s="40" t="s">
        <v>224</v>
      </c>
      <c r="B274" s="1" t="s">
        <v>225</v>
      </c>
      <c r="C274" s="121">
        <f>AG274/80</f>
        <v>16250</v>
      </c>
      <c r="D274" s="1">
        <v>1300000</v>
      </c>
      <c r="AG274">
        <f>$D$274</f>
        <v>1300000</v>
      </c>
      <c r="AH274">
        <f t="shared" ref="AH274:AK274" si="341">$D$274</f>
        <v>1300000</v>
      </c>
      <c r="AI274">
        <f t="shared" si="341"/>
        <v>1300000</v>
      </c>
      <c r="AJ274">
        <f t="shared" si="341"/>
        <v>1300000</v>
      </c>
      <c r="AK274">
        <f t="shared" si="341"/>
        <v>1300000</v>
      </c>
    </row>
    <row r="275" spans="1:37">
      <c r="A275" s="40"/>
    </row>
    <row r="276" spans="1:37">
      <c r="A276" s="40" t="s">
        <v>155</v>
      </c>
      <c r="C276" t="s">
        <v>121</v>
      </c>
      <c r="F276">
        <v>30000</v>
      </c>
      <c r="G276">
        <f>F276</f>
        <v>30000</v>
      </c>
      <c r="H276">
        <f t="shared" ref="H276:V276" si="342">G276</f>
        <v>30000</v>
      </c>
      <c r="I276">
        <f t="shared" si="342"/>
        <v>30000</v>
      </c>
      <c r="J276">
        <f t="shared" si="342"/>
        <v>30000</v>
      </c>
      <c r="K276">
        <f t="shared" si="342"/>
        <v>30000</v>
      </c>
      <c r="L276">
        <f t="shared" si="342"/>
        <v>30000</v>
      </c>
      <c r="M276">
        <f t="shared" si="342"/>
        <v>30000</v>
      </c>
      <c r="N276">
        <f t="shared" si="342"/>
        <v>30000</v>
      </c>
      <c r="O276">
        <f t="shared" si="342"/>
        <v>30000</v>
      </c>
      <c r="P276">
        <f t="shared" si="342"/>
        <v>30000</v>
      </c>
      <c r="Q276">
        <f t="shared" si="342"/>
        <v>30000</v>
      </c>
      <c r="R276">
        <f t="shared" si="342"/>
        <v>30000</v>
      </c>
      <c r="S276">
        <f t="shared" si="342"/>
        <v>30000</v>
      </c>
      <c r="T276">
        <f t="shared" si="342"/>
        <v>30000</v>
      </c>
      <c r="U276">
        <f t="shared" si="342"/>
        <v>30000</v>
      </c>
      <c r="V276">
        <f t="shared" si="342"/>
        <v>30000</v>
      </c>
      <c r="Y276">
        <f>V276</f>
        <v>30000</v>
      </c>
      <c r="Z276">
        <f t="shared" ref="Z276" si="343">Y276</f>
        <v>30000</v>
      </c>
      <c r="AA276">
        <f t="shared" ref="AA276" si="344">Z276</f>
        <v>30000</v>
      </c>
      <c r="AB276">
        <f t="shared" ref="AB276" si="345">AA276</f>
        <v>30000</v>
      </c>
      <c r="AC276">
        <f t="shared" ref="AC276" si="346">AB276</f>
        <v>30000</v>
      </c>
      <c r="AG276">
        <f>Y276</f>
        <v>30000</v>
      </c>
      <c r="AH276">
        <f t="shared" ref="AH276:AK276" si="347">Z276</f>
        <v>30000</v>
      </c>
      <c r="AI276">
        <f t="shared" si="347"/>
        <v>30000</v>
      </c>
      <c r="AJ276">
        <f t="shared" si="347"/>
        <v>30000</v>
      </c>
      <c r="AK276">
        <f t="shared" si="347"/>
        <v>30000</v>
      </c>
    </row>
    <row r="280" spans="1:37">
      <c r="A280" t="s">
        <v>25</v>
      </c>
      <c r="B280">
        <v>12</v>
      </c>
    </row>
    <row r="281" spans="1:37">
      <c r="A281" t="s">
        <v>26</v>
      </c>
      <c r="B281">
        <v>4</v>
      </c>
    </row>
    <row r="282" spans="1:37">
      <c r="A282" t="s">
        <v>144</v>
      </c>
      <c r="B282">
        <v>2</v>
      </c>
    </row>
    <row r="283" spans="1:37">
      <c r="A283" t="s">
        <v>145</v>
      </c>
      <c r="B283">
        <v>1</v>
      </c>
      <c r="E283" s="2"/>
      <c r="F283" s="13"/>
    </row>
    <row r="286" spans="1:37">
      <c r="A286">
        <v>2025</v>
      </c>
      <c r="B286" s="132">
        <v>45658</v>
      </c>
    </row>
    <row r="287" spans="1:37">
      <c r="A287">
        <v>2026</v>
      </c>
      <c r="B287" s="132">
        <v>45689</v>
      </c>
    </row>
    <row r="288" spans="1:37">
      <c r="A288">
        <v>2027</v>
      </c>
      <c r="B288" s="132">
        <v>45717</v>
      </c>
    </row>
    <row r="289" spans="1:2">
      <c r="A289">
        <v>2028</v>
      </c>
      <c r="B289" s="132">
        <v>45748</v>
      </c>
    </row>
    <row r="290" spans="1:2">
      <c r="A290">
        <v>2029</v>
      </c>
      <c r="B290" s="132">
        <v>45778</v>
      </c>
    </row>
    <row r="291" spans="1:2">
      <c r="A291">
        <v>2030</v>
      </c>
      <c r="B291" s="132">
        <v>45809</v>
      </c>
    </row>
    <row r="292" spans="1:2">
      <c r="A292">
        <v>2031</v>
      </c>
      <c r="B292" s="132">
        <v>45839</v>
      </c>
    </row>
    <row r="293" spans="1:2">
      <c r="A293">
        <v>2032</v>
      </c>
      <c r="B293" s="132">
        <v>45870</v>
      </c>
    </row>
    <row r="294" spans="1:2">
      <c r="A294">
        <v>2033</v>
      </c>
      <c r="B294" s="132">
        <v>45901</v>
      </c>
    </row>
    <row r="295" spans="1:2">
      <c r="A295">
        <v>2034</v>
      </c>
      <c r="B295" s="132">
        <v>45931</v>
      </c>
    </row>
    <row r="296" spans="1:2">
      <c r="B296" s="132">
        <v>45962</v>
      </c>
    </row>
    <row r="297" spans="1:2">
      <c r="B297" s="132">
        <v>45992</v>
      </c>
    </row>
    <row r="298" spans="1:2">
      <c r="B298" t="s">
        <v>319</v>
      </c>
    </row>
    <row r="299" spans="1:2">
      <c r="B299" t="s">
        <v>320</v>
      </c>
    </row>
    <row r="300" spans="1:2">
      <c r="B300">
        <v>2027</v>
      </c>
    </row>
    <row r="301" spans="1:2">
      <c r="B301">
        <v>2028</v>
      </c>
    </row>
    <row r="302" spans="1:2">
      <c r="B302">
        <v>2029</v>
      </c>
    </row>
    <row r="303" spans="1:2">
      <c r="B303">
        <v>2030</v>
      </c>
    </row>
    <row r="304" spans="1:2">
      <c r="B304">
        <v>2031</v>
      </c>
    </row>
    <row r="305" spans="2:2">
      <c r="B305">
        <v>2032</v>
      </c>
    </row>
    <row r="306" spans="2:2">
      <c r="B306">
        <v>2033</v>
      </c>
    </row>
    <row r="307" spans="2:2">
      <c r="B307">
        <v>2034</v>
      </c>
    </row>
  </sheetData>
  <mergeCells count="6">
    <mergeCell ref="A1:C1"/>
    <mergeCell ref="Y12:AC12"/>
    <mergeCell ref="AG12:AK12"/>
    <mergeCell ref="C96:C100"/>
    <mergeCell ref="F4:H8"/>
    <mergeCell ref="F3:H3"/>
  </mergeCells>
  <phoneticPr fontId="3" type="noConversion"/>
  <dataValidations disablePrompts="1" count="1">
    <dataValidation type="list" allowBlank="1" showInputMessage="1" showErrorMessage="1" sqref="C146 C140 C161 C153 C134 C122 C109 C128 H115" xr:uid="{F7CBE2D9-DA77-44F9-967B-07290DF32E6F}">
      <formula1>$A$280:$A$283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A8EA0-A0FC-446D-B329-2DB11328F9F1}">
  <dimension ref="B1:Y43"/>
  <sheetViews>
    <sheetView tabSelected="1" zoomScale="49" zoomScaleNormal="49" workbookViewId="0">
      <selection activeCell="E46" sqref="E46"/>
    </sheetView>
  </sheetViews>
  <sheetFormatPr defaultRowHeight="14.5"/>
  <cols>
    <col min="1" max="1" width="3.36328125" customWidth="1"/>
    <col min="2" max="2" width="15.6328125" customWidth="1"/>
    <col min="3" max="3" width="36.08984375" customWidth="1"/>
    <col min="4" max="4" width="10.1796875" bestFit="1" customWidth="1"/>
    <col min="5" max="5" width="14" customWidth="1"/>
    <col min="6" max="6" width="15.1796875" customWidth="1"/>
    <col min="7" max="7" width="18.26953125" customWidth="1"/>
    <col min="8" max="8" width="22.26953125" hidden="1" customWidth="1"/>
    <col min="9" max="9" width="6.453125" customWidth="1"/>
    <col min="10" max="10" width="13.26953125" customWidth="1"/>
    <col min="11" max="11" width="22.7265625" customWidth="1"/>
    <col min="12" max="12" width="13.36328125" customWidth="1"/>
    <col min="13" max="13" width="15.54296875" customWidth="1"/>
    <col min="14" max="14" width="11.81640625" customWidth="1"/>
    <col min="15" max="15" width="14.54296875" hidden="1" customWidth="1"/>
    <col min="16" max="16" width="0" hidden="1" customWidth="1"/>
    <col min="17" max="17" width="4.36328125" customWidth="1"/>
    <col min="18" max="18" width="13.1796875" customWidth="1"/>
    <col min="19" max="19" width="12.7265625" customWidth="1"/>
    <col min="20" max="20" width="12.453125" customWidth="1"/>
    <col min="21" max="21" width="12.81640625" customWidth="1"/>
    <col min="22" max="22" width="13" customWidth="1"/>
  </cols>
  <sheetData>
    <row r="1" spans="2:25" ht="14.5" customHeight="1" thickBot="1"/>
    <row r="2" spans="2:25" ht="15" customHeight="1">
      <c r="F2" s="262" t="s">
        <v>147</v>
      </c>
      <c r="G2" s="321"/>
      <c r="H2" s="321"/>
      <c r="I2" s="263"/>
      <c r="J2" s="261"/>
    </row>
    <row r="3" spans="2:25" ht="14.5" customHeight="1" thickBot="1">
      <c r="F3" s="264"/>
      <c r="G3" s="322"/>
      <c r="H3" s="322"/>
      <c r="I3" s="265"/>
      <c r="J3" s="261"/>
    </row>
    <row r="4" spans="2:25" ht="15" customHeight="1">
      <c r="B4" s="103" t="s">
        <v>282</v>
      </c>
      <c r="C4" s="103" t="s">
        <v>283</v>
      </c>
      <c r="F4" s="261"/>
      <c r="G4" s="261"/>
      <c r="H4" s="261"/>
      <c r="I4" s="261"/>
      <c r="J4" s="261"/>
    </row>
    <row r="5" spans="2:25" ht="14.5" customHeight="1">
      <c r="B5" s="93" t="s">
        <v>284</v>
      </c>
      <c r="C5" s="125" t="s">
        <v>285</v>
      </c>
      <c r="D5" s="126">
        <v>0.11852</v>
      </c>
      <c r="F5" s="261"/>
      <c r="G5" s="261"/>
      <c r="H5" s="261"/>
      <c r="I5" s="261"/>
      <c r="J5" s="261"/>
    </row>
    <row r="6" spans="2:25">
      <c r="B6" s="93" t="s">
        <v>286</v>
      </c>
      <c r="C6" s="47" t="s">
        <v>359</v>
      </c>
      <c r="D6" s="105">
        <v>0.87</v>
      </c>
      <c r="E6" s="2"/>
    </row>
    <row r="7" spans="2:25">
      <c r="B7" s="93" t="s">
        <v>287</v>
      </c>
      <c r="C7" s="47" t="s">
        <v>288</v>
      </c>
      <c r="D7" s="127">
        <v>0.20870359364252988</v>
      </c>
    </row>
    <row r="8" spans="2:25">
      <c r="B8" s="93" t="s">
        <v>146</v>
      </c>
      <c r="C8" s="47" t="s">
        <v>289</v>
      </c>
      <c r="D8" s="127">
        <f>D5+(D6*D7)</f>
        <v>0.30009212646900102</v>
      </c>
    </row>
    <row r="9" spans="2:25">
      <c r="B9" s="93" t="s">
        <v>290</v>
      </c>
      <c r="C9" s="47" t="s">
        <v>291</v>
      </c>
      <c r="D9" s="128">
        <f>Assumptions!C250</f>
        <v>0.15</v>
      </c>
    </row>
    <row r="10" spans="2:25">
      <c r="B10" s="93" t="s">
        <v>292</v>
      </c>
      <c r="C10" s="90" t="s">
        <v>293</v>
      </c>
      <c r="D10" s="91">
        <f>Assumptions!D225</f>
        <v>0.2</v>
      </c>
    </row>
    <row r="11" spans="2:25" ht="26.5" thickBot="1">
      <c r="B11" s="94" t="s">
        <v>294</v>
      </c>
      <c r="C11" s="113" t="s">
        <v>295</v>
      </c>
      <c r="D11" s="92">
        <v>0.05</v>
      </c>
      <c r="J11" s="298" t="s">
        <v>164</v>
      </c>
      <c r="K11" s="299"/>
      <c r="L11" s="299"/>
      <c r="M11" s="299"/>
      <c r="N11" s="300"/>
      <c r="R11" s="298" t="s">
        <v>227</v>
      </c>
      <c r="S11" s="299"/>
      <c r="T11" s="299"/>
      <c r="U11" s="299"/>
      <c r="V11" s="300"/>
    </row>
    <row r="12" spans="2:25" ht="15" thickBot="1"/>
    <row r="13" spans="2:25">
      <c r="C13" s="95">
        <v>2025</v>
      </c>
      <c r="D13" s="95">
        <v>2026</v>
      </c>
      <c r="E13" s="95">
        <v>2027</v>
      </c>
      <c r="F13" s="95">
        <v>2028</v>
      </c>
      <c r="G13" s="95">
        <v>2029</v>
      </c>
      <c r="J13" s="95">
        <v>2030</v>
      </c>
      <c r="K13" s="95">
        <v>2031</v>
      </c>
      <c r="L13" s="95">
        <v>2032</v>
      </c>
      <c r="M13" s="95">
        <v>2033</v>
      </c>
      <c r="N13" s="95">
        <v>2034</v>
      </c>
      <c r="R13" s="95">
        <v>2030</v>
      </c>
      <c r="S13" s="95">
        <v>2031</v>
      </c>
      <c r="T13" s="95">
        <v>2032</v>
      </c>
      <c r="U13" s="95">
        <v>2033</v>
      </c>
      <c r="V13" s="95">
        <v>2034</v>
      </c>
    </row>
    <row r="14" spans="2:25" ht="15" thickBot="1">
      <c r="C14" s="89" t="s">
        <v>296</v>
      </c>
      <c r="D14" s="89" t="s">
        <v>296</v>
      </c>
      <c r="E14" s="89" t="s">
        <v>296</v>
      </c>
      <c r="F14" s="89" t="s">
        <v>296</v>
      </c>
      <c r="G14" s="89" t="s">
        <v>296</v>
      </c>
      <c r="J14" s="89" t="s">
        <v>296</v>
      </c>
      <c r="K14" s="89" t="s">
        <v>296</v>
      </c>
      <c r="L14" s="89" t="s">
        <v>296</v>
      </c>
      <c r="M14" s="89" t="s">
        <v>296</v>
      </c>
      <c r="N14" s="89" t="s">
        <v>296</v>
      </c>
      <c r="R14" s="89" t="s">
        <v>296</v>
      </c>
      <c r="S14" s="89" t="s">
        <v>296</v>
      </c>
      <c r="T14" s="89" t="s">
        <v>296</v>
      </c>
      <c r="U14" s="89" t="s">
        <v>296</v>
      </c>
      <c r="V14" s="89" t="s">
        <v>296</v>
      </c>
    </row>
    <row r="15" spans="2:25">
      <c r="B15" s="98" t="s">
        <v>297</v>
      </c>
      <c r="C15" s="89">
        <v>1</v>
      </c>
      <c r="D15" s="89">
        <v>2</v>
      </c>
      <c r="E15" s="89">
        <v>3</v>
      </c>
      <c r="F15" s="89">
        <v>4</v>
      </c>
      <c r="G15" s="89">
        <v>5</v>
      </c>
      <c r="J15" s="89">
        <v>6</v>
      </c>
      <c r="K15" s="89">
        <v>7</v>
      </c>
      <c r="L15" s="89">
        <v>8</v>
      </c>
      <c r="M15" s="89">
        <v>9</v>
      </c>
      <c r="N15" s="89">
        <v>10</v>
      </c>
      <c r="R15" s="89">
        <v>6</v>
      </c>
      <c r="S15" s="89">
        <v>7</v>
      </c>
      <c r="T15" s="89">
        <v>8</v>
      </c>
      <c r="U15" s="89">
        <v>9</v>
      </c>
      <c r="V15" s="89">
        <v>10</v>
      </c>
    </row>
    <row r="16" spans="2:25">
      <c r="B16" s="96" t="s">
        <v>298</v>
      </c>
      <c r="C16" s="99">
        <f>SUM('Balance Sheet'!F48:Q48)</f>
        <v>285714.28571428574</v>
      </c>
      <c r="D16" s="99">
        <f>SUM('Balance Sheet'!R48:S48)</f>
        <v>95238.095238095237</v>
      </c>
      <c r="E16" s="99">
        <f>'Balance Sheet'!T48</f>
        <v>285714.28571428574</v>
      </c>
      <c r="F16" s="99">
        <f>'Balance Sheet'!U48</f>
        <v>285714.28571428574</v>
      </c>
      <c r="G16" s="99">
        <f>'Balance Sheet'!V48</f>
        <v>285714.28571428574</v>
      </c>
      <c r="H16" s="99"/>
      <c r="I16" s="99"/>
      <c r="J16" s="99">
        <f>'Balance Sheet'!Y48</f>
        <v>285714.28571428574</v>
      </c>
      <c r="K16" s="99">
        <f>'Balance Sheet'!Z48</f>
        <v>285714.28571428574</v>
      </c>
      <c r="L16" s="99">
        <f>'Balance Sheet'!AA48</f>
        <v>0</v>
      </c>
      <c r="M16" s="99">
        <f>'Balance Sheet'!AB48</f>
        <v>0</v>
      </c>
      <c r="N16" s="99">
        <f>'Balance Sheet'!AC48</f>
        <v>0</v>
      </c>
      <c r="O16" s="99"/>
      <c r="P16" s="99"/>
      <c r="Q16" s="99"/>
      <c r="R16" s="99">
        <f>'Balance Sheet'!AG48</f>
        <v>2329078.9723374285</v>
      </c>
      <c r="S16" s="99">
        <f>'Balance Sheet'!AH48</f>
        <v>1740637.0179463143</v>
      </c>
      <c r="T16" s="99">
        <f>'Balance Sheet'!AI48</f>
        <v>778214.48468224786</v>
      </c>
      <c r="U16" s="99">
        <f>'Balance Sheet'!AJ48</f>
        <v>0</v>
      </c>
      <c r="V16" s="323">
        <f>'Balance Sheet'!AK48</f>
        <v>0</v>
      </c>
      <c r="W16" s="86"/>
      <c r="X16" s="86"/>
      <c r="Y16" s="86"/>
    </row>
    <row r="17" spans="2:22">
      <c r="B17" s="96" t="s">
        <v>299</v>
      </c>
      <c r="C17" s="87">
        <f>SUM('Balance Sheet'!F43:Q44)</f>
        <v>1803565</v>
      </c>
      <c r="D17" s="87">
        <f>SUM('Balance Sheet'!R43:S43)</f>
        <v>1070036</v>
      </c>
      <c r="E17" s="87">
        <f>'Balance Sheet'!T43</f>
        <v>821977</v>
      </c>
      <c r="F17" s="87">
        <f>'Balance Sheet'!U43</f>
        <v>1052281</v>
      </c>
      <c r="G17" s="87">
        <f>'Balance Sheet'!V43</f>
        <v>1334557</v>
      </c>
      <c r="H17" s="86"/>
      <c r="I17" s="86"/>
      <c r="J17" s="86">
        <f>'Balance Sheet'!Y43</f>
        <v>1597349.8</v>
      </c>
      <c r="K17" s="87">
        <f>'Balance Sheet'!Z43</f>
        <v>1778793.4000000001</v>
      </c>
      <c r="L17" s="87">
        <f>'Balance Sheet'!AA43</f>
        <v>1763242.4000000001</v>
      </c>
      <c r="M17" s="87">
        <f>'Balance Sheet'!AB43</f>
        <v>1187167.4000000001</v>
      </c>
      <c r="N17" s="87">
        <f>'Balance Sheet'!AC43</f>
        <v>-681469.59999999986</v>
      </c>
      <c r="O17" s="86"/>
      <c r="P17" s="86"/>
      <c r="Q17" s="86"/>
      <c r="R17" s="86">
        <f>'Balance Sheet'!AG43</f>
        <v>4917362</v>
      </c>
      <c r="S17" s="87">
        <f>'Balance Sheet'!AH43</f>
        <v>7339293.5</v>
      </c>
      <c r="T17" s="87">
        <f>'Balance Sheet'!AI43</f>
        <v>9923029.6999999993</v>
      </c>
      <c r="U17" s="87">
        <f>'Balance Sheet'!AJ43</f>
        <v>12280572.5</v>
      </c>
      <c r="V17" s="100">
        <f>'Balance Sheet'!AK43</f>
        <v>13827889.4</v>
      </c>
    </row>
    <row r="18" spans="2:22">
      <c r="B18" s="96" t="s">
        <v>300</v>
      </c>
      <c r="C18" s="87">
        <f>C16+C17</f>
        <v>2089279.2857142857</v>
      </c>
      <c r="D18" s="87">
        <f t="shared" ref="D18:V18" si="0">D16+D17</f>
        <v>1165274.0952380951</v>
      </c>
      <c r="E18" s="87">
        <f t="shared" si="0"/>
        <v>1107691.2857142857</v>
      </c>
      <c r="F18" s="87">
        <f t="shared" si="0"/>
        <v>1337995.2857142857</v>
      </c>
      <c r="G18" s="87">
        <f t="shared" si="0"/>
        <v>1620271.2857142857</v>
      </c>
      <c r="H18" s="87"/>
      <c r="I18" s="87"/>
      <c r="J18" s="87">
        <f t="shared" si="0"/>
        <v>1883064.0857142857</v>
      </c>
      <c r="K18" s="87">
        <f t="shared" si="0"/>
        <v>2064507.6857142858</v>
      </c>
      <c r="L18" s="87">
        <f t="shared" si="0"/>
        <v>1763242.4000000001</v>
      </c>
      <c r="M18" s="87">
        <f t="shared" si="0"/>
        <v>1187167.4000000001</v>
      </c>
      <c r="N18" s="87">
        <f t="shared" si="0"/>
        <v>-681469.59999999986</v>
      </c>
      <c r="O18" s="87"/>
      <c r="P18" s="87"/>
      <c r="Q18" s="87"/>
      <c r="R18" s="87">
        <f t="shared" si="0"/>
        <v>7246440.9723374285</v>
      </c>
      <c r="S18" s="87">
        <f t="shared" si="0"/>
        <v>9079930.5179463141</v>
      </c>
      <c r="T18" s="87">
        <f t="shared" si="0"/>
        <v>10701244.184682246</v>
      </c>
      <c r="U18" s="87">
        <f t="shared" si="0"/>
        <v>12280572.5</v>
      </c>
      <c r="V18" s="100">
        <f t="shared" si="0"/>
        <v>13827889.4</v>
      </c>
    </row>
    <row r="19" spans="2:22">
      <c r="B19" s="96" t="s">
        <v>301</v>
      </c>
      <c r="C19" s="88">
        <f>C16/C18</f>
        <v>0.13675255752923685</v>
      </c>
      <c r="D19" s="88">
        <f t="shared" ref="D19:V19" si="1">D16/D18</f>
        <v>8.1730208907317789E-2</v>
      </c>
      <c r="E19" s="88">
        <f t="shared" si="1"/>
        <v>0.25793674591386284</v>
      </c>
      <c r="F19" s="88">
        <f t="shared" si="1"/>
        <v>0.2135390825101135</v>
      </c>
      <c r="G19" s="88">
        <f t="shared" si="1"/>
        <v>0.17633731353100571</v>
      </c>
      <c r="H19" s="88"/>
      <c r="I19" s="88"/>
      <c r="J19" s="88">
        <f>J16/J18</f>
        <v>0.15172839197658444</v>
      </c>
      <c r="K19" s="88">
        <f t="shared" ref="K19:N19" si="2">K16/K18</f>
        <v>0.13839342313488812</v>
      </c>
      <c r="L19" s="88">
        <f t="shared" si="2"/>
        <v>0</v>
      </c>
      <c r="M19" s="88">
        <f t="shared" si="2"/>
        <v>0</v>
      </c>
      <c r="N19" s="88">
        <f t="shared" si="2"/>
        <v>0</v>
      </c>
      <c r="O19" s="88"/>
      <c r="P19" s="88"/>
      <c r="Q19" s="88"/>
      <c r="R19" s="88">
        <f t="shared" si="1"/>
        <v>0.32141005235928327</v>
      </c>
      <c r="S19" s="88">
        <f t="shared" si="1"/>
        <v>0.19170157904908827</v>
      </c>
      <c r="T19" s="88">
        <f t="shared" si="1"/>
        <v>7.272186964915571E-2</v>
      </c>
      <c r="U19" s="88">
        <f t="shared" si="1"/>
        <v>0</v>
      </c>
      <c r="V19" s="101">
        <f t="shared" si="1"/>
        <v>0</v>
      </c>
    </row>
    <row r="20" spans="2:22">
      <c r="B20" s="96" t="s">
        <v>302</v>
      </c>
      <c r="C20" s="88">
        <f>C17/C18</f>
        <v>0.86324744247076313</v>
      </c>
      <c r="D20" s="88">
        <f t="shared" ref="D20:V20" si="3">D17/D18</f>
        <v>0.91826979109268225</v>
      </c>
      <c r="E20" s="88">
        <f t="shared" si="3"/>
        <v>0.74206325408613727</v>
      </c>
      <c r="F20" s="88">
        <f t="shared" si="3"/>
        <v>0.78646091748988656</v>
      </c>
      <c r="G20" s="88">
        <f t="shared" si="3"/>
        <v>0.82366268646899432</v>
      </c>
      <c r="H20" s="88"/>
      <c r="I20" s="88"/>
      <c r="J20" s="88">
        <f t="shared" si="3"/>
        <v>0.84827160802341561</v>
      </c>
      <c r="K20" s="88">
        <f t="shared" ref="K20:N20" si="4">K17/K18</f>
        <v>0.86160657686511188</v>
      </c>
      <c r="L20" s="88">
        <f t="shared" si="4"/>
        <v>1</v>
      </c>
      <c r="M20" s="88">
        <f t="shared" si="4"/>
        <v>1</v>
      </c>
      <c r="N20" s="88">
        <f t="shared" si="4"/>
        <v>1</v>
      </c>
      <c r="O20" s="88"/>
      <c r="P20" s="88"/>
      <c r="Q20" s="88"/>
      <c r="R20" s="88">
        <f t="shared" si="3"/>
        <v>0.67858994764071667</v>
      </c>
      <c r="S20" s="88">
        <f t="shared" si="3"/>
        <v>0.80829842095091176</v>
      </c>
      <c r="T20" s="88">
        <f t="shared" si="3"/>
        <v>0.92727813035084439</v>
      </c>
      <c r="U20" s="88">
        <f t="shared" si="3"/>
        <v>1</v>
      </c>
      <c r="V20" s="101">
        <f t="shared" si="3"/>
        <v>1</v>
      </c>
    </row>
    <row r="21" spans="2:22">
      <c r="B21" s="96" t="s">
        <v>292</v>
      </c>
      <c r="C21" s="88">
        <f>$D$10</f>
        <v>0.2</v>
      </c>
      <c r="D21" s="88">
        <f>$D$10</f>
        <v>0.2</v>
      </c>
      <c r="E21" s="88">
        <f>$D$10</f>
        <v>0.2</v>
      </c>
      <c r="F21" s="88">
        <f>$D$10</f>
        <v>0.2</v>
      </c>
      <c r="G21" s="88">
        <f>$D$10</f>
        <v>0.2</v>
      </c>
      <c r="H21" s="88"/>
      <c r="I21" s="88"/>
      <c r="J21" s="88">
        <f>$D$10</f>
        <v>0.2</v>
      </c>
      <c r="K21" s="88">
        <f>$D$10</f>
        <v>0.2</v>
      </c>
      <c r="L21" s="88">
        <f>$D$10</f>
        <v>0.2</v>
      </c>
      <c r="M21" s="88">
        <f>$D$10</f>
        <v>0.2</v>
      </c>
      <c r="N21" s="88">
        <f>$D$10</f>
        <v>0.2</v>
      </c>
      <c r="O21" s="88"/>
      <c r="P21" s="88"/>
      <c r="Q21" s="88"/>
      <c r="R21" s="88">
        <f>$D$10</f>
        <v>0.2</v>
      </c>
      <c r="S21" s="88">
        <f>$D$10</f>
        <v>0.2</v>
      </c>
      <c r="T21" s="88">
        <f>$D$10</f>
        <v>0.2</v>
      </c>
      <c r="U21" s="88">
        <f>$D$10</f>
        <v>0.2</v>
      </c>
      <c r="V21" s="101">
        <f>$D$10</f>
        <v>0.2</v>
      </c>
    </row>
    <row r="22" spans="2:22">
      <c r="B22" s="96" t="s">
        <v>303</v>
      </c>
      <c r="C22" s="101">
        <f>C19*$D$9*(1-C21)</f>
        <v>1.641030690350842E-2</v>
      </c>
      <c r="D22" s="101">
        <f>D19*$D$9*(1-D21)</f>
        <v>9.8076250688781345E-3</v>
      </c>
      <c r="E22" s="101">
        <f>E19*$D$9*(1-E21)</f>
        <v>3.0952409509663544E-2</v>
      </c>
      <c r="F22" s="101">
        <f>F19*$D$9*(1-F21)</f>
        <v>2.5624689901213624E-2</v>
      </c>
      <c r="G22" s="101">
        <f>G19*$D$9*(1-G21)</f>
        <v>2.1160477623720683E-2</v>
      </c>
      <c r="H22" s="101"/>
      <c r="I22" s="101"/>
      <c r="J22" s="101">
        <f>J19*$D$9*(1-J21)</f>
        <v>1.8207407037190131E-2</v>
      </c>
      <c r="K22" s="101">
        <f>K19*$D$9*(1-K21)</f>
        <v>1.6607210776186574E-2</v>
      </c>
      <c r="L22" s="101">
        <f>L19*$D$9*(1-L21)</f>
        <v>0</v>
      </c>
      <c r="M22" s="101">
        <f>M19*$D$9*(1-M21)</f>
        <v>0</v>
      </c>
      <c r="N22" s="101">
        <f>N19*$D$9*(1-N21)</f>
        <v>0</v>
      </c>
      <c r="O22" s="101"/>
      <c r="P22" s="101"/>
      <c r="Q22" s="101"/>
      <c r="R22" s="101">
        <f>R19*$D$9*(1-R21)</f>
        <v>3.8569206283113999E-2</v>
      </c>
      <c r="S22" s="101">
        <f>S19*$D$9*(1-S21)</f>
        <v>2.3004189485890593E-2</v>
      </c>
      <c r="T22" s="101">
        <f>T19*$D$9*(1-T21)</f>
        <v>8.7266243578986852E-3</v>
      </c>
      <c r="U22" s="88">
        <f>U19*$D$9*(1-U21)</f>
        <v>0</v>
      </c>
      <c r="V22" s="101">
        <f>V19*$D$9*(1-V21)</f>
        <v>0</v>
      </c>
    </row>
    <row r="23" spans="2:22">
      <c r="B23" s="96" t="s">
        <v>304</v>
      </c>
      <c r="C23" s="88">
        <f>C20*$D$8</f>
        <v>0.25905376067997793</v>
      </c>
      <c r="D23" s="88">
        <f>D20*$D$8</f>
        <v>0.27556553428124836</v>
      </c>
      <c r="E23" s="88">
        <f>E20*$D$8</f>
        <v>0.22268733989321554</v>
      </c>
      <c r="F23" s="88">
        <f>F20*$D$8</f>
        <v>0.23601072911430163</v>
      </c>
      <c r="G23" s="88">
        <f>G20*$D$8</f>
        <v>0.24717468707565057</v>
      </c>
      <c r="H23" s="88"/>
      <c r="I23" s="88"/>
      <c r="J23" s="88">
        <f>J20*$D$8</f>
        <v>0.25455963067502568</v>
      </c>
      <c r="K23" s="88">
        <f>K20*$D$8</f>
        <v>0.25856134983112822</v>
      </c>
      <c r="L23" s="88">
        <f>L20*$D$8</f>
        <v>0.30009212646900102</v>
      </c>
      <c r="M23" s="88">
        <f>M20*$D$8</f>
        <v>0.30009212646900102</v>
      </c>
      <c r="N23" s="88">
        <f>N20*$D$8</f>
        <v>0.30009212646900102</v>
      </c>
      <c r="O23" s="88"/>
      <c r="P23" s="88"/>
      <c r="Q23" s="88"/>
      <c r="R23" s="88">
        <f>R20*$D$8</f>
        <v>0.20363950038799072</v>
      </c>
      <c r="S23" s="88">
        <f>S20*$D$8</f>
        <v>0.24256399196469483</v>
      </c>
      <c r="T23" s="88">
        <f>T20*$D$8</f>
        <v>0.27826886596518441</v>
      </c>
      <c r="U23" s="88">
        <f>U20*$D$8</f>
        <v>0.30009212646900102</v>
      </c>
      <c r="V23" s="101">
        <f>V20*$D$8</f>
        <v>0.30009212646900102</v>
      </c>
    </row>
    <row r="24" spans="2:22" ht="43.5">
      <c r="B24" s="104" t="s">
        <v>305</v>
      </c>
      <c r="C24" s="88">
        <f>C22+C23</f>
        <v>0.27546406758348635</v>
      </c>
      <c r="D24" s="88">
        <f t="shared" ref="D24:V24" si="5">D22+D23</f>
        <v>0.28537315935012647</v>
      </c>
      <c r="E24" s="88">
        <f t="shared" si="5"/>
        <v>0.25363974940287909</v>
      </c>
      <c r="F24" s="88">
        <f t="shared" si="5"/>
        <v>0.26163541901551524</v>
      </c>
      <c r="G24" s="88">
        <f t="shared" si="5"/>
        <v>0.26833516469937124</v>
      </c>
      <c r="H24" s="88"/>
      <c r="I24" s="88"/>
      <c r="J24" s="88">
        <f t="shared" si="5"/>
        <v>0.27276703771221583</v>
      </c>
      <c r="K24" s="88">
        <f t="shared" si="5"/>
        <v>0.27516856060731482</v>
      </c>
      <c r="L24" s="88">
        <f t="shared" si="5"/>
        <v>0.30009212646900102</v>
      </c>
      <c r="M24" s="88">
        <f t="shared" si="5"/>
        <v>0.30009212646900102</v>
      </c>
      <c r="N24" s="88">
        <f t="shared" si="5"/>
        <v>0.30009212646900102</v>
      </c>
      <c r="O24" s="88"/>
      <c r="P24" s="88"/>
      <c r="Q24" s="88"/>
      <c r="R24" s="88">
        <f t="shared" si="5"/>
        <v>0.24220870667110472</v>
      </c>
      <c r="S24" s="88">
        <f t="shared" si="5"/>
        <v>0.26556818145058542</v>
      </c>
      <c r="T24" s="88">
        <f t="shared" si="5"/>
        <v>0.28699549032308308</v>
      </c>
      <c r="U24" s="88">
        <f t="shared" si="5"/>
        <v>0.30009212646900102</v>
      </c>
      <c r="V24" s="101">
        <f t="shared" si="5"/>
        <v>0.30009212646900102</v>
      </c>
    </row>
    <row r="25" spans="2:22">
      <c r="B25" s="96"/>
      <c r="C25" s="87"/>
      <c r="D25" s="87"/>
      <c r="E25" s="87"/>
      <c r="F25" s="100"/>
      <c r="V25" s="105"/>
    </row>
    <row r="26" spans="2:22">
      <c r="B26" s="96" t="s">
        <v>306</v>
      </c>
      <c r="C26" s="87">
        <f>SUM(CFS!F8:Q15)</f>
        <v>359031.27510862052</v>
      </c>
      <c r="D26" s="87">
        <f>SUM(CFS!R8:S15)</f>
        <v>946330.96052897791</v>
      </c>
      <c r="E26" s="87">
        <f>SUM(CFS!T8:T15)</f>
        <v>888638.52641625958</v>
      </c>
      <c r="F26" s="87">
        <f>SUM(CFS!U8:U15)</f>
        <v>283177.3078668341</v>
      </c>
      <c r="G26" s="87">
        <f>SUM(CFS!V8:V15)</f>
        <v>362193.90183049184</v>
      </c>
      <c r="H26" s="87">
        <f>SUM(CFS!W8:W15)</f>
        <v>0</v>
      </c>
      <c r="I26" s="87">
        <f>SUM(CFS!X8:X15)</f>
        <v>0</v>
      </c>
      <c r="J26" s="87">
        <f>SUM(CFS!Y8:Y15)</f>
        <v>388957.81233744707</v>
      </c>
      <c r="K26" s="87">
        <f>SUM(CFS!Z8:Z15)</f>
        <v>348568.10055308172</v>
      </c>
      <c r="L26" s="87">
        <f>SUM(CFS!AA8:AA15)</f>
        <v>228497.27032757227</v>
      </c>
      <c r="M26" s="87">
        <f>SUM(CFS!AB8:AB15)</f>
        <v>-144836.93248789839</v>
      </c>
      <c r="N26" s="87">
        <f>SUM(CFS!AC8:AC15)</f>
        <v>-953190.92689519457</v>
      </c>
      <c r="O26" s="87"/>
      <c r="P26" s="87"/>
      <c r="Q26" s="87"/>
      <c r="R26" s="87">
        <f>SUM(CFS!AG8:AG15)</f>
        <v>4341819.5582577223</v>
      </c>
      <c r="S26" s="87">
        <f>SUM(CFS!AH8:AH15)</f>
        <v>2832836.6768607828</v>
      </c>
      <c r="T26" s="87">
        <f>SUM(CFS!AI8:AI15)</f>
        <v>3110295.953036123</v>
      </c>
      <c r="U26" s="87">
        <f>SUM(CFS!AJ8:AJ15)</f>
        <v>3102537.8395718327</v>
      </c>
      <c r="V26" s="100">
        <f>SUM(CFS!AK8:AK15)</f>
        <v>2652161.478807427</v>
      </c>
    </row>
    <row r="27" spans="2:22">
      <c r="B27" s="96" t="s">
        <v>307</v>
      </c>
      <c r="C27" s="87">
        <f>SUM(PnL!F12:Q12)*(1-Valuation!$D$10)</f>
        <v>0</v>
      </c>
      <c r="D27" s="87">
        <f>SUM(PnL!R12:S12)*(1-Valuation!$D$10)</f>
        <v>0</v>
      </c>
      <c r="E27" s="87">
        <f>SUM(PnL!T12)*(1-Valuation!$D$10)</f>
        <v>0</v>
      </c>
      <c r="F27" s="87">
        <f>SUM(PnL!U12)*(1-Valuation!$D$10)</f>
        <v>0</v>
      </c>
      <c r="G27" s="87">
        <f>SUM(PnL!V12)*(1-Valuation!$D$10)</f>
        <v>0</v>
      </c>
      <c r="H27" s="87"/>
      <c r="I27" s="87"/>
      <c r="J27" s="87">
        <f>SUM(PnL!Y12)*(1-Valuation!$D$10)</f>
        <v>0</v>
      </c>
      <c r="K27" s="87">
        <f>SUM(PnL!Z12)*(1-Valuation!$D$10)</f>
        <v>0</v>
      </c>
      <c r="L27" s="87">
        <f>SUM(PnL!AA12)*(1-Valuation!$D$10)</f>
        <v>0</v>
      </c>
      <c r="M27" s="87">
        <f>SUM(PnL!AB12)*(1-Valuation!$D$10)</f>
        <v>0</v>
      </c>
      <c r="N27" s="87">
        <f>SUM(PnL!AC12)*(1-Valuation!$D$10)</f>
        <v>0</v>
      </c>
      <c r="O27" s="87"/>
      <c r="P27" s="87"/>
      <c r="Q27" s="87"/>
      <c r="R27" s="87">
        <f>SUM(PnL!AG12)*(1-Valuation!$D$10)</f>
        <v>360000</v>
      </c>
      <c r="S27" s="87">
        <f>SUM(PnL!AH12)*(1-Valuation!$D$10)</f>
        <v>306606.40111384977</v>
      </c>
      <c r="T27" s="87">
        <f>SUM(PnL!AI12)*(1-Valuation!$D$10)</f>
        <v>245203.76239477703</v>
      </c>
      <c r="U27" s="87">
        <f>SUM(PnL!AJ12)*(1-Valuation!$D$10)</f>
        <v>174590.72786784341</v>
      </c>
      <c r="V27" s="100">
        <f>SUM(PnL!AK12)*(1-Valuation!$D$10)</f>
        <v>93385.738161869711</v>
      </c>
    </row>
    <row r="28" spans="2:22">
      <c r="B28" s="96" t="s">
        <v>308</v>
      </c>
      <c r="C28" s="87">
        <f>SUM(CFS!F18:Q18)</f>
        <v>-84534.816082122168</v>
      </c>
      <c r="D28" s="87">
        <f>SUM(CFS!R18:S18)</f>
        <v>33231.199999999997</v>
      </c>
      <c r="E28" s="87">
        <f>SUM(CFS!T18)</f>
        <v>33024</v>
      </c>
      <c r="F28" s="87">
        <f>SUM(CFS!U18)</f>
        <v>-88956.800000000003</v>
      </c>
      <c r="G28" s="87">
        <f>SUM(CFS!V18)</f>
        <v>28220.800000000003</v>
      </c>
      <c r="H28" s="87"/>
      <c r="I28" s="87"/>
      <c r="J28" s="87">
        <f>SUM(CFS!Y18)</f>
        <v>17931.616082122171</v>
      </c>
      <c r="K28" s="87">
        <f>SUM(CFS!Z18)</f>
        <v>26384</v>
      </c>
      <c r="L28" s="87">
        <f>SUM(CFS!AA18)</f>
        <v>26096</v>
      </c>
      <c r="M28" s="87">
        <f>SUM(CFS!AB18)</f>
        <v>-9078.4000000000015</v>
      </c>
      <c r="N28" s="87">
        <f>SUM(CFS!AC18)</f>
        <v>8682.4000000000015</v>
      </c>
      <c r="O28" s="87"/>
      <c r="P28" s="87"/>
      <c r="Q28" s="87"/>
      <c r="R28" s="87">
        <f>SUM(CFS!AG18)</f>
        <v>-74663.883917877829</v>
      </c>
      <c r="S28" s="87">
        <f>SUM(CFS!AH18)</f>
        <v>37723.421875</v>
      </c>
      <c r="T28" s="87">
        <f>SUM(CFS!AI18)</f>
        <v>36526.07177734375</v>
      </c>
      <c r="U28" s="87">
        <f>SUM(CFS!AJ18)</f>
        <v>573.70700378417678</v>
      </c>
      <c r="V28" s="100">
        <f>SUM(CFS!AK18)</f>
        <v>9620.7655470848113</v>
      </c>
    </row>
    <row r="29" spans="2:22">
      <c r="B29" s="96" t="s">
        <v>309</v>
      </c>
      <c r="C29" s="87">
        <f>SUM(C26:C28)</f>
        <v>274496.45902649837</v>
      </c>
      <c r="D29" s="87">
        <f t="shared" ref="D29:V29" si="6">SUM(D26:D28)</f>
        <v>979562.16052897787</v>
      </c>
      <c r="E29" s="87">
        <f t="shared" si="6"/>
        <v>921662.52641625958</v>
      </c>
      <c r="F29" s="87">
        <f t="shared" si="6"/>
        <v>194220.50786683412</v>
      </c>
      <c r="G29" s="87">
        <f t="shared" si="6"/>
        <v>390414.70183049183</v>
      </c>
      <c r="H29" s="87">
        <f t="shared" si="6"/>
        <v>0</v>
      </c>
      <c r="I29" s="87">
        <f t="shared" si="6"/>
        <v>0</v>
      </c>
      <c r="J29" s="87">
        <f t="shared" si="6"/>
        <v>406889.42841956927</v>
      </c>
      <c r="K29" s="87">
        <f t="shared" si="6"/>
        <v>374952.10055308172</v>
      </c>
      <c r="L29" s="87">
        <f t="shared" si="6"/>
        <v>254593.27032757227</v>
      </c>
      <c r="M29" s="87">
        <f t="shared" si="6"/>
        <v>-153915.33248789838</v>
      </c>
      <c r="N29" s="87">
        <f t="shared" si="6"/>
        <v>-944508.52689519455</v>
      </c>
      <c r="O29" s="87">
        <f t="shared" si="6"/>
        <v>0</v>
      </c>
      <c r="P29" s="87">
        <f t="shared" si="6"/>
        <v>0</v>
      </c>
      <c r="Q29" s="87">
        <f t="shared" si="6"/>
        <v>0</v>
      </c>
      <c r="R29" s="87">
        <f t="shared" si="6"/>
        <v>4627155.6743398448</v>
      </c>
      <c r="S29" s="87">
        <f t="shared" si="6"/>
        <v>3177166.4998496324</v>
      </c>
      <c r="T29" s="87">
        <f t="shared" si="6"/>
        <v>3392025.7872082437</v>
      </c>
      <c r="U29" s="87">
        <f t="shared" si="6"/>
        <v>3277702.2744434606</v>
      </c>
      <c r="V29" s="100">
        <f t="shared" si="6"/>
        <v>2755167.9825163814</v>
      </c>
    </row>
    <row r="30" spans="2:22">
      <c r="B30" s="129" t="s">
        <v>310</v>
      </c>
      <c r="C30" s="102">
        <f>C29</f>
        <v>274496.45902649837</v>
      </c>
      <c r="D30" s="102">
        <f>D29/((1+D24)^C15)</f>
        <v>762083.87689084467</v>
      </c>
      <c r="E30" s="102">
        <f t="shared" ref="E30:V30" si="7">E29/((1+E24)^D15)</f>
        <v>586443.83096383058</v>
      </c>
      <c r="F30" s="102">
        <f t="shared" si="7"/>
        <v>96714.917778519812</v>
      </c>
      <c r="G30" s="102">
        <f>G29/((1+G24)^F15)</f>
        <v>150865.53237027669</v>
      </c>
      <c r="H30" s="102">
        <f>H29/((1+H24)^G15)</f>
        <v>0</v>
      </c>
      <c r="I30" s="102">
        <f t="shared" si="7"/>
        <v>0</v>
      </c>
      <c r="J30" s="102">
        <f>J29/((1+J24)^G15)</f>
        <v>121823.70670416763</v>
      </c>
      <c r="K30" s="102">
        <f>K29/((1+K24)^J15)</f>
        <v>87210.788128559099</v>
      </c>
      <c r="L30" s="102">
        <f t="shared" si="7"/>
        <v>40553.470157120704</v>
      </c>
      <c r="M30" s="102">
        <f>M29/((1+M24)^L15)</f>
        <v>-18857.705956505251</v>
      </c>
      <c r="N30" s="102">
        <f t="shared" si="7"/>
        <v>-89009.985369910937</v>
      </c>
      <c r="O30" s="102">
        <f t="shared" si="7"/>
        <v>0</v>
      </c>
      <c r="P30" s="102">
        <f t="shared" si="7"/>
        <v>0</v>
      </c>
      <c r="Q30" s="102">
        <f t="shared" si="7"/>
        <v>0</v>
      </c>
      <c r="R30" s="102">
        <f>R29/((1+R24)^G15)</f>
        <v>1564376.4391671547</v>
      </c>
      <c r="S30" s="102">
        <f>S29/((1+S24)^R15)</f>
        <v>773262.03913050494</v>
      </c>
      <c r="T30" s="102">
        <f t="shared" si="7"/>
        <v>579989.28379029152</v>
      </c>
      <c r="U30" s="102">
        <f t="shared" si="7"/>
        <v>401584.07031530194</v>
      </c>
      <c r="V30" s="324">
        <f t="shared" si="7"/>
        <v>259645.577389946</v>
      </c>
    </row>
    <row r="31" spans="2:22">
      <c r="B31" s="7"/>
      <c r="C31" s="86"/>
      <c r="D31" s="86"/>
      <c r="E31" s="86"/>
      <c r="F31" s="86"/>
      <c r="G31" s="86"/>
    </row>
    <row r="32" spans="2:22">
      <c r="C32" s="114" t="s">
        <v>316</v>
      </c>
      <c r="D32" s="86"/>
      <c r="E32" s="86"/>
      <c r="F32" s="301" t="s">
        <v>227</v>
      </c>
      <c r="G32" s="302"/>
    </row>
    <row r="33" spans="2:7">
      <c r="B33" s="96" t="s">
        <v>311</v>
      </c>
      <c r="C33" s="112">
        <f>SUM(C30:N30)</f>
        <v>2012324.8906934015</v>
      </c>
      <c r="D33" s="86"/>
      <c r="E33" s="86"/>
      <c r="F33" s="96" t="s">
        <v>311</v>
      </c>
      <c r="G33" s="112">
        <f>SUM(C30:G30)+SUM(R30:V30)</f>
        <v>5449462.0268231696</v>
      </c>
    </row>
    <row r="34" spans="2:7" ht="15" thickBot="1">
      <c r="B34" s="97" t="s">
        <v>143</v>
      </c>
      <c r="C34" s="119">
        <f>((N29*(1+D11))/(N24-D11))/((1+N24)^(N13-C13))</f>
        <v>-373704.2263503283</v>
      </c>
      <c r="D34" s="86"/>
      <c r="E34" s="86"/>
      <c r="F34" s="97" t="s">
        <v>143</v>
      </c>
      <c r="G34" s="119">
        <f>((V29*(1+D11))/(V24-D11))/((1+V24)^(V13-C13))</f>
        <v>1090109.7132029687</v>
      </c>
    </row>
    <row r="35" spans="2:7" ht="15" thickBot="1">
      <c r="B35" s="7"/>
      <c r="C35" s="86"/>
      <c r="D35" s="86"/>
      <c r="E35" s="86"/>
      <c r="F35" s="7"/>
      <c r="G35" s="86"/>
    </row>
    <row r="36" spans="2:7">
      <c r="B36" s="106" t="s">
        <v>312</v>
      </c>
      <c r="C36" s="109">
        <f>SUM(C33:C34)</f>
        <v>1638620.664343073</v>
      </c>
      <c r="D36" s="86"/>
      <c r="E36" s="86"/>
      <c r="F36" s="106" t="s">
        <v>312</v>
      </c>
      <c r="G36" s="109">
        <f>SUM(G33:G34)</f>
        <v>6539571.7400261387</v>
      </c>
    </row>
    <row r="37" spans="2:7">
      <c r="B37" s="130" t="s">
        <v>313</v>
      </c>
      <c r="C37" s="131" t="s">
        <v>318</v>
      </c>
      <c r="D37" s="86"/>
      <c r="E37" s="86"/>
      <c r="F37" s="107" t="s">
        <v>313</v>
      </c>
      <c r="G37" s="110">
        <f>Assumptions!C274</f>
        <v>16250</v>
      </c>
    </row>
    <row r="38" spans="2:7" ht="15" thickBot="1">
      <c r="B38" s="7"/>
      <c r="C38" s="116"/>
      <c r="D38" s="86"/>
      <c r="E38" s="86"/>
      <c r="F38" s="108" t="s">
        <v>314</v>
      </c>
      <c r="G38" s="111">
        <f>G36/G37</f>
        <v>402.43518400160855</v>
      </c>
    </row>
    <row r="39" spans="2:7">
      <c r="C39" s="86"/>
      <c r="D39" s="86"/>
      <c r="E39" s="86"/>
      <c r="F39" s="86"/>
      <c r="G39" s="86"/>
    </row>
    <row r="40" spans="2:7">
      <c r="C40" s="115"/>
      <c r="D40" s="115"/>
      <c r="E40" s="86"/>
      <c r="F40" s="86"/>
      <c r="G40" s="86"/>
    </row>
    <row r="41" spans="2:7">
      <c r="B41" s="116" t="s">
        <v>360</v>
      </c>
      <c r="D41" s="117"/>
      <c r="E41" s="86"/>
      <c r="F41" s="86"/>
      <c r="G41" s="86"/>
    </row>
    <row r="43" spans="2:7">
      <c r="B43" s="7"/>
      <c r="C43" s="118"/>
    </row>
  </sheetData>
  <mergeCells count="4">
    <mergeCell ref="J11:N11"/>
    <mergeCell ref="R11:V11"/>
    <mergeCell ref="F32:G32"/>
    <mergeCell ref="F2:I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B7973-0767-4E1A-84DC-2C276686FD7E}">
  <dimension ref="A1:AT30"/>
  <sheetViews>
    <sheetView showGridLines="0" zoomScale="71" workbookViewId="0">
      <pane xSplit="4" ySplit="4" topLeftCell="F28" activePane="bottomRight" state="frozen"/>
      <selection pane="topRight" activeCell="E1" sqref="E1"/>
      <selection pane="bottomLeft" activeCell="A5" sqref="A5"/>
      <selection pane="bottomRight" activeCell="Y42" sqref="Y42"/>
    </sheetView>
  </sheetViews>
  <sheetFormatPr defaultRowHeight="14.5"/>
  <cols>
    <col min="1" max="1" width="14" customWidth="1"/>
    <col min="2" max="2" width="9.6328125" customWidth="1"/>
  </cols>
  <sheetData>
    <row r="1" spans="1:46" ht="15" thickBot="1">
      <c r="A1" s="211"/>
      <c r="B1" s="211"/>
      <c r="C1" s="211"/>
      <c r="D1" s="211"/>
      <c r="E1" s="211"/>
      <c r="F1" s="211">
        <v>2025</v>
      </c>
      <c r="G1" s="211"/>
      <c r="H1" s="211"/>
      <c r="I1" s="211"/>
      <c r="J1" s="211"/>
      <c r="K1" s="211"/>
      <c r="L1" s="211"/>
      <c r="M1" s="211"/>
      <c r="N1" s="211"/>
      <c r="O1" s="211"/>
      <c r="P1" s="211"/>
      <c r="Q1" s="211"/>
      <c r="R1" s="211">
        <v>2026</v>
      </c>
      <c r="S1" s="211"/>
      <c r="T1" s="211">
        <v>2027</v>
      </c>
      <c r="U1" s="211">
        <v>2028</v>
      </c>
      <c r="V1" s="211">
        <v>2029</v>
      </c>
      <c r="W1" s="211"/>
      <c r="X1" s="211"/>
      <c r="Y1" s="211">
        <v>2030</v>
      </c>
      <c r="Z1" s="211">
        <v>2031</v>
      </c>
      <c r="AA1" s="211">
        <v>2032</v>
      </c>
      <c r="AB1" s="211">
        <v>2033</v>
      </c>
      <c r="AC1" s="211">
        <v>2034</v>
      </c>
      <c r="AD1" s="211"/>
      <c r="AE1" s="211"/>
      <c r="AF1" s="211"/>
      <c r="AG1" s="211">
        <v>2030</v>
      </c>
      <c r="AH1" s="211">
        <v>2031</v>
      </c>
      <c r="AI1" s="211">
        <v>2032</v>
      </c>
      <c r="AJ1" s="211">
        <v>2033</v>
      </c>
      <c r="AK1" s="211">
        <v>2034</v>
      </c>
      <c r="AL1" s="211"/>
      <c r="AM1" s="7"/>
      <c r="AN1" s="7"/>
      <c r="AO1" s="7"/>
      <c r="AP1" s="7"/>
      <c r="AQ1" s="7"/>
      <c r="AR1" s="7"/>
      <c r="AS1" s="7"/>
      <c r="AT1" s="7"/>
    </row>
    <row r="2" spans="1:46" ht="26.5" thickBot="1">
      <c r="A2" s="211"/>
      <c r="B2" s="211"/>
      <c r="C2" s="211"/>
      <c r="D2" s="211"/>
      <c r="E2" s="211"/>
      <c r="F2" s="211" t="s">
        <v>44</v>
      </c>
      <c r="G2" s="211" t="s">
        <v>45</v>
      </c>
      <c r="H2" s="211" t="s">
        <v>46</v>
      </c>
      <c r="I2" s="211" t="s">
        <v>47</v>
      </c>
      <c r="J2" s="211" t="s">
        <v>48</v>
      </c>
      <c r="K2" s="211" t="s">
        <v>49</v>
      </c>
      <c r="L2" s="211" t="s">
        <v>50</v>
      </c>
      <c r="M2" s="211" t="s">
        <v>51</v>
      </c>
      <c r="N2" s="211" t="s">
        <v>52</v>
      </c>
      <c r="O2" s="211" t="s">
        <v>53</v>
      </c>
      <c r="P2" s="211" t="s">
        <v>54</v>
      </c>
      <c r="Q2" s="211" t="s">
        <v>55</v>
      </c>
      <c r="R2" s="211"/>
      <c r="S2" s="211"/>
      <c r="T2" s="211"/>
      <c r="U2" s="211"/>
      <c r="V2" s="211"/>
      <c r="W2" s="211"/>
      <c r="X2" s="211"/>
      <c r="Y2" s="303" t="s">
        <v>164</v>
      </c>
      <c r="Z2" s="304"/>
      <c r="AA2" s="304"/>
      <c r="AB2" s="304"/>
      <c r="AC2" s="305"/>
      <c r="AD2" s="211"/>
      <c r="AE2" s="211"/>
      <c r="AF2" s="211"/>
      <c r="AG2" s="303" t="s">
        <v>227</v>
      </c>
      <c r="AH2" s="304"/>
      <c r="AI2" s="304"/>
      <c r="AJ2" s="304"/>
      <c r="AK2" s="305"/>
      <c r="AL2" s="211"/>
      <c r="AM2" s="7"/>
      <c r="AN2" s="7"/>
      <c r="AO2" s="7"/>
      <c r="AP2" s="7"/>
      <c r="AQ2" s="7"/>
      <c r="AR2" s="7"/>
      <c r="AS2" s="7"/>
      <c r="AT2" s="7"/>
    </row>
    <row r="3" spans="1:46">
      <c r="A3" s="211"/>
      <c r="B3" s="211"/>
      <c r="C3" s="211"/>
      <c r="D3" s="211" t="s">
        <v>93</v>
      </c>
      <c r="E3" s="211" t="s">
        <v>6</v>
      </c>
      <c r="F3" s="211">
        <v>1</v>
      </c>
      <c r="G3" s="211">
        <v>1</v>
      </c>
      <c r="H3" s="211">
        <v>1</v>
      </c>
      <c r="I3" s="211">
        <v>1</v>
      </c>
      <c r="J3" s="211">
        <v>1</v>
      </c>
      <c r="K3" s="211">
        <v>1</v>
      </c>
      <c r="L3" s="211">
        <v>1</v>
      </c>
      <c r="M3" s="211">
        <v>1</v>
      </c>
      <c r="N3" s="211">
        <v>1</v>
      </c>
      <c r="O3" s="211">
        <v>1</v>
      </c>
      <c r="P3" s="211">
        <v>1</v>
      </c>
      <c r="Q3" s="211">
        <v>1</v>
      </c>
      <c r="R3" s="211">
        <v>2</v>
      </c>
      <c r="S3" s="211">
        <v>2</v>
      </c>
      <c r="T3" s="211">
        <v>3</v>
      </c>
      <c r="U3" s="211">
        <v>4</v>
      </c>
      <c r="V3" s="211">
        <v>5</v>
      </c>
      <c r="W3" s="211"/>
      <c r="X3" s="211"/>
      <c r="Y3" s="211"/>
      <c r="Z3" s="211"/>
      <c r="AA3" s="211"/>
      <c r="AB3" s="211"/>
      <c r="AC3" s="211"/>
      <c r="AD3" s="211"/>
      <c r="AE3" s="211"/>
      <c r="AF3" s="211"/>
      <c r="AG3" s="211"/>
      <c r="AH3" s="211"/>
      <c r="AI3" s="211"/>
      <c r="AJ3" s="211"/>
      <c r="AK3" s="211"/>
      <c r="AL3" s="211"/>
      <c r="AM3" s="7"/>
      <c r="AN3" s="7"/>
      <c r="AO3" s="7"/>
      <c r="AP3" s="7"/>
      <c r="AQ3" s="7"/>
      <c r="AR3" s="7"/>
      <c r="AS3" s="7"/>
      <c r="AT3" s="7"/>
    </row>
    <row r="4" spans="1:46" ht="29.5" thickBot="1">
      <c r="A4" s="211" t="s">
        <v>99</v>
      </c>
      <c r="B4" s="211" t="s">
        <v>94</v>
      </c>
      <c r="C4" s="212" t="s">
        <v>95</v>
      </c>
      <c r="D4" s="212" t="s">
        <v>96</v>
      </c>
      <c r="E4" s="211" t="s">
        <v>4</v>
      </c>
      <c r="F4" s="211">
        <v>1</v>
      </c>
      <c r="G4" s="211">
        <v>2</v>
      </c>
      <c r="H4" s="211">
        <v>3</v>
      </c>
      <c r="I4" s="211">
        <f>H4+1</f>
        <v>4</v>
      </c>
      <c r="J4" s="211">
        <f t="shared" ref="J4:Q4" si="0">I4+1</f>
        <v>5</v>
      </c>
      <c r="K4" s="211">
        <f t="shared" si="0"/>
        <v>6</v>
      </c>
      <c r="L4" s="211">
        <f t="shared" si="0"/>
        <v>7</v>
      </c>
      <c r="M4" s="211">
        <f t="shared" si="0"/>
        <v>8</v>
      </c>
      <c r="N4" s="211">
        <f t="shared" si="0"/>
        <v>9</v>
      </c>
      <c r="O4" s="211">
        <f t="shared" si="0"/>
        <v>10</v>
      </c>
      <c r="P4" s="211">
        <f t="shared" si="0"/>
        <v>11</v>
      </c>
      <c r="Q4" s="211">
        <f t="shared" si="0"/>
        <v>12</v>
      </c>
      <c r="R4" s="211" t="s">
        <v>97</v>
      </c>
      <c r="S4" s="211" t="s">
        <v>98</v>
      </c>
      <c r="T4" s="211" t="s">
        <v>9</v>
      </c>
      <c r="U4" s="211" t="s">
        <v>9</v>
      </c>
      <c r="V4" s="211" t="s">
        <v>9</v>
      </c>
      <c r="W4" s="211"/>
      <c r="X4" s="211"/>
      <c r="Y4" s="211"/>
      <c r="Z4" s="211"/>
      <c r="AA4" s="211"/>
      <c r="AB4" s="211"/>
      <c r="AC4" s="211"/>
      <c r="AD4" s="211"/>
      <c r="AE4" s="211"/>
      <c r="AF4" s="211"/>
      <c r="AG4" s="211"/>
      <c r="AH4" s="211"/>
      <c r="AI4" s="211"/>
      <c r="AJ4" s="211"/>
      <c r="AK4" s="211"/>
      <c r="AL4" s="211"/>
      <c r="AM4" s="7"/>
      <c r="AN4" s="7"/>
      <c r="AO4" s="7"/>
      <c r="AP4" s="7"/>
      <c r="AQ4" s="7"/>
      <c r="AR4" s="7"/>
      <c r="AS4" s="7"/>
      <c r="AT4" s="7"/>
    </row>
    <row r="5" spans="1:46">
      <c r="A5" s="214" t="s">
        <v>11</v>
      </c>
      <c r="B5" s="7"/>
      <c r="C5" s="7"/>
      <c r="D5" s="7"/>
      <c r="E5" s="7"/>
      <c r="F5" s="7">
        <f>Assumptions!F25</f>
        <v>64260</v>
      </c>
      <c r="G5" s="7">
        <f>Assumptions!G25</f>
        <v>147870</v>
      </c>
      <c r="H5" s="7">
        <f>Assumptions!H25</f>
        <v>167220</v>
      </c>
      <c r="I5" s="7">
        <f>Assumptions!I25</f>
        <v>152840</v>
      </c>
      <c r="J5" s="7">
        <f>Assumptions!J25</f>
        <v>172840</v>
      </c>
      <c r="K5" s="7">
        <f>Assumptions!K25</f>
        <v>112840</v>
      </c>
      <c r="L5" s="7">
        <f>Assumptions!L25</f>
        <v>154705</v>
      </c>
      <c r="M5" s="7">
        <f>Assumptions!M25</f>
        <v>111180</v>
      </c>
      <c r="N5" s="7">
        <f>Assumptions!N25</f>
        <v>166435</v>
      </c>
      <c r="O5" s="7">
        <f>Assumptions!O25</f>
        <v>152580</v>
      </c>
      <c r="P5" s="7">
        <f>Assumptions!P25</f>
        <v>173475</v>
      </c>
      <c r="Q5" s="7">
        <f>Assumptions!Q25</f>
        <v>131740</v>
      </c>
      <c r="R5" s="7">
        <f>Assumptions!R25</f>
        <v>916680</v>
      </c>
      <c r="S5" s="7">
        <f>Assumptions!S25</f>
        <v>981590</v>
      </c>
      <c r="T5" s="7">
        <f>Assumptions!T25</f>
        <v>1741500</v>
      </c>
      <c r="U5" s="7">
        <f>Assumptions!U25</f>
        <v>1869210</v>
      </c>
      <c r="V5" s="7">
        <f>Assumptions!V25</f>
        <v>2008530</v>
      </c>
      <c r="W5" s="7"/>
      <c r="X5" s="7"/>
      <c r="Y5" s="7">
        <f>Assumptions!Y25</f>
        <v>2136240</v>
      </c>
      <c r="Z5" s="7">
        <f>Assumptions!Z25</f>
        <v>2275560</v>
      </c>
      <c r="AA5" s="7">
        <f>Assumptions!AA25</f>
        <v>2449710</v>
      </c>
      <c r="AB5" s="7">
        <f>Assumptions!AB25</f>
        <v>2589030</v>
      </c>
      <c r="AC5" s="7">
        <f>Assumptions!AC25</f>
        <v>2763180</v>
      </c>
      <c r="AD5" s="7"/>
      <c r="AE5" s="7"/>
      <c r="AF5" s="7"/>
      <c r="AG5" s="7">
        <f>Assumptions!AG25</f>
        <v>7382240</v>
      </c>
      <c r="AH5" s="7">
        <f>Assumptions!AH25</f>
        <v>7765560</v>
      </c>
      <c r="AI5" s="7">
        <f>Assumptions!AI25</f>
        <v>8366710</v>
      </c>
      <c r="AJ5" s="7">
        <f>Assumptions!AJ25</f>
        <v>8872030</v>
      </c>
      <c r="AK5" s="7">
        <f>Assumptions!AK25</f>
        <v>9473180</v>
      </c>
    </row>
    <row r="6" spans="1:46" ht="29">
      <c r="A6" s="215" t="s">
        <v>226</v>
      </c>
      <c r="B6" s="15"/>
      <c r="C6" s="15"/>
      <c r="D6" s="15"/>
      <c r="E6" s="15"/>
      <c r="F6" s="15">
        <f>Assumptions!F48</f>
        <v>6252.3333333333339</v>
      </c>
      <c r="G6" s="15">
        <f>Assumptions!G48</f>
        <v>7408.1111111111113</v>
      </c>
      <c r="H6" s="15">
        <f>Assumptions!H48</f>
        <v>7735.9259259259261</v>
      </c>
      <c r="I6" s="15">
        <f>Assumptions!I48</f>
        <v>7553.7771604938271</v>
      </c>
      <c r="J6" s="15">
        <f>Assumptions!J48</f>
        <v>7921.6642078189298</v>
      </c>
      <c r="K6" s="15">
        <f>Assumptions!K48</f>
        <v>7249.5864710219475</v>
      </c>
      <c r="L6" s="15">
        <f>Assumptions!L48</f>
        <v>7957.5433631715823</v>
      </c>
      <c r="M6" s="15">
        <f>Assumptions!M48</f>
        <v>7515.5343071187226</v>
      </c>
      <c r="N6" s="15">
        <f>Assumptions!N48</f>
        <v>8473.5587353334104</v>
      </c>
      <c r="O6" s="15">
        <f>Assumptions!O48</f>
        <v>8581.6160897445188</v>
      </c>
      <c r="P6" s="15">
        <f>Assumptions!P48</f>
        <v>9199.7058215821125</v>
      </c>
      <c r="Q6" s="15">
        <f>Assumptions!Q48</f>
        <v>9037.8273912224104</v>
      </c>
      <c r="R6" s="15">
        <f>Assumptions!R48</f>
        <v>59248.518894662731</v>
      </c>
      <c r="S6" s="15">
        <f>Assumptions!S48</f>
        <v>65823.940364888505</v>
      </c>
      <c r="T6" s="15">
        <f>Assumptions!T48</f>
        <v>148814.69745283591</v>
      </c>
      <c r="U6" s="15">
        <f>Assumptions!U48</f>
        <v>149081.09278727026</v>
      </c>
      <c r="V6" s="15">
        <f>Assumptions!V48</f>
        <v>159535.24602916409</v>
      </c>
      <c r="W6" s="15"/>
      <c r="X6" s="15"/>
      <c r="Y6" s="15">
        <f>Assumptions!Y48</f>
        <v>216802.3020368031</v>
      </c>
      <c r="Z6" s="15">
        <f>Assumptions!Z48</f>
        <v>322402.82688833284</v>
      </c>
      <c r="AA6" s="15">
        <f>Assumptions!AA48</f>
        <v>523670.24933589681</v>
      </c>
      <c r="AB6" s="15">
        <f>Assumptions!AB48</f>
        <v>911175.5796066341</v>
      </c>
      <c r="AC6" s="15">
        <f>Assumptions!AC48</f>
        <v>1783960.9484137211</v>
      </c>
      <c r="AD6" s="15"/>
      <c r="AE6" s="15"/>
      <c r="AF6" s="15"/>
      <c r="AG6" s="15">
        <f>Assumptions!AG48</f>
        <v>557083.28616566746</v>
      </c>
      <c r="AH6" s="15">
        <f>Assumptions!AH48</f>
        <v>656958.05763636692</v>
      </c>
      <c r="AI6" s="15">
        <f>Assumptions!AI48</f>
        <v>853833.68655947829</v>
      </c>
      <c r="AJ6" s="15">
        <f>Assumptions!AJ48</f>
        <v>1294489.0481279383</v>
      </c>
      <c r="AK6" s="15">
        <f>Assumptions!AK48</f>
        <v>2189429.2279765848</v>
      </c>
    </row>
    <row r="7" spans="1:46">
      <c r="A7" s="216" t="s">
        <v>228</v>
      </c>
      <c r="B7" s="7"/>
      <c r="C7" s="7"/>
      <c r="D7" s="7"/>
      <c r="E7" s="7"/>
      <c r="F7" s="7">
        <f>F5-F6</f>
        <v>58007.666666666664</v>
      </c>
      <c r="G7" s="7">
        <f t="shared" ref="G7:N7" si="1">G5-G6</f>
        <v>140461.88888888888</v>
      </c>
      <c r="H7" s="7">
        <f t="shared" si="1"/>
        <v>159484.07407407407</v>
      </c>
      <c r="I7" s="7">
        <f t="shared" si="1"/>
        <v>145286.22283950617</v>
      </c>
      <c r="J7" s="7">
        <f t="shared" si="1"/>
        <v>164918.33579218108</v>
      </c>
      <c r="K7" s="7">
        <f t="shared" si="1"/>
        <v>105590.41352897805</v>
      </c>
      <c r="L7" s="7">
        <f t="shared" si="1"/>
        <v>146747.45663682843</v>
      </c>
      <c r="M7" s="7">
        <f t="shared" si="1"/>
        <v>103664.46569288128</v>
      </c>
      <c r="N7" s="7">
        <f t="shared" si="1"/>
        <v>157961.44126466659</v>
      </c>
      <c r="O7" s="7">
        <f t="shared" ref="O7:AK7" si="2">O5-O6</f>
        <v>143998.38391025548</v>
      </c>
      <c r="P7" s="7">
        <f t="shared" si="2"/>
        <v>164275.29417841788</v>
      </c>
      <c r="Q7" s="7">
        <f t="shared" si="2"/>
        <v>122702.17260877759</v>
      </c>
      <c r="R7" s="7">
        <f t="shared" si="2"/>
        <v>857431.48110533727</v>
      </c>
      <c r="S7" s="7">
        <f t="shared" si="2"/>
        <v>915766.05963511148</v>
      </c>
      <c r="T7" s="7">
        <f t="shared" si="2"/>
        <v>1592685.302547164</v>
      </c>
      <c r="U7" s="7">
        <f t="shared" si="2"/>
        <v>1720128.9072127298</v>
      </c>
      <c r="V7" s="7">
        <f t="shared" si="2"/>
        <v>1848994.7539708358</v>
      </c>
      <c r="W7" s="7"/>
      <c r="X7" s="7"/>
      <c r="Y7" s="7">
        <f t="shared" si="2"/>
        <v>1919437.6979631968</v>
      </c>
      <c r="Z7" s="7">
        <f t="shared" si="2"/>
        <v>1953157.1731116672</v>
      </c>
      <c r="AA7" s="7">
        <f t="shared" si="2"/>
        <v>1926039.7506641033</v>
      </c>
      <c r="AB7" s="7">
        <f t="shared" si="2"/>
        <v>1677854.4203933659</v>
      </c>
      <c r="AC7" s="7">
        <f t="shared" si="2"/>
        <v>979219.05158627895</v>
      </c>
      <c r="AD7" s="7"/>
      <c r="AE7" s="7"/>
      <c r="AF7" s="7"/>
      <c r="AG7" s="7">
        <f t="shared" si="2"/>
        <v>6825156.7138343323</v>
      </c>
      <c r="AH7" s="7">
        <f t="shared" si="2"/>
        <v>7108601.9423636328</v>
      </c>
      <c r="AI7" s="7">
        <f t="shared" si="2"/>
        <v>7512876.3134405222</v>
      </c>
      <c r="AJ7" s="7">
        <f t="shared" si="2"/>
        <v>7577540.9518720619</v>
      </c>
      <c r="AK7" s="7">
        <f t="shared" si="2"/>
        <v>7283750.7720234152</v>
      </c>
    </row>
    <row r="8" spans="1:46" ht="29">
      <c r="A8" s="217" t="s">
        <v>231</v>
      </c>
      <c r="F8">
        <f>Assumptions!F211</f>
        <v>37552</v>
      </c>
      <c r="G8">
        <f>Assumptions!G211</f>
        <v>54430</v>
      </c>
      <c r="H8">
        <f>Assumptions!H211</f>
        <v>58370</v>
      </c>
      <c r="I8">
        <f>Assumptions!I211</f>
        <v>54540</v>
      </c>
      <c r="J8">
        <f>Assumptions!J211</f>
        <v>58530</v>
      </c>
      <c r="K8">
        <f>Assumptions!K211</f>
        <v>46950</v>
      </c>
      <c r="L8">
        <f>Assumptions!L211</f>
        <v>54900</v>
      </c>
      <c r="M8">
        <f>Assumptions!M211</f>
        <v>46020</v>
      </c>
      <c r="N8">
        <f>Assumptions!N211</f>
        <v>56560</v>
      </c>
      <c r="O8">
        <f>Assumptions!O211</f>
        <v>54250</v>
      </c>
      <c r="P8">
        <f>Assumptions!P211</f>
        <v>58470</v>
      </c>
      <c r="Q8">
        <f>Assumptions!Q211</f>
        <v>51060</v>
      </c>
      <c r="R8">
        <f>Assumptions!R211</f>
        <v>321910.51889466273</v>
      </c>
      <c r="S8">
        <f>Assumptions!S211</f>
        <v>334030.74036488851</v>
      </c>
      <c r="T8">
        <f>Assumptions!T211</f>
        <v>634750.69745283597</v>
      </c>
      <c r="U8">
        <f>Assumptions!U211</f>
        <v>640737.89278727025</v>
      </c>
      <c r="V8">
        <f>Assumptions!V211</f>
        <v>647104.44602916413</v>
      </c>
      <c r="Y8">
        <f>Assumptions!Y211</f>
        <v>704008.3020368031</v>
      </c>
      <c r="Z8">
        <f>Assumptions!Z211</f>
        <v>808098.82688833284</v>
      </c>
      <c r="AA8">
        <f>Assumptions!AA211</f>
        <v>1007674.2493358968</v>
      </c>
      <c r="AB8">
        <f>Assumptions!AB211</f>
        <v>1413123.979606634</v>
      </c>
      <c r="AC8">
        <f>Assumptions!AC211</f>
        <v>2280824.5484137209</v>
      </c>
      <c r="AG8">
        <f>Assumptions!AG211</f>
        <v>2274155.2861656672</v>
      </c>
      <c r="AH8">
        <f>Assumptions!AH211</f>
        <v>2392934.0576363667</v>
      </c>
      <c r="AI8">
        <f>Assumptions!AI211</f>
        <v>2608139.6865594783</v>
      </c>
      <c r="AJ8">
        <f>Assumptions!AJ211</f>
        <v>3031165.8481279383</v>
      </c>
      <c r="AK8">
        <f>Assumptions!AK211</f>
        <v>3917156.427976585</v>
      </c>
    </row>
    <row r="9" spans="1:46" ht="58">
      <c r="A9" s="217" t="s">
        <v>240</v>
      </c>
      <c r="F9">
        <f>Assumptions!F215</f>
        <v>4000</v>
      </c>
      <c r="G9">
        <f>Assumptions!G215</f>
        <v>4033.333333333333</v>
      </c>
      <c r="H9">
        <f>Assumptions!H215</f>
        <v>4066.9444444444443</v>
      </c>
      <c r="I9">
        <f>Assumptions!I215</f>
        <v>4100.8356481481478</v>
      </c>
      <c r="J9">
        <f>Assumptions!J215</f>
        <v>4135.0092785493816</v>
      </c>
      <c r="K9">
        <f>Assumptions!K215</f>
        <v>4169.4676892039597</v>
      </c>
      <c r="L9">
        <f>Assumptions!L215</f>
        <v>4204.213253280659</v>
      </c>
      <c r="M9">
        <f>Assumptions!M215</f>
        <v>4239.2483637246642</v>
      </c>
      <c r="N9">
        <f>Assumptions!N215</f>
        <v>4274.5754334223693</v>
      </c>
      <c r="O9">
        <f>Assumptions!O215</f>
        <v>4310.196895367556</v>
      </c>
      <c r="P9">
        <f>Assumptions!P215</f>
        <v>4346.1152028289516</v>
      </c>
      <c r="Q9">
        <f>Assumptions!Q215</f>
        <v>4382.3328295191932</v>
      </c>
      <c r="R9">
        <f>Assumptions!R215</f>
        <v>4557.6261426999599</v>
      </c>
      <c r="S9">
        <f>Assumptions!S215</f>
        <v>4739.9311884079589</v>
      </c>
      <c r="T9">
        <f>Assumptions!T215</f>
        <v>5098.7439793704416</v>
      </c>
      <c r="U9">
        <f>Assumptions!U215</f>
        <v>5430.1623380295205</v>
      </c>
      <c r="V9">
        <f>Assumptions!V215</f>
        <v>5782.579873767635</v>
      </c>
      <c r="Y9">
        <f>Assumptions!Y215</f>
        <v>6178.8793477831778</v>
      </c>
      <c r="Z9">
        <f>Assumptions!Z215</f>
        <v>6580.1975614216954</v>
      </c>
      <c r="AA9">
        <f>Assumptions!AA215</f>
        <v>7007.2523831579629</v>
      </c>
      <c r="AB9">
        <f>Assumptions!AB215</f>
        <v>7487.4827464837217</v>
      </c>
      <c r="AC9">
        <f>Assumptions!AC215</f>
        <v>7987.2098241219564</v>
      </c>
      <c r="AG9">
        <f>Assumptions!AG215</f>
        <v>6178.8793477831778</v>
      </c>
      <c r="AH9">
        <f>Assumptions!AH215</f>
        <v>6580.1975614216954</v>
      </c>
      <c r="AI9">
        <f>Assumptions!AI215</f>
        <v>7007.2523831579629</v>
      </c>
      <c r="AJ9">
        <f>Assumptions!AJ215</f>
        <v>7487.4827464837217</v>
      </c>
      <c r="AK9">
        <f>Assumptions!AK215</f>
        <v>7987.2098241219564</v>
      </c>
    </row>
    <row r="10" spans="1:46">
      <c r="A10" s="215" t="s">
        <v>236</v>
      </c>
      <c r="B10" s="15"/>
      <c r="C10" s="15"/>
      <c r="D10" s="15"/>
      <c r="E10" s="15"/>
      <c r="F10" s="15">
        <f>Assumptions!F218</f>
        <v>50000</v>
      </c>
      <c r="G10" s="15">
        <f>Assumptions!G218</f>
        <v>50000</v>
      </c>
      <c r="H10" s="15">
        <f>Assumptions!H218</f>
        <v>50000</v>
      </c>
      <c r="I10" s="15">
        <f>Assumptions!I218</f>
        <v>50000</v>
      </c>
      <c r="J10" s="15">
        <f>Assumptions!J218</f>
        <v>50000</v>
      </c>
      <c r="K10" s="15">
        <f>Assumptions!K218</f>
        <v>50000</v>
      </c>
      <c r="L10" s="15">
        <f>Assumptions!L218</f>
        <v>52500</v>
      </c>
      <c r="M10" s="15">
        <f>Assumptions!M218</f>
        <v>52500</v>
      </c>
      <c r="N10" s="15">
        <f>Assumptions!N218</f>
        <v>52500</v>
      </c>
      <c r="O10" s="15">
        <f>Assumptions!O218</f>
        <v>52500</v>
      </c>
      <c r="P10" s="15">
        <f>Assumptions!P218</f>
        <v>52500</v>
      </c>
      <c r="Q10" s="15">
        <f>Assumptions!Q218</f>
        <v>52500</v>
      </c>
      <c r="R10" s="15">
        <f>Assumptions!R218</f>
        <v>330750</v>
      </c>
      <c r="S10" s="15">
        <f>Assumptions!S218</f>
        <v>347287.5</v>
      </c>
      <c r="T10" s="15">
        <f>Assumptions!T218</f>
        <v>729303.75</v>
      </c>
      <c r="U10" s="15">
        <f>Assumptions!U218</f>
        <v>765768.9375</v>
      </c>
      <c r="V10" s="15">
        <f>Assumptions!V218</f>
        <v>804057.38437500002</v>
      </c>
      <c r="W10" s="15"/>
      <c r="X10" s="15"/>
      <c r="Y10" s="15">
        <f>Assumptions!Y218</f>
        <v>844260.25359375007</v>
      </c>
      <c r="Z10" s="15">
        <f>Assumptions!Z218</f>
        <v>886473.26627343765</v>
      </c>
      <c r="AA10" s="15">
        <f>Assumptions!AA218</f>
        <v>930796.9295871096</v>
      </c>
      <c r="AB10" s="15">
        <f>Assumptions!AB218</f>
        <v>977336.77606646507</v>
      </c>
      <c r="AC10" s="15">
        <f>Assumptions!AC218</f>
        <v>1026203.6148697884</v>
      </c>
      <c r="AD10" s="15"/>
      <c r="AE10" s="15"/>
      <c r="AF10" s="15"/>
      <c r="AG10" s="15">
        <f>Assumptions!AG218</f>
        <v>924260.25359375007</v>
      </c>
      <c r="AH10" s="15">
        <f>Assumptions!AH218</f>
        <v>962035.76627343765</v>
      </c>
      <c r="AI10" s="15">
        <f>Assumptions!AI218</f>
        <v>1002702.0077121096</v>
      </c>
      <c r="AJ10" s="15">
        <f>Assumptions!AJ218</f>
        <v>1046284.5324141213</v>
      </c>
      <c r="AK10" s="15">
        <f>Assumptions!AK218</f>
        <v>1092824.3017136604</v>
      </c>
    </row>
    <row r="11" spans="1:46" ht="29">
      <c r="A11" s="217" t="s">
        <v>241</v>
      </c>
      <c r="F11">
        <f>F7-F8-F9-F10</f>
        <v>-33544.333333333336</v>
      </c>
      <c r="G11">
        <f t="shared" ref="G11:AK11" si="3">G7-G8-G9-G10</f>
        <v>31998.555555555547</v>
      </c>
      <c r="H11">
        <f t="shared" si="3"/>
        <v>47047.129629629635</v>
      </c>
      <c r="I11">
        <f t="shared" si="3"/>
        <v>36645.387191358022</v>
      </c>
      <c r="J11">
        <f t="shared" si="3"/>
        <v>52253.326513631706</v>
      </c>
      <c r="K11">
        <f t="shared" si="3"/>
        <v>4470.9458397740964</v>
      </c>
      <c r="L11">
        <f t="shared" si="3"/>
        <v>35143.243383547771</v>
      </c>
      <c r="M11">
        <f t="shared" si="3"/>
        <v>905.21732915661414</v>
      </c>
      <c r="N11">
        <f t="shared" si="3"/>
        <v>44626.865831244213</v>
      </c>
      <c r="O11">
        <f t="shared" si="3"/>
        <v>32938.187014887924</v>
      </c>
      <c r="P11">
        <f t="shared" si="3"/>
        <v>48959.178975588933</v>
      </c>
      <c r="Q11">
        <f t="shared" si="3"/>
        <v>14759.8397792584</v>
      </c>
      <c r="R11">
        <f t="shared" si="3"/>
        <v>200213.33606797457</v>
      </c>
      <c r="S11">
        <f t="shared" si="3"/>
        <v>229707.88808181498</v>
      </c>
      <c r="T11">
        <f t="shared" si="3"/>
        <v>223532.1111149576</v>
      </c>
      <c r="U11">
        <f t="shared" si="3"/>
        <v>308191.91458742996</v>
      </c>
      <c r="V11">
        <f t="shared" si="3"/>
        <v>392050.34369290399</v>
      </c>
      <c r="Y11">
        <f t="shared" si="3"/>
        <v>364990.26298486022</v>
      </c>
      <c r="Z11">
        <f t="shared" si="3"/>
        <v>252004.882388475</v>
      </c>
      <c r="AA11">
        <f t="shared" si="3"/>
        <v>-19438.680642061052</v>
      </c>
      <c r="AB11">
        <f t="shared" si="3"/>
        <v>-720093.81802621693</v>
      </c>
      <c r="AC11">
        <f t="shared" si="3"/>
        <v>-2335796.3215213525</v>
      </c>
      <c r="AG11">
        <f t="shared" si="3"/>
        <v>3620562.2947271308</v>
      </c>
      <c r="AH11">
        <f t="shared" si="3"/>
        <v>3747051.9208924067</v>
      </c>
      <c r="AI11">
        <f t="shared" si="3"/>
        <v>3895027.3667857773</v>
      </c>
      <c r="AJ11">
        <f t="shared" si="3"/>
        <v>3492603.0885835178</v>
      </c>
      <c r="AK11">
        <f t="shared" si="3"/>
        <v>2265782.8325090478</v>
      </c>
    </row>
    <row r="12" spans="1:46">
      <c r="A12" s="215" t="s">
        <v>258</v>
      </c>
      <c r="B12" s="15"/>
      <c r="C12" s="15"/>
      <c r="D12" s="15"/>
      <c r="E12" s="15"/>
      <c r="F12" s="15">
        <f>Assumptions!F223</f>
        <v>0</v>
      </c>
      <c r="G12" s="15">
        <f>Assumptions!G223</f>
        <v>0</v>
      </c>
      <c r="H12" s="15">
        <f>Assumptions!H223</f>
        <v>0</v>
      </c>
      <c r="I12" s="15">
        <f>Assumptions!I223</f>
        <v>0</v>
      </c>
      <c r="J12" s="15">
        <f>Assumptions!J223</f>
        <v>0</v>
      </c>
      <c r="K12" s="15">
        <f>Assumptions!K223</f>
        <v>0</v>
      </c>
      <c r="L12" s="15">
        <f>Assumptions!L223</f>
        <v>0</v>
      </c>
      <c r="M12" s="15">
        <f>Assumptions!M223</f>
        <v>0</v>
      </c>
      <c r="N12" s="15">
        <f>Assumptions!N223</f>
        <v>0</v>
      </c>
      <c r="O12" s="15">
        <f>Assumptions!O223</f>
        <v>0</v>
      </c>
      <c r="P12" s="15">
        <f>Assumptions!P223</f>
        <v>0</v>
      </c>
      <c r="Q12" s="15">
        <f>Assumptions!Q223</f>
        <v>0</v>
      </c>
      <c r="R12" s="15">
        <f>Assumptions!R223</f>
        <v>0</v>
      </c>
      <c r="S12" s="15">
        <f>Assumptions!S223</f>
        <v>0</v>
      </c>
      <c r="T12" s="15">
        <f>Assumptions!T223</f>
        <v>0</v>
      </c>
      <c r="U12" s="15">
        <f>Assumptions!U223</f>
        <v>0</v>
      </c>
      <c r="V12" s="15">
        <f>Assumptions!V223</f>
        <v>0</v>
      </c>
      <c r="W12" s="15"/>
      <c r="X12" s="15"/>
      <c r="Y12" s="15">
        <f>Assumptions!Y223</f>
        <v>0</v>
      </c>
      <c r="Z12" s="15">
        <f>Assumptions!Z223</f>
        <v>0</v>
      </c>
      <c r="AA12" s="15">
        <f>Assumptions!AA223</f>
        <v>0</v>
      </c>
      <c r="AB12" s="15">
        <f>Assumptions!AB223</f>
        <v>0</v>
      </c>
      <c r="AC12" s="15">
        <f>Assumptions!AC223</f>
        <v>0</v>
      </c>
      <c r="AD12" s="15"/>
      <c r="AE12" s="15"/>
      <c r="AF12" s="15"/>
      <c r="AG12" s="15">
        <f>Assumptions!AG223</f>
        <v>450000</v>
      </c>
      <c r="AH12" s="15">
        <f>Assumptions!AH223</f>
        <v>383258.00139231223</v>
      </c>
      <c r="AI12" s="15">
        <f>Assumptions!AI223</f>
        <v>306504.70299347129</v>
      </c>
      <c r="AJ12" s="15">
        <f>Assumptions!AJ223</f>
        <v>218238.40983480425</v>
      </c>
      <c r="AK12" s="15">
        <f>Assumptions!AK223</f>
        <v>116732.17270233713</v>
      </c>
    </row>
    <row r="13" spans="1:46" ht="29">
      <c r="A13" s="216" t="s">
        <v>260</v>
      </c>
      <c r="B13" s="7"/>
      <c r="C13" s="7"/>
      <c r="D13" s="7"/>
      <c r="E13" s="7"/>
      <c r="F13" s="7">
        <f>F11-F12</f>
        <v>-33544.333333333336</v>
      </c>
      <c r="G13" s="7">
        <f t="shared" ref="G13:AK13" si="4">G11-G12</f>
        <v>31998.555555555547</v>
      </c>
      <c r="H13" s="7">
        <f t="shared" si="4"/>
        <v>47047.129629629635</v>
      </c>
      <c r="I13" s="7">
        <f t="shared" si="4"/>
        <v>36645.387191358022</v>
      </c>
      <c r="J13" s="7">
        <f t="shared" si="4"/>
        <v>52253.326513631706</v>
      </c>
      <c r="K13" s="7">
        <f t="shared" si="4"/>
        <v>4470.9458397740964</v>
      </c>
      <c r="L13" s="7">
        <f t="shared" si="4"/>
        <v>35143.243383547771</v>
      </c>
      <c r="M13" s="7">
        <f t="shared" si="4"/>
        <v>905.21732915661414</v>
      </c>
      <c r="N13" s="7">
        <f t="shared" si="4"/>
        <v>44626.865831244213</v>
      </c>
      <c r="O13" s="7">
        <f t="shared" si="4"/>
        <v>32938.187014887924</v>
      </c>
      <c r="P13" s="7">
        <f t="shared" si="4"/>
        <v>48959.178975588933</v>
      </c>
      <c r="Q13" s="7">
        <f t="shared" si="4"/>
        <v>14759.8397792584</v>
      </c>
      <c r="R13" s="7">
        <f t="shared" si="4"/>
        <v>200213.33606797457</v>
      </c>
      <c r="S13" s="7">
        <f t="shared" si="4"/>
        <v>229707.88808181498</v>
      </c>
      <c r="T13" s="7">
        <f t="shared" si="4"/>
        <v>223532.1111149576</v>
      </c>
      <c r="U13" s="7">
        <f t="shared" si="4"/>
        <v>308191.91458742996</v>
      </c>
      <c r="V13" s="7">
        <f t="shared" si="4"/>
        <v>392050.34369290399</v>
      </c>
      <c r="W13" s="7"/>
      <c r="X13" s="7"/>
      <c r="Y13" s="7">
        <f t="shared" si="4"/>
        <v>364990.26298486022</v>
      </c>
      <c r="Z13" s="7">
        <f t="shared" si="4"/>
        <v>252004.882388475</v>
      </c>
      <c r="AA13" s="7">
        <f t="shared" si="4"/>
        <v>-19438.680642061052</v>
      </c>
      <c r="AB13" s="7">
        <f t="shared" si="4"/>
        <v>-720093.81802621693</v>
      </c>
      <c r="AC13" s="7">
        <f t="shared" si="4"/>
        <v>-2335796.3215213525</v>
      </c>
      <c r="AD13" s="7"/>
      <c r="AE13" s="7"/>
      <c r="AF13" s="7"/>
      <c r="AG13" s="7">
        <f t="shared" si="4"/>
        <v>3170562.2947271308</v>
      </c>
      <c r="AH13" s="7">
        <f t="shared" si="4"/>
        <v>3363793.9195000944</v>
      </c>
      <c r="AI13" s="7">
        <f t="shared" si="4"/>
        <v>3588522.6637923061</v>
      </c>
      <c r="AJ13" s="7">
        <f t="shared" si="4"/>
        <v>3274364.6787487138</v>
      </c>
      <c r="AK13" s="7">
        <f t="shared" si="4"/>
        <v>2149050.6598067107</v>
      </c>
    </row>
    <row r="14" spans="1:46">
      <c r="A14" s="215" t="s">
        <v>100</v>
      </c>
      <c r="B14" s="15"/>
      <c r="C14" s="15"/>
      <c r="D14" s="15"/>
      <c r="E14" s="15"/>
      <c r="F14" s="15">
        <f>F13*Assumptions!$D$225</f>
        <v>-6708.8666666666677</v>
      </c>
      <c r="G14" s="15">
        <f>G13*Assumptions!$D$225</f>
        <v>6399.7111111111099</v>
      </c>
      <c r="H14" s="15">
        <f>H13*Assumptions!$D$225</f>
        <v>9409.425925925927</v>
      </c>
      <c r="I14" s="15">
        <f>I13*Assumptions!$D$225</f>
        <v>7329.0774382716045</v>
      </c>
      <c r="J14" s="15">
        <f>J13*Assumptions!$D$225</f>
        <v>10450.665302726342</v>
      </c>
      <c r="K14" s="15">
        <f>K13*Assumptions!$D$225</f>
        <v>894.18916795481937</v>
      </c>
      <c r="L14" s="15">
        <f>L13*Assumptions!$D$225</f>
        <v>7028.6486767095548</v>
      </c>
      <c r="M14" s="15">
        <f>M13*Assumptions!$D$225</f>
        <v>181.04346583132283</v>
      </c>
      <c r="N14" s="15">
        <f>N13*Assumptions!$D$225</f>
        <v>8925.3731662488426</v>
      </c>
      <c r="O14" s="15">
        <f>O13*Assumptions!$D$225</f>
        <v>6587.6374029775852</v>
      </c>
      <c r="P14" s="15">
        <f>P13*Assumptions!$D$225</f>
        <v>9791.8357951177877</v>
      </c>
      <c r="Q14" s="15">
        <f>Q13*Assumptions!$D$225</f>
        <v>2951.96795585168</v>
      </c>
      <c r="R14" s="15">
        <f>R13*Assumptions!$D$225</f>
        <v>40042.667213594919</v>
      </c>
      <c r="S14" s="15">
        <f>S13*Assumptions!$D$225</f>
        <v>45941.577616363</v>
      </c>
      <c r="T14" s="15">
        <f>T13*Assumptions!$D$225</f>
        <v>44706.422222991525</v>
      </c>
      <c r="U14" s="15">
        <f>U13*Assumptions!$D$225</f>
        <v>61638.382917485993</v>
      </c>
      <c r="V14" s="15">
        <f>V13*Assumptions!$D$225</f>
        <v>78410.068738580798</v>
      </c>
      <c r="W14" s="15"/>
      <c r="X14" s="15"/>
      <c r="Y14" s="15">
        <f>Y13*Assumptions!$D$225</f>
        <v>72998.052596972047</v>
      </c>
      <c r="Z14" s="15">
        <f>Z13*Assumptions!$D$225</f>
        <v>50400.976477695003</v>
      </c>
      <c r="AA14" s="15">
        <f>AA13*Assumptions!$D$225</f>
        <v>-3887.7361284122107</v>
      </c>
      <c r="AB14" s="15">
        <f>AB13*Assumptions!$D$225</f>
        <v>-144018.76360524338</v>
      </c>
      <c r="AC14" s="15">
        <f>AC13*Assumptions!$D$225</f>
        <v>-467159.2643042705</v>
      </c>
      <c r="AD14" s="15"/>
      <c r="AE14" s="15"/>
      <c r="AF14" s="15"/>
      <c r="AG14" s="15">
        <f>AG13*Assumptions!$D$225</f>
        <v>634112.45894542616</v>
      </c>
      <c r="AH14" s="15">
        <f>AH13*Assumptions!$D$225</f>
        <v>672758.7839000189</v>
      </c>
      <c r="AI14" s="15">
        <f>AI13*Assumptions!$D$225</f>
        <v>717704.53275846131</v>
      </c>
      <c r="AJ14" s="15">
        <f>AJ13*Assumptions!$D$225</f>
        <v>654872.93574974278</v>
      </c>
      <c r="AK14" s="15">
        <f>AK13*Assumptions!$D$225</f>
        <v>429810.13196134218</v>
      </c>
    </row>
    <row r="15" spans="1:46">
      <c r="A15" s="216" t="s">
        <v>102</v>
      </c>
      <c r="B15" s="7"/>
      <c r="C15" s="7"/>
      <c r="D15" s="7"/>
      <c r="E15" s="7"/>
      <c r="F15" s="7">
        <f>ROUND(F13-F14,0)</f>
        <v>-26835</v>
      </c>
      <c r="G15" s="7">
        <f t="shared" ref="G15:AK15" si="5">ROUND(G13-G14,0)</f>
        <v>25599</v>
      </c>
      <c r="H15" s="7">
        <f t="shared" si="5"/>
        <v>37638</v>
      </c>
      <c r="I15" s="7">
        <f t="shared" si="5"/>
        <v>29316</v>
      </c>
      <c r="J15" s="7">
        <f t="shared" si="5"/>
        <v>41803</v>
      </c>
      <c r="K15" s="7">
        <f t="shared" si="5"/>
        <v>3577</v>
      </c>
      <c r="L15" s="7">
        <f t="shared" si="5"/>
        <v>28115</v>
      </c>
      <c r="M15" s="7">
        <f t="shared" si="5"/>
        <v>724</v>
      </c>
      <c r="N15" s="7">
        <f t="shared" si="5"/>
        <v>35701</v>
      </c>
      <c r="O15" s="7">
        <f t="shared" si="5"/>
        <v>26351</v>
      </c>
      <c r="P15" s="7">
        <f t="shared" si="5"/>
        <v>39167</v>
      </c>
      <c r="Q15" s="7">
        <f t="shared" si="5"/>
        <v>11808</v>
      </c>
      <c r="R15" s="7">
        <f t="shared" si="5"/>
        <v>160171</v>
      </c>
      <c r="S15" s="7">
        <f t="shared" si="5"/>
        <v>183766</v>
      </c>
      <c r="T15" s="7">
        <f t="shared" si="5"/>
        <v>178826</v>
      </c>
      <c r="U15" s="7">
        <f t="shared" si="5"/>
        <v>246554</v>
      </c>
      <c r="V15" s="7">
        <f t="shared" si="5"/>
        <v>313640</v>
      </c>
      <c r="W15" s="7"/>
      <c r="X15" s="7"/>
      <c r="Y15" s="7">
        <f t="shared" si="5"/>
        <v>291992</v>
      </c>
      <c r="Z15" s="7">
        <f t="shared" si="5"/>
        <v>201604</v>
      </c>
      <c r="AA15" s="7">
        <f t="shared" si="5"/>
        <v>-15551</v>
      </c>
      <c r="AB15" s="7">
        <f t="shared" si="5"/>
        <v>-576075</v>
      </c>
      <c r="AC15" s="7">
        <f t="shared" si="5"/>
        <v>-1868637</v>
      </c>
      <c r="AD15" s="7"/>
      <c r="AE15" s="7"/>
      <c r="AF15" s="7"/>
      <c r="AG15" s="7">
        <f t="shared" si="5"/>
        <v>2536450</v>
      </c>
      <c r="AH15" s="7">
        <f t="shared" si="5"/>
        <v>2691035</v>
      </c>
      <c r="AI15" s="7">
        <f t="shared" si="5"/>
        <v>2870818</v>
      </c>
      <c r="AJ15" s="7">
        <f t="shared" si="5"/>
        <v>2619492</v>
      </c>
      <c r="AK15" s="7">
        <f t="shared" si="5"/>
        <v>1719241</v>
      </c>
    </row>
    <row r="16" spans="1:46">
      <c r="A16" s="216" t="s">
        <v>103</v>
      </c>
      <c r="F16">
        <v>0</v>
      </c>
      <c r="G16">
        <v>0</v>
      </c>
      <c r="H16">
        <v>0</v>
      </c>
      <c r="I16">
        <v>0</v>
      </c>
      <c r="J16">
        <v>0</v>
      </c>
      <c r="K16">
        <v>0</v>
      </c>
      <c r="L16">
        <v>0</v>
      </c>
      <c r="M16">
        <v>0</v>
      </c>
      <c r="N16">
        <v>0</v>
      </c>
      <c r="O16">
        <v>0</v>
      </c>
      <c r="P16">
        <v>0</v>
      </c>
      <c r="Q16">
        <v>0</v>
      </c>
      <c r="R16">
        <v>0</v>
      </c>
      <c r="S16">
        <v>0</v>
      </c>
      <c r="T16">
        <v>0</v>
      </c>
      <c r="U16">
        <v>0</v>
      </c>
      <c r="V16">
        <f>IF(V15&gt;0,V15*Assumptions!$D$226,0)</f>
        <v>31364</v>
      </c>
      <c r="Y16">
        <f>IF(Y15&gt;0,Y15*Assumptions!$D$226,0)</f>
        <v>29199.200000000001</v>
      </c>
      <c r="Z16">
        <f>IF(Z15&gt;0,Z15*Assumptions!$D$226,0)</f>
        <v>20160.400000000001</v>
      </c>
      <c r="AA16">
        <f>IF(AA15&gt;0,AA15*Assumptions!$D$226,0)</f>
        <v>0</v>
      </c>
      <c r="AB16">
        <f>IF(AB15&gt;0,AB15*Assumptions!$D$226,0)</f>
        <v>0</v>
      </c>
      <c r="AC16">
        <f>IF(AC15&gt;0,AC15*Assumptions!$D$226,0)</f>
        <v>0</v>
      </c>
      <c r="AG16">
        <f>IF(AG15&gt;0,AG15*Assumptions!$D$226,0)</f>
        <v>253645</v>
      </c>
      <c r="AH16">
        <f>IF(AH15&gt;0,AH15*Assumptions!$D$226,0)</f>
        <v>269103.5</v>
      </c>
      <c r="AI16">
        <f>IF(AI15&gt;0,AI15*Assumptions!$D$226,0)</f>
        <v>287081.8</v>
      </c>
      <c r="AJ16">
        <f>IF(AJ15&gt;0,AJ15*Assumptions!$D$226,0)</f>
        <v>261949.2</v>
      </c>
      <c r="AK16">
        <f>IF(AK15&gt;0,AK15*Assumptions!$D$226,0)</f>
        <v>171924.1</v>
      </c>
    </row>
    <row r="17" spans="1:37" ht="41" customHeight="1" thickBot="1">
      <c r="A17" s="218" t="s">
        <v>104</v>
      </c>
      <c r="F17">
        <f t="shared" ref="F17:T17" si="6">F15-F16</f>
        <v>-26835</v>
      </c>
      <c r="G17">
        <f t="shared" si="6"/>
        <v>25599</v>
      </c>
      <c r="H17">
        <f t="shared" si="6"/>
        <v>37638</v>
      </c>
      <c r="I17">
        <f t="shared" si="6"/>
        <v>29316</v>
      </c>
      <c r="J17">
        <f t="shared" si="6"/>
        <v>41803</v>
      </c>
      <c r="K17">
        <f t="shared" si="6"/>
        <v>3577</v>
      </c>
      <c r="L17">
        <f t="shared" si="6"/>
        <v>28115</v>
      </c>
      <c r="M17">
        <f t="shared" si="6"/>
        <v>724</v>
      </c>
      <c r="N17">
        <f t="shared" si="6"/>
        <v>35701</v>
      </c>
      <c r="O17">
        <f t="shared" si="6"/>
        <v>26351</v>
      </c>
      <c r="P17">
        <f t="shared" si="6"/>
        <v>39167</v>
      </c>
      <c r="Q17">
        <f t="shared" si="6"/>
        <v>11808</v>
      </c>
      <c r="R17">
        <f t="shared" si="6"/>
        <v>160171</v>
      </c>
      <c r="S17">
        <f t="shared" si="6"/>
        <v>183766</v>
      </c>
      <c r="T17">
        <f t="shared" si="6"/>
        <v>178826</v>
      </c>
      <c r="U17">
        <f>U15-U16</f>
        <v>246554</v>
      </c>
      <c r="V17">
        <f>V15-V16</f>
        <v>282276</v>
      </c>
      <c r="Y17">
        <f>Y15-Y16</f>
        <v>262792.8</v>
      </c>
      <c r="Z17">
        <f t="shared" ref="Z17:AC17" si="7">Z15-Z16</f>
        <v>181443.6</v>
      </c>
      <c r="AA17">
        <f t="shared" si="7"/>
        <v>-15551</v>
      </c>
      <c r="AB17">
        <f t="shared" si="7"/>
        <v>-576075</v>
      </c>
      <c r="AC17">
        <f t="shared" si="7"/>
        <v>-1868637</v>
      </c>
      <c r="AG17">
        <f>AG15-AG16</f>
        <v>2282805</v>
      </c>
      <c r="AH17">
        <f t="shared" ref="AH17" si="8">AH15-AH16</f>
        <v>2421931.5</v>
      </c>
      <c r="AI17">
        <f t="shared" ref="AI17" si="9">AI15-AI16</f>
        <v>2583736.2000000002</v>
      </c>
      <c r="AJ17">
        <f t="shared" ref="AJ17" si="10">AJ15-AJ16</f>
        <v>2357542.7999999998</v>
      </c>
      <c r="AK17">
        <f t="shared" ref="AK17" si="11">AK15-AK16</f>
        <v>1547316.9</v>
      </c>
    </row>
    <row r="24" spans="1:37">
      <c r="F24" s="211">
        <v>2025</v>
      </c>
      <c r="G24" s="211"/>
      <c r="H24" s="211"/>
      <c r="I24" s="211"/>
      <c r="J24" s="211"/>
      <c r="K24" s="211"/>
      <c r="L24" s="211"/>
      <c r="M24" s="211"/>
      <c r="N24" s="211"/>
      <c r="O24" s="211"/>
      <c r="P24" s="211"/>
      <c r="Q24" s="211"/>
      <c r="R24" s="211">
        <v>2026</v>
      </c>
      <c r="S24" s="211"/>
      <c r="T24" s="211">
        <v>2027</v>
      </c>
      <c r="U24" s="211">
        <v>2028</v>
      </c>
      <c r="V24" s="211">
        <v>2029</v>
      </c>
      <c r="W24" s="211">
        <v>2030</v>
      </c>
      <c r="X24" s="211">
        <v>2031</v>
      </c>
      <c r="Y24" s="211">
        <v>2032</v>
      </c>
      <c r="Z24" s="211">
        <v>2033</v>
      </c>
      <c r="AA24" s="211">
        <v>2034</v>
      </c>
    </row>
    <row r="25" spans="1:37">
      <c r="F25">
        <f>F15</f>
        <v>-26835</v>
      </c>
      <c r="G25">
        <f t="shared" ref="G25:V25" si="12">G15</f>
        <v>25599</v>
      </c>
      <c r="H25">
        <f t="shared" si="12"/>
        <v>37638</v>
      </c>
      <c r="I25">
        <f t="shared" si="12"/>
        <v>29316</v>
      </c>
      <c r="J25">
        <f t="shared" si="12"/>
        <v>41803</v>
      </c>
      <c r="K25">
        <f t="shared" si="12"/>
        <v>3577</v>
      </c>
      <c r="L25">
        <f t="shared" si="12"/>
        <v>28115</v>
      </c>
      <c r="M25">
        <f t="shared" si="12"/>
        <v>724</v>
      </c>
      <c r="N25">
        <f t="shared" si="12"/>
        <v>35701</v>
      </c>
      <c r="O25">
        <f t="shared" si="12"/>
        <v>26351</v>
      </c>
      <c r="P25">
        <f t="shared" si="12"/>
        <v>39167</v>
      </c>
      <c r="Q25">
        <f t="shared" si="12"/>
        <v>11808</v>
      </c>
      <c r="R25">
        <f t="shared" si="12"/>
        <v>160171</v>
      </c>
      <c r="S25">
        <f t="shared" si="12"/>
        <v>183766</v>
      </c>
      <c r="T25">
        <f t="shared" si="12"/>
        <v>178826</v>
      </c>
      <c r="U25">
        <f t="shared" si="12"/>
        <v>246554</v>
      </c>
      <c r="V25">
        <f t="shared" si="12"/>
        <v>313640</v>
      </c>
      <c r="W25">
        <f>Y15</f>
        <v>291992</v>
      </c>
      <c r="X25">
        <f>Z15</f>
        <v>201604</v>
      </c>
      <c r="Y25">
        <f>AA15</f>
        <v>-15551</v>
      </c>
      <c r="Z25">
        <f>AB15</f>
        <v>-576075</v>
      </c>
      <c r="AA25">
        <f>AC15</f>
        <v>-1868637</v>
      </c>
    </row>
    <row r="26" spans="1:37">
      <c r="F26">
        <f>F17</f>
        <v>-26835</v>
      </c>
      <c r="G26">
        <f t="shared" ref="G26:V26" si="13">G17</f>
        <v>25599</v>
      </c>
      <c r="H26">
        <f t="shared" si="13"/>
        <v>37638</v>
      </c>
      <c r="I26">
        <f t="shared" si="13"/>
        <v>29316</v>
      </c>
      <c r="J26">
        <f t="shared" si="13"/>
        <v>41803</v>
      </c>
      <c r="K26">
        <f t="shared" si="13"/>
        <v>3577</v>
      </c>
      <c r="L26">
        <f t="shared" si="13"/>
        <v>28115</v>
      </c>
      <c r="M26">
        <f t="shared" si="13"/>
        <v>724</v>
      </c>
      <c r="N26">
        <f t="shared" si="13"/>
        <v>35701</v>
      </c>
      <c r="O26">
        <f t="shared" si="13"/>
        <v>26351</v>
      </c>
      <c r="P26">
        <f t="shared" si="13"/>
        <v>39167</v>
      </c>
      <c r="Q26">
        <f t="shared" si="13"/>
        <v>11808</v>
      </c>
      <c r="R26">
        <f t="shared" si="13"/>
        <v>160171</v>
      </c>
      <c r="S26">
        <f t="shared" si="13"/>
        <v>183766</v>
      </c>
      <c r="T26">
        <f t="shared" si="13"/>
        <v>178826</v>
      </c>
      <c r="U26">
        <f t="shared" si="13"/>
        <v>246554</v>
      </c>
      <c r="V26">
        <f t="shared" si="13"/>
        <v>282276</v>
      </c>
      <c r="W26">
        <f>Y17</f>
        <v>262792.8</v>
      </c>
      <c r="X26">
        <f>Z17</f>
        <v>181443.6</v>
      </c>
      <c r="Y26">
        <f>AA17</f>
        <v>-15551</v>
      </c>
      <c r="Z26">
        <f>AB17</f>
        <v>-576075</v>
      </c>
      <c r="AA26">
        <f>AC17</f>
        <v>-1868637</v>
      </c>
    </row>
    <row r="28" spans="1:37">
      <c r="F28">
        <v>2025</v>
      </c>
      <c r="R28">
        <v>2026</v>
      </c>
      <c r="T28">
        <v>2027</v>
      </c>
      <c r="U28">
        <v>2028</v>
      </c>
      <c r="V28">
        <v>2029</v>
      </c>
      <c r="W28" s="211">
        <v>2030</v>
      </c>
      <c r="X28" s="211">
        <v>2031</v>
      </c>
      <c r="Y28" s="211">
        <v>2032</v>
      </c>
      <c r="Z28" s="211">
        <v>2033</v>
      </c>
      <c r="AA28" s="211">
        <v>2034</v>
      </c>
    </row>
    <row r="29" spans="1:37">
      <c r="F29">
        <v>-26835</v>
      </c>
      <c r="G29">
        <v>25599</v>
      </c>
      <c r="H29">
        <v>37638</v>
      </c>
      <c r="I29">
        <v>29316</v>
      </c>
      <c r="J29">
        <v>41803</v>
      </c>
      <c r="K29">
        <v>3577</v>
      </c>
      <c r="L29">
        <v>28115</v>
      </c>
      <c r="M29">
        <v>724</v>
      </c>
      <c r="N29">
        <v>35701</v>
      </c>
      <c r="O29">
        <v>26351</v>
      </c>
      <c r="P29">
        <v>39167</v>
      </c>
      <c r="Q29">
        <v>11808</v>
      </c>
      <c r="R29">
        <v>160171</v>
      </c>
      <c r="S29">
        <v>183766</v>
      </c>
      <c r="T29">
        <v>178826</v>
      </c>
      <c r="U29">
        <v>246554</v>
      </c>
      <c r="V29">
        <v>313640</v>
      </c>
      <c r="W29">
        <f>AG15</f>
        <v>2536450</v>
      </c>
      <c r="X29">
        <f>AH15</f>
        <v>2691035</v>
      </c>
      <c r="Y29">
        <f>AI15</f>
        <v>2870818</v>
      </c>
      <c r="Z29">
        <f>AJ15</f>
        <v>2619492</v>
      </c>
      <c r="AA29">
        <f>AK15</f>
        <v>1719241</v>
      </c>
    </row>
    <row r="30" spans="1:37">
      <c r="F30">
        <v>-26835</v>
      </c>
      <c r="G30">
        <v>25599</v>
      </c>
      <c r="H30">
        <v>37638</v>
      </c>
      <c r="I30">
        <v>29316</v>
      </c>
      <c r="J30">
        <v>41803</v>
      </c>
      <c r="K30">
        <v>3577</v>
      </c>
      <c r="L30">
        <v>28115</v>
      </c>
      <c r="M30">
        <v>724</v>
      </c>
      <c r="N30">
        <v>35701</v>
      </c>
      <c r="O30">
        <v>26351</v>
      </c>
      <c r="P30">
        <v>39167</v>
      </c>
      <c r="Q30">
        <v>11808</v>
      </c>
      <c r="R30">
        <v>160171</v>
      </c>
      <c r="S30">
        <v>183766</v>
      </c>
      <c r="T30">
        <v>178826</v>
      </c>
      <c r="U30">
        <v>246554</v>
      </c>
      <c r="V30">
        <v>282276</v>
      </c>
      <c r="W30">
        <f>AG17</f>
        <v>2282805</v>
      </c>
      <c r="X30">
        <f>AH17</f>
        <v>2421931.5</v>
      </c>
      <c r="Y30">
        <f>AI17</f>
        <v>2583736.2000000002</v>
      </c>
      <c r="Z30">
        <f>AJ17</f>
        <v>2357542.7999999998</v>
      </c>
      <c r="AA30">
        <f>AK17</f>
        <v>1547316.9</v>
      </c>
    </row>
  </sheetData>
  <mergeCells count="2">
    <mergeCell ref="Y2:AC2"/>
    <mergeCell ref="AG2:A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0CC18-9B75-42EB-809A-015C8E78AA0B}">
  <dimension ref="A1:AK31"/>
  <sheetViews>
    <sheetView zoomScale="47" workbookViewId="0">
      <pane xSplit="4" ySplit="5" topLeftCell="N6" activePane="bottomRight" state="frozen"/>
      <selection pane="topRight" activeCell="E1" sqref="E1"/>
      <selection pane="bottomLeft" activeCell="A6" sqref="A6"/>
      <selection pane="bottomRight" activeCell="AG28" sqref="AG28:AK28"/>
    </sheetView>
  </sheetViews>
  <sheetFormatPr defaultRowHeight="14.5"/>
  <cols>
    <col min="1" max="1" width="11.1796875" customWidth="1"/>
    <col min="6" max="6" width="14.54296875" customWidth="1"/>
    <col min="7" max="8" width="8.81640625" bestFit="1" customWidth="1"/>
    <col min="9" max="10" width="12.453125" bestFit="1" customWidth="1"/>
    <col min="11" max="11" width="13.81640625" bestFit="1" customWidth="1"/>
    <col min="12" max="16" width="12.453125" bestFit="1" customWidth="1"/>
    <col min="17" max="19" width="13.81640625" bestFit="1" customWidth="1"/>
    <col min="20" max="20" width="15.453125" customWidth="1"/>
    <col min="21" max="21" width="13.54296875" customWidth="1"/>
    <col min="22" max="22" width="16.08984375" customWidth="1"/>
    <col min="25" max="25" width="12.7265625" bestFit="1" customWidth="1"/>
    <col min="26" max="28" width="13.81640625" bestFit="1" customWidth="1"/>
    <col min="29" max="29" width="12.7265625" bestFit="1" customWidth="1"/>
    <col min="33" max="33" width="13.7265625" customWidth="1"/>
    <col min="34" max="34" width="12.7265625" bestFit="1" customWidth="1"/>
    <col min="35" max="36" width="15.1796875" bestFit="1" customWidth="1"/>
    <col min="37" max="37" width="16.6328125" customWidth="1"/>
  </cols>
  <sheetData>
    <row r="1" spans="1:37">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1:37" ht="15" thickBot="1">
      <c r="A2" s="211"/>
      <c r="B2" s="211"/>
      <c r="C2" s="211"/>
      <c r="D2" s="211"/>
      <c r="E2" s="211"/>
      <c r="F2" s="211">
        <v>2025</v>
      </c>
      <c r="G2" s="211"/>
      <c r="H2" s="211"/>
      <c r="I2" s="211"/>
      <c r="J2" s="211"/>
      <c r="K2" s="211"/>
      <c r="L2" s="211"/>
      <c r="M2" s="211"/>
      <c r="N2" s="211"/>
      <c r="O2" s="211"/>
      <c r="P2" s="211"/>
      <c r="Q2" s="211"/>
      <c r="R2" s="211">
        <v>2026</v>
      </c>
      <c r="S2" s="211"/>
      <c r="T2" s="211">
        <v>2027</v>
      </c>
      <c r="U2" s="211">
        <v>2028</v>
      </c>
      <c r="V2" s="211">
        <v>2029</v>
      </c>
      <c r="W2" s="211"/>
      <c r="X2" s="211"/>
      <c r="Y2" s="211">
        <v>2030</v>
      </c>
      <c r="Z2" s="211">
        <v>2031</v>
      </c>
      <c r="AA2" s="211">
        <v>2032</v>
      </c>
      <c r="AB2" s="211">
        <v>2033</v>
      </c>
      <c r="AC2" s="211">
        <v>2034</v>
      </c>
      <c r="AD2" s="211"/>
      <c r="AE2" s="211"/>
      <c r="AF2" s="211"/>
      <c r="AG2" s="211">
        <v>2030</v>
      </c>
      <c r="AH2" s="211">
        <v>2031</v>
      </c>
      <c r="AI2" s="211">
        <v>2032</v>
      </c>
      <c r="AJ2" s="211">
        <v>2033</v>
      </c>
      <c r="AK2" s="211">
        <v>2034</v>
      </c>
    </row>
    <row r="3" spans="1:37" ht="26.5" thickBot="1">
      <c r="A3" s="211"/>
      <c r="B3" s="211"/>
      <c r="C3" s="211"/>
      <c r="D3" s="211"/>
      <c r="E3" s="211"/>
      <c r="F3" s="211" t="s">
        <v>44</v>
      </c>
      <c r="G3" s="211" t="s">
        <v>45</v>
      </c>
      <c r="H3" s="211" t="s">
        <v>46</v>
      </c>
      <c r="I3" s="211" t="s">
        <v>47</v>
      </c>
      <c r="J3" s="211" t="s">
        <v>48</v>
      </c>
      <c r="K3" s="211" t="s">
        <v>49</v>
      </c>
      <c r="L3" s="211" t="s">
        <v>50</v>
      </c>
      <c r="M3" s="211" t="s">
        <v>51</v>
      </c>
      <c r="N3" s="211" t="s">
        <v>52</v>
      </c>
      <c r="O3" s="211" t="s">
        <v>53</v>
      </c>
      <c r="P3" s="211" t="s">
        <v>54</v>
      </c>
      <c r="Q3" s="211" t="s">
        <v>55</v>
      </c>
      <c r="R3" s="211"/>
      <c r="S3" s="211"/>
      <c r="T3" s="211"/>
      <c r="U3" s="211"/>
      <c r="V3" s="211"/>
      <c r="W3" s="211"/>
      <c r="X3" s="211"/>
      <c r="Y3" s="303" t="s">
        <v>164</v>
      </c>
      <c r="Z3" s="304"/>
      <c r="AA3" s="304"/>
      <c r="AB3" s="304"/>
      <c r="AC3" s="305"/>
      <c r="AD3" s="211"/>
      <c r="AE3" s="211"/>
      <c r="AF3" s="211"/>
      <c r="AG3" s="303" t="s">
        <v>227</v>
      </c>
      <c r="AH3" s="304"/>
      <c r="AI3" s="304"/>
      <c r="AJ3" s="304"/>
      <c r="AK3" s="305"/>
    </row>
    <row r="4" spans="1:37">
      <c r="A4" s="211"/>
      <c r="B4" s="211"/>
      <c r="C4" s="211"/>
      <c r="D4" s="211" t="s">
        <v>5</v>
      </c>
      <c r="E4" s="211" t="s">
        <v>6</v>
      </c>
      <c r="F4" s="211">
        <v>1</v>
      </c>
      <c r="G4" s="211">
        <v>1</v>
      </c>
      <c r="H4" s="211">
        <v>1</v>
      </c>
      <c r="I4" s="211">
        <v>1</v>
      </c>
      <c r="J4" s="211">
        <v>1</v>
      </c>
      <c r="K4" s="211">
        <v>1</v>
      </c>
      <c r="L4" s="211">
        <v>1</v>
      </c>
      <c r="M4" s="211">
        <v>1</v>
      </c>
      <c r="N4" s="211">
        <v>1</v>
      </c>
      <c r="O4" s="211">
        <v>1</v>
      </c>
      <c r="P4" s="211">
        <v>1</v>
      </c>
      <c r="Q4" s="211">
        <v>1</v>
      </c>
      <c r="R4" s="211">
        <v>2</v>
      </c>
      <c r="S4" s="211">
        <v>2</v>
      </c>
      <c r="T4" s="211">
        <v>3</v>
      </c>
      <c r="U4" s="211">
        <v>4</v>
      </c>
      <c r="V4" s="211">
        <v>5</v>
      </c>
      <c r="W4" s="211"/>
      <c r="X4" s="211"/>
      <c r="Y4" s="211"/>
      <c r="Z4" s="211"/>
      <c r="AA4" s="211"/>
      <c r="AB4" s="211"/>
      <c r="AC4" s="211"/>
      <c r="AD4" s="211"/>
      <c r="AE4" s="211"/>
      <c r="AF4" s="211"/>
      <c r="AG4" s="211"/>
      <c r="AH4" s="211"/>
      <c r="AI4" s="211"/>
      <c r="AJ4" s="211"/>
      <c r="AK4" s="211"/>
    </row>
    <row r="5" spans="1:37" ht="29">
      <c r="A5" s="212" t="s">
        <v>0</v>
      </c>
      <c r="B5" s="212" t="s">
        <v>1</v>
      </c>
      <c r="C5" s="212" t="s">
        <v>2</v>
      </c>
      <c r="D5" s="212" t="s">
        <v>3</v>
      </c>
      <c r="E5" s="211" t="s">
        <v>4</v>
      </c>
      <c r="F5" s="211">
        <v>1</v>
      </c>
      <c r="G5" s="211">
        <v>2</v>
      </c>
      <c r="H5" s="211">
        <v>3</v>
      </c>
      <c r="I5" s="211">
        <v>4</v>
      </c>
      <c r="J5" s="211">
        <v>5</v>
      </c>
      <c r="K5" s="211">
        <v>6</v>
      </c>
      <c r="L5" s="211">
        <v>7</v>
      </c>
      <c r="M5" s="211">
        <v>8</v>
      </c>
      <c r="N5" s="211">
        <v>9</v>
      </c>
      <c r="O5" s="211">
        <v>10</v>
      </c>
      <c r="P5" s="211">
        <v>11</v>
      </c>
      <c r="Q5" s="211">
        <v>12</v>
      </c>
      <c r="R5" s="211" t="s">
        <v>7</v>
      </c>
      <c r="S5" s="211" t="s">
        <v>8</v>
      </c>
      <c r="T5" s="211" t="s">
        <v>9</v>
      </c>
      <c r="U5" s="211" t="s">
        <v>9</v>
      </c>
      <c r="V5" s="211" t="s">
        <v>9</v>
      </c>
      <c r="W5" s="211"/>
      <c r="X5" s="211"/>
      <c r="Y5" s="211"/>
      <c r="Z5" s="211"/>
      <c r="AA5" s="211"/>
      <c r="AB5" s="211"/>
      <c r="AC5" s="211"/>
      <c r="AD5" s="211"/>
      <c r="AE5" s="211"/>
      <c r="AF5" s="211"/>
      <c r="AG5" s="211"/>
      <c r="AH5" s="211"/>
      <c r="AI5" s="211"/>
      <c r="AJ5" s="211"/>
      <c r="AK5" s="211"/>
    </row>
    <row r="6" spans="1:37">
      <c r="A6" s="213"/>
      <c r="B6" s="1"/>
      <c r="C6" s="1"/>
      <c r="D6" s="1"/>
    </row>
    <row r="7" spans="1:37" ht="21">
      <c r="A7" s="223" t="s">
        <v>128</v>
      </c>
      <c r="B7" s="1"/>
      <c r="C7" s="1"/>
      <c r="D7" s="1"/>
    </row>
    <row r="8" spans="1:37">
      <c r="A8" s="212" t="s">
        <v>129</v>
      </c>
      <c r="B8" s="1"/>
      <c r="C8" s="1"/>
      <c r="D8" s="85"/>
      <c r="E8" s="7"/>
      <c r="F8" s="7">
        <f>PnL!F15</f>
        <v>-26835</v>
      </c>
      <c r="G8" s="7">
        <f>PnL!G15</f>
        <v>25599</v>
      </c>
      <c r="H8" s="7">
        <f>PnL!H15</f>
        <v>37638</v>
      </c>
      <c r="I8" s="7">
        <f>PnL!I15</f>
        <v>29316</v>
      </c>
      <c r="J8" s="7">
        <f>PnL!J15</f>
        <v>41803</v>
      </c>
      <c r="K8" s="7">
        <f>PnL!K15</f>
        <v>3577</v>
      </c>
      <c r="L8" s="7">
        <f>PnL!L15</f>
        <v>28115</v>
      </c>
      <c r="M8" s="7">
        <f>PnL!M15</f>
        <v>724</v>
      </c>
      <c r="N8" s="7">
        <f>PnL!N15</f>
        <v>35701</v>
      </c>
      <c r="O8" s="7">
        <f>PnL!O15</f>
        <v>26351</v>
      </c>
      <c r="P8" s="7">
        <f>PnL!P15</f>
        <v>39167</v>
      </c>
      <c r="Q8" s="7">
        <f>PnL!Q15</f>
        <v>11808</v>
      </c>
      <c r="R8" s="7">
        <f>PnL!R15</f>
        <v>160171</v>
      </c>
      <c r="S8" s="7">
        <f>PnL!S15</f>
        <v>183766</v>
      </c>
      <c r="T8" s="7">
        <f>PnL!T15</f>
        <v>178826</v>
      </c>
      <c r="U8" s="7">
        <f>PnL!U15</f>
        <v>246554</v>
      </c>
      <c r="V8" s="7">
        <f>PnL!V15</f>
        <v>313640</v>
      </c>
      <c r="W8" s="7"/>
      <c r="X8" s="7"/>
      <c r="Y8" s="7">
        <f>PnL!Y15</f>
        <v>291992</v>
      </c>
      <c r="Z8" s="7">
        <f>PnL!Z15</f>
        <v>201604</v>
      </c>
      <c r="AA8" s="7">
        <f>PnL!AA15</f>
        <v>-15551</v>
      </c>
      <c r="AB8" s="7">
        <f>PnL!AB15</f>
        <v>-576075</v>
      </c>
      <c r="AC8" s="7">
        <f>PnL!AC15</f>
        <v>-1868637</v>
      </c>
      <c r="AD8" s="7">
        <f>PnL!AD15</f>
        <v>0</v>
      </c>
      <c r="AE8" s="7">
        <f>PnL!AE15</f>
        <v>0</v>
      </c>
      <c r="AF8" s="7">
        <f>PnL!AF15</f>
        <v>0</v>
      </c>
      <c r="AG8" s="7">
        <f>PnL!AG15</f>
        <v>2536450</v>
      </c>
      <c r="AH8" s="7">
        <f>PnL!AH15</f>
        <v>2691035</v>
      </c>
      <c r="AI8" s="7">
        <f>PnL!AI15</f>
        <v>2870818</v>
      </c>
      <c r="AJ8" s="7">
        <f>PnL!AJ15</f>
        <v>2619492</v>
      </c>
      <c r="AK8" s="7">
        <f>PnL!AK15</f>
        <v>1719241</v>
      </c>
    </row>
    <row r="9" spans="1:37">
      <c r="A9" s="212"/>
      <c r="B9" s="1"/>
      <c r="C9" s="1"/>
      <c r="D9" s="1"/>
    </row>
    <row r="10" spans="1:37" ht="29">
      <c r="A10" s="212" t="s">
        <v>130</v>
      </c>
      <c r="B10" s="1"/>
      <c r="C10" s="1"/>
      <c r="D10" s="1"/>
    </row>
    <row r="11" spans="1:37" ht="29">
      <c r="A11" s="224" t="s">
        <v>131</v>
      </c>
      <c r="B11" s="1"/>
      <c r="C11" s="1"/>
      <c r="D11" s="1"/>
      <c r="F11">
        <f>-'Balance Sheet'!F33</f>
        <v>-521.02777777777783</v>
      </c>
      <c r="G11">
        <f>'Balance Sheet'!F33-'Balance Sheet'!G33</f>
        <v>-96.314814814814781</v>
      </c>
      <c r="H11">
        <f>'Balance Sheet'!G33-'Balance Sheet'!H33</f>
        <v>-27.317901234567898</v>
      </c>
      <c r="I11">
        <f>'Balance Sheet'!H33-'Balance Sheet'!I33</f>
        <v>15.179063786008214</v>
      </c>
      <c r="J11">
        <f>'Balance Sheet'!I33-'Balance Sheet'!J33</f>
        <v>-30.657253943758519</v>
      </c>
      <c r="K11">
        <f>'Balance Sheet'!J33-'Balance Sheet'!K33</f>
        <v>56.006478066415184</v>
      </c>
      <c r="L11">
        <f>'Balance Sheet'!K33-'Balance Sheet'!L33</f>
        <v>-58.996407679136269</v>
      </c>
      <c r="M11">
        <f>'Balance Sheet'!L33-'Balance Sheet'!M33</f>
        <v>36.834088004404975</v>
      </c>
      <c r="N11">
        <f>'Balance Sheet'!M33-'Balance Sheet'!N33</f>
        <v>-79.835369017890571</v>
      </c>
      <c r="O11">
        <f>'Balance Sheet'!N33-'Balance Sheet'!O33</f>
        <v>-9.0047795342591144</v>
      </c>
      <c r="P11">
        <f>'Balance Sheet'!O33-'Balance Sheet'!P33</f>
        <v>-51.50747765313281</v>
      </c>
      <c r="Q11">
        <f>'Balance Sheet'!P33-'Balance Sheet'!Q33</f>
        <v>13.489869196641848</v>
      </c>
      <c r="R11">
        <f>'Balance Sheet'!Q33-'Balance Sheet'!R33</f>
        <v>-69.743813157336945</v>
      </c>
      <c r="S11">
        <f>'Balance Sheet'!R33-'Balance Sheet'!S33</f>
        <v>-91.325298197580196</v>
      </c>
      <c r="T11">
        <f>'Balance Sheet'!S33-'Balance Sheet'!T33</f>
        <v>-119.21400502124254</v>
      </c>
      <c r="U11">
        <f>'Balance Sheet'!T33-'Balance Sheet'!U33</f>
        <v>-1.8499676002384149</v>
      </c>
      <c r="V11">
        <f>'Balance Sheet'!U33-'Balance Sheet'!V33</f>
        <v>-72.598286402040458</v>
      </c>
      <c r="Y11">
        <f>'Balance Sheet'!V33-'Balance Sheet'!Y33</f>
        <v>-397.68788894193744</v>
      </c>
      <c r="Z11">
        <f>'Balance Sheet'!Y33-'Balance Sheet'!Z33</f>
        <v>-733.33697813562344</v>
      </c>
      <c r="AA11">
        <f>'Balance Sheet'!Z33-'Balance Sheet'!AA33</f>
        <v>-1397.6904336636389</v>
      </c>
      <c r="AB11">
        <f>'Balance Sheet'!AA33-'Balance Sheet'!AB33</f>
        <v>-2691.0092379912307</v>
      </c>
      <c r="AC11">
        <f>'Balance Sheet'!AB33-'Balance Sheet'!AC33</f>
        <v>-6061.0095056047712</v>
      </c>
      <c r="AG11">
        <f>'Balance Sheet'!V33-'Balance Sheet'!AG33</f>
        <v>-1903.259430864181</v>
      </c>
      <c r="AH11">
        <f>'Balance Sheet'!AG33-'Balance Sheet'!AH33</f>
        <v>-1466.6739562712469</v>
      </c>
      <c r="AI11">
        <f>'Balance Sheet'!AH33-'Balance Sheet'!AI33</f>
        <v>-2795.3808673272779</v>
      </c>
      <c r="AJ11">
        <f>'Balance Sheet'!AI33-'Balance Sheet'!AJ33</f>
        <v>-5382.0184759824615</v>
      </c>
      <c r="AK11">
        <f>'Balance Sheet'!AJ33-'Balance Sheet'!AK33</f>
        <v>-12122.019011209542</v>
      </c>
    </row>
    <row r="12" spans="1:37" ht="29">
      <c r="A12" s="224" t="s">
        <v>132</v>
      </c>
      <c r="B12" s="1"/>
      <c r="C12" s="1"/>
      <c r="D12" s="1"/>
      <c r="F12">
        <f>-'Balance Sheet'!F32</f>
        <v>-642.6</v>
      </c>
      <c r="G12">
        <f>'Balance Sheet'!F32-'Balance Sheet'!G32</f>
        <v>-836.1</v>
      </c>
      <c r="H12">
        <f>'Balance Sheet'!G32-'Balance Sheet'!H32</f>
        <v>-193.5</v>
      </c>
      <c r="I12">
        <f>'Balance Sheet'!H32-'Balance Sheet'!I32</f>
        <v>143.79999999999995</v>
      </c>
      <c r="J12">
        <f>'Balance Sheet'!I32-'Balance Sheet'!J32</f>
        <v>-200</v>
      </c>
      <c r="K12">
        <f>'Balance Sheet'!J32-'Balance Sheet'!K32</f>
        <v>600</v>
      </c>
      <c r="L12">
        <f>'Balance Sheet'!K32-'Balance Sheet'!L32</f>
        <v>-418.64999999999986</v>
      </c>
      <c r="M12">
        <f>'Balance Sheet'!L32-'Balance Sheet'!M32</f>
        <v>435.25</v>
      </c>
      <c r="N12">
        <f>'Balance Sheet'!M32-'Balance Sheet'!N32</f>
        <v>-552.55000000000018</v>
      </c>
      <c r="O12">
        <f>'Balance Sheet'!N32-'Balance Sheet'!O32</f>
        <v>138.55000000000018</v>
      </c>
      <c r="P12">
        <f>'Balance Sheet'!O32-'Balance Sheet'!P32</f>
        <v>-208.95000000000005</v>
      </c>
      <c r="Q12">
        <f>'Balance Sheet'!P32-'Balance Sheet'!Q32</f>
        <v>417.34999999999991</v>
      </c>
      <c r="R12">
        <f>'Balance Sheet'!Q32-'Balance Sheet'!R32</f>
        <v>-210.40000000000009</v>
      </c>
      <c r="S12">
        <f>'Balance Sheet'!R32-'Balance Sheet'!S32</f>
        <v>-108.18333333333317</v>
      </c>
      <c r="T12">
        <f>'Balance Sheet'!S32-'Balance Sheet'!T32</f>
        <v>184.73333333333335</v>
      </c>
      <c r="U12">
        <f>'Balance Sheet'!T32-'Balance Sheet'!U32</f>
        <v>-106.42500000000018</v>
      </c>
      <c r="V12">
        <f>'Balance Sheet'!U32-'Balance Sheet'!V32</f>
        <v>-116.09999999999968</v>
      </c>
      <c r="Y12">
        <f>'Balance Sheet'!V32-'Balance Sheet'!Y32</f>
        <v>-106.42500000000018</v>
      </c>
      <c r="Z12">
        <f>'Balance Sheet'!Y32-'Balance Sheet'!Z32</f>
        <v>-116.10000000000014</v>
      </c>
      <c r="AA12">
        <f>'Balance Sheet'!Z32-'Balance Sheet'!AA32</f>
        <v>-145.125</v>
      </c>
      <c r="AB12">
        <f>'Balance Sheet'!AA32-'Balance Sheet'!AB32</f>
        <v>-116.09999999999991</v>
      </c>
      <c r="AC12">
        <f>'Balance Sheet'!AB32-'Balance Sheet'!AC32</f>
        <v>-145.125</v>
      </c>
      <c r="AG12">
        <f>'Balance Sheet'!V32-'Balance Sheet'!AG32</f>
        <v>-4478.0916666666681</v>
      </c>
      <c r="AH12">
        <f>'Balance Sheet'!AG32-'Balance Sheet'!AH32</f>
        <v>-319.43333333333248</v>
      </c>
      <c r="AI12">
        <f>'Balance Sheet'!AH32-'Balance Sheet'!AI32</f>
        <v>-500.95833333333394</v>
      </c>
      <c r="AJ12">
        <f>'Balance Sheet'!AI32-'Balance Sheet'!AJ32</f>
        <v>-421.09999999999945</v>
      </c>
      <c r="AK12">
        <f>'Balance Sheet'!AJ32-'Balance Sheet'!AK32</f>
        <v>-500.95833333333303</v>
      </c>
    </row>
    <row r="13" spans="1:37" ht="43.5">
      <c r="A13" s="224" t="s">
        <v>281</v>
      </c>
      <c r="B13" s="1"/>
      <c r="C13" s="1"/>
      <c r="D13" s="1"/>
      <c r="F13">
        <f>'Balance Sheet'!F51</f>
        <v>6252.3333333333339</v>
      </c>
      <c r="G13">
        <f>'Balance Sheet'!G51-'Balance Sheet'!F51</f>
        <v>1155.7777777777774</v>
      </c>
      <c r="H13">
        <f>'Balance Sheet'!H51-'Balance Sheet'!G51</f>
        <v>327.81481481481478</v>
      </c>
      <c r="I13">
        <f>'Balance Sheet'!I51-'Balance Sheet'!H51</f>
        <v>-182.14876543209903</v>
      </c>
      <c r="J13">
        <f>'Balance Sheet'!J51-'Balance Sheet'!I51</f>
        <v>367.88704732510269</v>
      </c>
      <c r="K13">
        <f>'Balance Sheet'!K51-'Balance Sheet'!J51</f>
        <v>-672.07773679698221</v>
      </c>
      <c r="L13">
        <f>'Balance Sheet'!L51-'Balance Sheet'!K51</f>
        <v>707.95689214963477</v>
      </c>
      <c r="M13">
        <f>'Balance Sheet'!M51-'Balance Sheet'!L51</f>
        <v>-442.00905605285971</v>
      </c>
      <c r="N13">
        <f>'Balance Sheet'!N51-'Balance Sheet'!M51</f>
        <v>958.02442821468776</v>
      </c>
      <c r="O13">
        <f>'Balance Sheet'!O51-'Balance Sheet'!N51</f>
        <v>108.05735441110846</v>
      </c>
      <c r="P13">
        <f>'Balance Sheet'!P51-'Balance Sheet'!O51</f>
        <v>618.08973183759372</v>
      </c>
      <c r="Q13">
        <f>'Balance Sheet'!Q51-'Balance Sheet'!P51</f>
        <v>-161.87843035970218</v>
      </c>
      <c r="R13">
        <f>'Balance Sheet'!R51-'Balance Sheet'!Q51</f>
        <v>50210.691503440321</v>
      </c>
      <c r="S13">
        <f>'Balance Sheet'!S51-'Balance Sheet'!R51</f>
        <v>6575.4214702257741</v>
      </c>
      <c r="T13">
        <f>'Balance Sheet'!T51-'Balance Sheet'!S51</f>
        <v>82990.757087947408</v>
      </c>
      <c r="U13">
        <f>'Balance Sheet'!U51-'Balance Sheet'!T51</f>
        <v>266.3953344343463</v>
      </c>
      <c r="V13">
        <f>'Balance Sheet'!V51-'Balance Sheet'!U51</f>
        <v>10454.15324189383</v>
      </c>
      <c r="Y13">
        <f>'Balance Sheet'!Y51-'Balance Sheet'!V51</f>
        <v>57267.05600763901</v>
      </c>
      <c r="Z13">
        <f>'Balance Sheet'!Z51-'Balance Sheet'!Y51</f>
        <v>105600.52485152974</v>
      </c>
      <c r="AA13">
        <f>'Balance Sheet'!AA51-'Balance Sheet'!Z51</f>
        <v>201267.42244756396</v>
      </c>
      <c r="AB13">
        <f>'Balance Sheet'!AB51-'Balance Sheet'!AA51</f>
        <v>387505.33027073729</v>
      </c>
      <c r="AC13">
        <f>'Balance Sheet'!AC51-'Balance Sheet'!AB51</f>
        <v>872785.36880708695</v>
      </c>
      <c r="AG13">
        <f>'Balance Sheet'!AG51-'Balance Sheet'!V51</f>
        <v>397548.0401365034</v>
      </c>
      <c r="AH13">
        <f>'Balance Sheet'!AH51-'Balance Sheet'!AG51</f>
        <v>99874.771470699459</v>
      </c>
      <c r="AI13">
        <f>'Balance Sheet'!AI51-'Balance Sheet'!AH51</f>
        <v>196875.62892311136</v>
      </c>
      <c r="AJ13">
        <f>'Balance Sheet'!AJ51-'Balance Sheet'!AI51</f>
        <v>440655.36156846001</v>
      </c>
      <c r="AK13">
        <f>'Balance Sheet'!AK51-'Balance Sheet'!AJ51</f>
        <v>894940.17984864651</v>
      </c>
    </row>
    <row r="14" spans="1:37" ht="43.5">
      <c r="A14" s="224" t="s">
        <v>279</v>
      </c>
      <c r="B14" s="1"/>
      <c r="C14" s="1"/>
      <c r="D14" s="1"/>
      <c r="F14">
        <f>'Balance Sheet'!F53</f>
        <v>34960</v>
      </c>
      <c r="G14">
        <f>'Balance Sheet'!G53-'Balance Sheet'!F53</f>
        <v>16860</v>
      </c>
      <c r="H14">
        <f>'Balance Sheet'!H53-'Balance Sheet'!G53</f>
        <v>3900</v>
      </c>
      <c r="I14">
        <f>'Balance Sheet'!I53-'Balance Sheet'!H53</f>
        <v>-3900</v>
      </c>
      <c r="J14">
        <f>'Balance Sheet'!J53-'Balance Sheet'!I53</f>
        <v>3900</v>
      </c>
      <c r="K14">
        <f>'Balance Sheet'!K53-'Balance Sheet'!J53</f>
        <v>-11700</v>
      </c>
      <c r="L14">
        <f>'Balance Sheet'!L53-'Balance Sheet'!K53</f>
        <v>7800</v>
      </c>
      <c r="M14">
        <f>'Balance Sheet'!M53-'Balance Sheet'!L53</f>
        <v>-9060</v>
      </c>
      <c r="N14">
        <f>'Balance Sheet'!N53-'Balance Sheet'!M53</f>
        <v>10320</v>
      </c>
      <c r="O14">
        <f>'Balance Sheet'!O53-'Balance Sheet'!N53</f>
        <v>-2580</v>
      </c>
      <c r="P14">
        <f>'Balance Sheet'!P53-'Balance Sheet'!O53</f>
        <v>3900</v>
      </c>
      <c r="Q14">
        <f>'Balance Sheet'!Q53-'Balance Sheet'!P53</f>
        <v>-7800</v>
      </c>
      <c r="R14">
        <f>'Balance Sheet'!R53-'Balance Sheet'!Q53</f>
        <v>244820</v>
      </c>
      <c r="S14">
        <f>'Balance Sheet'!S53-'Balance Sheet'!R53</f>
        <v>6480</v>
      </c>
      <c r="T14">
        <f>'Balance Sheet'!T53-'Balance Sheet'!S53</f>
        <v>244740</v>
      </c>
      <c r="U14">
        <f>'Balance Sheet'!U53-'Balance Sheet'!T53</f>
        <v>0</v>
      </c>
      <c r="V14">
        <f>'Balance Sheet'!V53-'Balance Sheet'!U53</f>
        <v>0</v>
      </c>
      <c r="Y14">
        <f>'Balance Sheet'!Y53-'Balance Sheet'!V53</f>
        <v>0</v>
      </c>
      <c r="Z14">
        <f>'Balance Sheet'!Z53-'Balance Sheet'!Y53</f>
        <v>0</v>
      </c>
      <c r="AA14">
        <f>'Balance Sheet'!AA53-'Balance Sheet'!Z53</f>
        <v>0</v>
      </c>
      <c r="AB14">
        <f>'Balance Sheet'!AB53-'Balance Sheet'!AA53</f>
        <v>0</v>
      </c>
      <c r="AC14">
        <f>'Balance Sheet'!AC53-'Balance Sheet'!AB53</f>
        <v>0</v>
      </c>
      <c r="AG14">
        <f>'Balance Sheet'!AG53-'Balance Sheet'!V53</f>
        <v>1344000</v>
      </c>
      <c r="AH14">
        <f>'Balance Sheet'!AH53-'Balance Sheet'!AG53</f>
        <v>0</v>
      </c>
      <c r="AI14">
        <f>'Balance Sheet'!AI53-'Balance Sheet'!AH53</f>
        <v>0</v>
      </c>
      <c r="AJ14">
        <f>'Balance Sheet'!AJ53-'Balance Sheet'!AI53</f>
        <v>0</v>
      </c>
      <c r="AK14">
        <f>'Balance Sheet'!AK53-'Balance Sheet'!AJ53</f>
        <v>0</v>
      </c>
    </row>
    <row r="15" spans="1:37" ht="43.5">
      <c r="A15" s="212" t="s">
        <v>280</v>
      </c>
      <c r="B15" s="1"/>
      <c r="C15" s="1"/>
      <c r="D15" s="1"/>
      <c r="F15">
        <f>'Balance Sheet'!F54</f>
        <v>50000</v>
      </c>
      <c r="G15">
        <f>'Balance Sheet'!G54-'Balance Sheet'!F54</f>
        <v>0</v>
      </c>
      <c r="H15">
        <f>'Balance Sheet'!H54-'Balance Sheet'!G54</f>
        <v>0</v>
      </c>
      <c r="I15">
        <f>'Balance Sheet'!I54-'Balance Sheet'!H54</f>
        <v>0</v>
      </c>
      <c r="J15">
        <f>'Balance Sheet'!J54-'Balance Sheet'!I54</f>
        <v>0</v>
      </c>
      <c r="K15">
        <f>'Balance Sheet'!K54-'Balance Sheet'!J54</f>
        <v>0</v>
      </c>
      <c r="L15">
        <f>'Balance Sheet'!L54-'Balance Sheet'!K54</f>
        <v>2500</v>
      </c>
      <c r="M15">
        <f>'Balance Sheet'!M54-'Balance Sheet'!L54</f>
        <v>0</v>
      </c>
      <c r="N15">
        <f>'Balance Sheet'!N54-'Balance Sheet'!M54</f>
        <v>0</v>
      </c>
      <c r="O15">
        <f>'Balance Sheet'!O54-'Balance Sheet'!N54</f>
        <v>0</v>
      </c>
      <c r="P15">
        <f>'Balance Sheet'!P54-'Balance Sheet'!O54</f>
        <v>0</v>
      </c>
      <c r="Q15">
        <f>'Balance Sheet'!Q54-'Balance Sheet'!P54</f>
        <v>0</v>
      </c>
      <c r="R15">
        <f>'Balance Sheet'!R54-'Balance Sheet'!Q54</f>
        <v>278250</v>
      </c>
      <c r="S15">
        <f>'Balance Sheet'!S54-'Balance Sheet'!R54</f>
        <v>16537.5</v>
      </c>
      <c r="T15">
        <f>'Balance Sheet'!T54-'Balance Sheet'!S54</f>
        <v>382016.25</v>
      </c>
      <c r="U15">
        <f>'Balance Sheet'!U54-'Balance Sheet'!T54</f>
        <v>36465.1875</v>
      </c>
      <c r="V15">
        <f>'Balance Sheet'!V54-'Balance Sheet'!U54</f>
        <v>38288.446875000023</v>
      </c>
      <c r="Y15">
        <f>'Balance Sheet'!Y54-'Balance Sheet'!V54</f>
        <v>40202.869218750042</v>
      </c>
      <c r="Z15">
        <f>'Balance Sheet'!Z54-'Balance Sheet'!Y54</f>
        <v>42213.012679687585</v>
      </c>
      <c r="AA15">
        <f>'Balance Sheet'!AA54-'Balance Sheet'!Z54</f>
        <v>44323.663313671947</v>
      </c>
      <c r="AB15">
        <f>'Balance Sheet'!AB54-'Balance Sheet'!AA54</f>
        <v>46539.846479355474</v>
      </c>
      <c r="AC15">
        <f>'Balance Sheet'!AC54-'Balance Sheet'!AB54</f>
        <v>48866.838803323335</v>
      </c>
      <c r="AG15">
        <f>'Balance Sheet'!AG54-'Balance Sheet'!V54</f>
        <v>70202.869218750042</v>
      </c>
      <c r="AH15">
        <f>'Balance Sheet'!AH54-'Balance Sheet'!AG54</f>
        <v>43713.012679687585</v>
      </c>
      <c r="AI15">
        <f>'Balance Sheet'!AI54-'Balance Sheet'!AH54</f>
        <v>45898.663313671947</v>
      </c>
      <c r="AJ15">
        <f>'Balance Sheet'!AJ54-'Balance Sheet'!AI54</f>
        <v>48193.596479355474</v>
      </c>
      <c r="AK15">
        <f>'Balance Sheet'!AK54-'Balance Sheet'!AJ54</f>
        <v>50603.276303323219</v>
      </c>
    </row>
    <row r="16" spans="1:37">
      <c r="A16" s="212"/>
      <c r="B16" s="1"/>
      <c r="C16" s="1"/>
      <c r="D16" s="1"/>
    </row>
    <row r="17" spans="1:37" ht="21">
      <c r="A17" s="223" t="s">
        <v>133</v>
      </c>
      <c r="B17" s="1"/>
      <c r="C17" s="1"/>
      <c r="D17" s="1"/>
    </row>
    <row r="18" spans="1:37" ht="29">
      <c r="A18" s="212" t="s">
        <v>134</v>
      </c>
      <c r="B18" s="1"/>
      <c r="C18" s="1"/>
      <c r="D18" s="1"/>
      <c r="F18">
        <f>-'Balance Sheet'!F28</f>
        <v>-115199.66666666667</v>
      </c>
      <c r="G18">
        <f>'Balance Sheet'!F28-'Balance Sheet'!G28</f>
        <v>2798.1111111111095</v>
      </c>
      <c r="H18">
        <f>'Balance Sheet'!G28-'Balance Sheet'!H28</f>
        <v>2795.925925925927</v>
      </c>
      <c r="I18">
        <f>'Balance Sheet'!H28-'Balance Sheet'!I28</f>
        <v>2793.7771604938316</v>
      </c>
      <c r="J18">
        <f>'Balance Sheet'!I28-'Balance Sheet'!J28</f>
        <v>2791.6642078189325</v>
      </c>
      <c r="K18">
        <f>'Balance Sheet'!J28-'Balance Sheet'!K28</f>
        <v>2789.5864710219466</v>
      </c>
      <c r="L18">
        <f>'Balance Sheet'!K28-'Balance Sheet'!L28</f>
        <v>2787.543363171586</v>
      </c>
      <c r="M18">
        <f>'Balance Sheet'!L28-'Balance Sheet'!M28</f>
        <v>2785.5343071187235</v>
      </c>
      <c r="N18">
        <f>'Balance Sheet'!M28-'Balance Sheet'!N28</f>
        <v>2783.5587353334122</v>
      </c>
      <c r="O18">
        <f>'Balance Sheet'!N28-'Balance Sheet'!O28</f>
        <v>2781.6160897445079</v>
      </c>
      <c r="P18">
        <f>'Balance Sheet'!O28-'Balance Sheet'!P28</f>
        <v>2779.7058215821162</v>
      </c>
      <c r="Q18">
        <f>'Balance Sheet'!P28-'Balance Sheet'!Q28</f>
        <v>2777.8273912224104</v>
      </c>
      <c r="R18">
        <f>'Balance Sheet'!Q28-'Balance Sheet'!R28</f>
        <v>16648</v>
      </c>
      <c r="S18">
        <f>'Balance Sheet'!R28-'Balance Sheet'!S28</f>
        <v>16583.199999999997</v>
      </c>
      <c r="T18">
        <f>'Balance Sheet'!S28-'Balance Sheet'!T28</f>
        <v>33024</v>
      </c>
      <c r="U18">
        <f>'Balance Sheet'!T28-'Balance Sheet'!U28</f>
        <v>-88956.800000000003</v>
      </c>
      <c r="V18">
        <f>'Balance Sheet'!U28-'Balance Sheet'!V28</f>
        <v>28220.800000000003</v>
      </c>
      <c r="Y18">
        <f>'Balance Sheet'!V28-'Balance Sheet'!Y28</f>
        <v>17931.616082122171</v>
      </c>
      <c r="Z18">
        <f>'Balance Sheet'!Y28-'Balance Sheet'!Z28</f>
        <v>26384</v>
      </c>
      <c r="AA18">
        <f>'Balance Sheet'!Z28-'Balance Sheet'!AA28</f>
        <v>26096</v>
      </c>
      <c r="AB18">
        <f>'Balance Sheet'!AA28-'Balance Sheet'!AB28</f>
        <v>-9078.4000000000015</v>
      </c>
      <c r="AC18">
        <f>'Balance Sheet'!AB28-'Balance Sheet'!AC28</f>
        <v>8682.4000000000015</v>
      </c>
      <c r="AG18">
        <f>'Balance Sheet'!V28-'Balance Sheet'!AG28</f>
        <v>-74663.883917877829</v>
      </c>
      <c r="AH18">
        <f>'Balance Sheet'!AG28-'Balance Sheet'!AH28</f>
        <v>37723.421875</v>
      </c>
      <c r="AI18">
        <f>'Balance Sheet'!AH28-'Balance Sheet'!AI28</f>
        <v>36526.07177734375</v>
      </c>
      <c r="AJ18">
        <f>'Balance Sheet'!AI28-'Balance Sheet'!AJ28</f>
        <v>573.70700378417678</v>
      </c>
      <c r="AK18">
        <f>'Balance Sheet'!AJ28-'Balance Sheet'!AK28</f>
        <v>9620.7655470848113</v>
      </c>
    </row>
    <row r="19" spans="1:37">
      <c r="A19" s="212"/>
      <c r="B19" s="1"/>
      <c r="C19" s="1"/>
      <c r="D19" s="1"/>
    </row>
    <row r="20" spans="1:37" ht="21">
      <c r="A20" s="223" t="s">
        <v>135</v>
      </c>
      <c r="B20" s="1"/>
      <c r="C20" s="1"/>
      <c r="D20" s="1"/>
    </row>
    <row r="21" spans="1:37" ht="29">
      <c r="A21" s="212" t="s">
        <v>136</v>
      </c>
      <c r="B21" s="1"/>
      <c r="C21" s="1"/>
      <c r="D21" s="1"/>
      <c r="F21">
        <f>'Balance Sheet'!F46-'Balance Sheet'!E46+'Balance Sheet'!F47-'Balance Sheet'!E47</f>
        <v>23809.523809523809</v>
      </c>
      <c r="G21">
        <f>'Balance Sheet'!G46-'Balance Sheet'!F46+'Balance Sheet'!G47-'Balance Sheet'!F47</f>
        <v>0</v>
      </c>
      <c r="H21">
        <f>'Balance Sheet'!H46-'Balance Sheet'!G46+'Balance Sheet'!H47-'Balance Sheet'!G47</f>
        <v>0</v>
      </c>
      <c r="I21">
        <f>'Balance Sheet'!I46-'Balance Sheet'!H46+'Balance Sheet'!I47-'Balance Sheet'!H47</f>
        <v>0</v>
      </c>
      <c r="J21">
        <f>'Balance Sheet'!J46-'Balance Sheet'!I46+'Balance Sheet'!J47-'Balance Sheet'!I47</f>
        <v>0</v>
      </c>
      <c r="K21">
        <f>'Balance Sheet'!K46-'Balance Sheet'!J46+'Balance Sheet'!K47-'Balance Sheet'!J47</f>
        <v>0</v>
      </c>
      <c r="L21">
        <f>'Balance Sheet'!L46-'Balance Sheet'!K46+'Balance Sheet'!L47-'Balance Sheet'!K47</f>
        <v>0</v>
      </c>
      <c r="M21">
        <f>'Balance Sheet'!M46-'Balance Sheet'!L46+'Balance Sheet'!M47-'Balance Sheet'!L47</f>
        <v>0</v>
      </c>
      <c r="N21">
        <f>'Balance Sheet'!N46-'Balance Sheet'!M46+'Balance Sheet'!N47-'Balance Sheet'!M47</f>
        <v>0</v>
      </c>
      <c r="O21">
        <f>'Balance Sheet'!O46-'Balance Sheet'!N46+'Balance Sheet'!O47-'Balance Sheet'!N47</f>
        <v>0</v>
      </c>
      <c r="P21">
        <f>'Balance Sheet'!P46-'Balance Sheet'!O46+'Balance Sheet'!P47-'Balance Sheet'!O47</f>
        <v>0</v>
      </c>
      <c r="Q21">
        <f>'Balance Sheet'!Q46-'Balance Sheet'!P46+'Balance Sheet'!Q47-'Balance Sheet'!P47</f>
        <v>0</v>
      </c>
      <c r="R21">
        <f>'Balance Sheet'!R46-'Balance Sheet'!Q46+'Balance Sheet'!R47-'Balance Sheet'!Q47</f>
        <v>23809.523809523809</v>
      </c>
      <c r="S21">
        <f>'Balance Sheet'!S46-'Balance Sheet'!R46+'Balance Sheet'!S47-'Balance Sheet'!R47</f>
        <v>0</v>
      </c>
      <c r="T21">
        <f>'Balance Sheet'!T46-'Balance Sheet'!S46+'Balance Sheet'!T47-'Balance Sheet'!S47</f>
        <v>238095.23809523811</v>
      </c>
      <c r="U21">
        <f>'Balance Sheet'!U46-'Balance Sheet'!T46+'Balance Sheet'!U47-'Balance Sheet'!T47</f>
        <v>0</v>
      </c>
      <c r="V21">
        <f>'Balance Sheet'!V46-'Balance Sheet'!U46+'Balance Sheet'!V47-'Balance Sheet'!U47</f>
        <v>0</v>
      </c>
      <c r="Y21">
        <f>'Balance Sheet'!Y46-'Balance Sheet'!V46+'Balance Sheet'!Y47-'Balance Sheet'!V47</f>
        <v>0</v>
      </c>
      <c r="Z21">
        <f>'Balance Sheet'!Z46-'Balance Sheet'!Y46+'Balance Sheet'!Z47-'Balance Sheet'!Y47</f>
        <v>0</v>
      </c>
      <c r="AA21">
        <f>'Balance Sheet'!AA46-'Balance Sheet'!Z46+'Balance Sheet'!AA47-'Balance Sheet'!Z47</f>
        <v>-285714.28571428574</v>
      </c>
      <c r="AB21">
        <f>'Balance Sheet'!AB46-'Balance Sheet'!AA46+'Balance Sheet'!AB47-'Balance Sheet'!AA47</f>
        <v>0</v>
      </c>
      <c r="AC21">
        <f>'Balance Sheet'!AC46-'Balance Sheet'!AB46+'Balance Sheet'!AC47-'Balance Sheet'!AB47</f>
        <v>0</v>
      </c>
      <c r="AG21">
        <f>'Balance Sheet'!AG46-'Balance Sheet'!V46+'Balance Sheet'!AG47-'Balance Sheet'!V47</f>
        <v>2043364.6866231428</v>
      </c>
      <c r="AH21">
        <f>'Balance Sheet'!AH46-'Balance Sheet'!AG46+'Balance Sheet'!AH47-'Balance Sheet'!AG47</f>
        <v>-588441.95439111395</v>
      </c>
      <c r="AI21">
        <f>'Balance Sheet'!AI46-'Balance Sheet'!AH46+'Balance Sheet'!AI47-'Balance Sheet'!AH47</f>
        <v>-962422.53326406656</v>
      </c>
      <c r="AJ21">
        <f>'Balance Sheet'!AJ46-'Balance Sheet'!AI46+'Balance Sheet'!AJ47-'Balance Sheet'!AI47</f>
        <v>-778214.48468224786</v>
      </c>
      <c r="AK21">
        <f>'Balance Sheet'!AK46-'Balance Sheet'!AJ46+'Balance Sheet'!AK47-'Balance Sheet'!AJ47</f>
        <v>0</v>
      </c>
    </row>
    <row r="22" spans="1:37" ht="29">
      <c r="A22" s="212" t="s">
        <v>137</v>
      </c>
      <c r="B22" s="1"/>
      <c r="C22" s="1"/>
      <c r="D22" s="1"/>
      <c r="F22">
        <f>'Balance Sheet'!F41-'Balance Sheet'!E41</f>
        <v>30000</v>
      </c>
      <c r="G22">
        <f>'Balance Sheet'!G41-'Balance Sheet'!F41</f>
        <v>0</v>
      </c>
      <c r="H22">
        <f>'Balance Sheet'!H41-'Balance Sheet'!G41</f>
        <v>0</v>
      </c>
      <c r="I22">
        <f>'Balance Sheet'!I41-'Balance Sheet'!H41</f>
        <v>0</v>
      </c>
      <c r="J22">
        <f>'Balance Sheet'!J41-'Balance Sheet'!I41</f>
        <v>0</v>
      </c>
      <c r="K22">
        <f>'Balance Sheet'!K41-'Balance Sheet'!J41</f>
        <v>0</v>
      </c>
      <c r="L22">
        <f>'Balance Sheet'!L41-'Balance Sheet'!K41</f>
        <v>0</v>
      </c>
      <c r="M22">
        <f>'Balance Sheet'!M41-'Balance Sheet'!L41</f>
        <v>0</v>
      </c>
      <c r="N22">
        <f>'Balance Sheet'!N41-'Balance Sheet'!M41</f>
        <v>0</v>
      </c>
      <c r="O22">
        <f>'Balance Sheet'!O41-'Balance Sheet'!N41</f>
        <v>0</v>
      </c>
      <c r="P22">
        <f>'Balance Sheet'!P41-'Balance Sheet'!O41</f>
        <v>0</v>
      </c>
      <c r="Q22">
        <f>'Balance Sheet'!Q41-'Balance Sheet'!P41</f>
        <v>0</v>
      </c>
      <c r="R22">
        <f>'Balance Sheet'!R41-'Balance Sheet'!Q41</f>
        <v>0</v>
      </c>
      <c r="S22">
        <f>'Balance Sheet'!S41-'Balance Sheet'!R41</f>
        <v>0</v>
      </c>
      <c r="T22">
        <f>'Balance Sheet'!T41-'Balance Sheet'!S41</f>
        <v>0</v>
      </c>
      <c r="U22">
        <f>'Balance Sheet'!U41-'Balance Sheet'!T41</f>
        <v>0</v>
      </c>
      <c r="V22">
        <f>'Balance Sheet'!V41-'Balance Sheet'!U41</f>
        <v>0</v>
      </c>
      <c r="Y22">
        <f>'Balance Sheet'!Y41-'Balance Sheet'!V41</f>
        <v>0</v>
      </c>
      <c r="Z22">
        <f>'Balance Sheet'!Z41-'Balance Sheet'!Y41</f>
        <v>0</v>
      </c>
      <c r="AA22">
        <f>'Balance Sheet'!AA41-'Balance Sheet'!Z41</f>
        <v>0</v>
      </c>
      <c r="AB22">
        <f>'Balance Sheet'!AB41-'Balance Sheet'!AA41</f>
        <v>0</v>
      </c>
      <c r="AC22">
        <f>'Balance Sheet'!AC41-'Balance Sheet'!AB41</f>
        <v>0</v>
      </c>
      <c r="AG22">
        <f>'Balance Sheet'!AG41-'Balance Sheet'!V41</f>
        <v>0</v>
      </c>
      <c r="AH22">
        <f>'Balance Sheet'!AH41-'Balance Sheet'!AG41</f>
        <v>0</v>
      </c>
      <c r="AI22">
        <f>'Balance Sheet'!AI41-'Balance Sheet'!AH41</f>
        <v>0</v>
      </c>
      <c r="AJ22">
        <f>'Balance Sheet'!AJ41-'Balance Sheet'!AI41</f>
        <v>0</v>
      </c>
      <c r="AK22">
        <f>'Balance Sheet'!AK41-'Balance Sheet'!AJ41</f>
        <v>0</v>
      </c>
    </row>
    <row r="23" spans="1:37" ht="29">
      <c r="A23" s="212" t="s">
        <v>138</v>
      </c>
      <c r="B23" s="1"/>
      <c r="C23" s="1"/>
      <c r="D23" s="1"/>
      <c r="F23">
        <f>-PnL!F16</f>
        <v>0</v>
      </c>
      <c r="G23">
        <f>-PnL!G16</f>
        <v>0</v>
      </c>
      <c r="H23">
        <f>-PnL!H16</f>
        <v>0</v>
      </c>
      <c r="I23">
        <f>-PnL!I16</f>
        <v>0</v>
      </c>
      <c r="J23">
        <f>-PnL!J16</f>
        <v>0</v>
      </c>
      <c r="K23">
        <f>-PnL!K16</f>
        <v>0</v>
      </c>
      <c r="L23">
        <f>-PnL!L16</f>
        <v>0</v>
      </c>
      <c r="M23">
        <f>-PnL!M16</f>
        <v>0</v>
      </c>
      <c r="N23">
        <f>-PnL!N16</f>
        <v>0</v>
      </c>
      <c r="O23">
        <f>-PnL!O16</f>
        <v>0</v>
      </c>
      <c r="P23">
        <f>-PnL!P16</f>
        <v>0</v>
      </c>
      <c r="Q23">
        <f>-PnL!Q16</f>
        <v>0</v>
      </c>
      <c r="R23">
        <f>-PnL!R16</f>
        <v>0</v>
      </c>
      <c r="S23">
        <f>-PnL!S16</f>
        <v>0</v>
      </c>
      <c r="T23">
        <f>-PnL!T16</f>
        <v>0</v>
      </c>
      <c r="U23">
        <f>-PnL!U16</f>
        <v>0</v>
      </c>
      <c r="V23">
        <f>-PnL!V16</f>
        <v>-31364</v>
      </c>
      <c r="Y23">
        <f>-PnL!Y16</f>
        <v>-29199.200000000001</v>
      </c>
      <c r="Z23">
        <f>-PnL!Z16</f>
        <v>-20160.400000000001</v>
      </c>
      <c r="AA23">
        <f>-PnL!AA16</f>
        <v>0</v>
      </c>
      <c r="AB23">
        <f>-PnL!AB16</f>
        <v>0</v>
      </c>
      <c r="AC23">
        <f>-PnL!AC16</f>
        <v>0</v>
      </c>
      <c r="AG23">
        <f>-PnL!AG16</f>
        <v>-253645</v>
      </c>
      <c r="AH23">
        <f>-PnL!AH16</f>
        <v>-269103.5</v>
      </c>
      <c r="AI23">
        <f>-PnL!AI16</f>
        <v>-287081.8</v>
      </c>
      <c r="AJ23">
        <f>-PnL!AJ16</f>
        <v>-261949.2</v>
      </c>
      <c r="AK23">
        <f>-PnL!AK16</f>
        <v>-171924.1</v>
      </c>
    </row>
    <row r="24" spans="1:37">
      <c r="A24" s="213"/>
      <c r="B24" s="1"/>
      <c r="C24" s="1"/>
      <c r="D24" s="1"/>
    </row>
    <row r="25" spans="1:37" ht="29">
      <c r="A25" s="225" t="s">
        <v>139</v>
      </c>
      <c r="B25" s="8"/>
      <c r="C25" s="8"/>
      <c r="D25" s="8"/>
      <c r="E25" s="9"/>
      <c r="F25" s="123">
        <f>SUM(F7:F23)</f>
        <v>1823.5626984126939</v>
      </c>
      <c r="G25" s="123">
        <f t="shared" ref="G25:U25" si="0">SUM(G7:G23)</f>
        <v>45480.474074074074</v>
      </c>
      <c r="H25" s="123">
        <f t="shared" si="0"/>
        <v>44440.92283950618</v>
      </c>
      <c r="I25" s="123">
        <f t="shared" si="0"/>
        <v>28186.607458847739</v>
      </c>
      <c r="J25" s="123">
        <f t="shared" si="0"/>
        <v>48631.894001200271</v>
      </c>
      <c r="K25" s="123">
        <f t="shared" si="0"/>
        <v>-5349.4847877086204</v>
      </c>
      <c r="L25" s="123">
        <f t="shared" si="0"/>
        <v>41432.85384764208</v>
      </c>
      <c r="M25" s="123">
        <f t="shared" si="0"/>
        <v>-5520.3906609297319</v>
      </c>
      <c r="N25" s="123">
        <f t="shared" si="0"/>
        <v>49130.197794530206</v>
      </c>
      <c r="O25" s="123">
        <f t="shared" si="0"/>
        <v>26790.218664621359</v>
      </c>
      <c r="P25" s="123">
        <f t="shared" si="0"/>
        <v>46204.33807576658</v>
      </c>
      <c r="Q25" s="123">
        <f t="shared" si="0"/>
        <v>7054.7888300593495</v>
      </c>
      <c r="R25" s="123">
        <f t="shared" si="0"/>
        <v>773629.07149980683</v>
      </c>
      <c r="S25" s="123">
        <f t="shared" si="0"/>
        <v>229742.61283869488</v>
      </c>
      <c r="T25" s="123">
        <f t="shared" si="0"/>
        <v>1159757.7645114977</v>
      </c>
      <c r="U25" s="123">
        <f t="shared" si="0"/>
        <v>194220.50786683412</v>
      </c>
      <c r="V25" s="123">
        <f>SUM(V7:V23)</f>
        <v>359050.70183049183</v>
      </c>
      <c r="W25" s="124"/>
      <c r="X25" s="124"/>
      <c r="Y25" s="124">
        <f t="shared" ref="Y25:AK25" si="1">SUM(Y7:Y23)</f>
        <v>377690.22841956926</v>
      </c>
      <c r="Z25" s="124">
        <f t="shared" si="1"/>
        <v>354791.7005530817</v>
      </c>
      <c r="AA25" s="124">
        <f t="shared" si="1"/>
        <v>-31121.015386713465</v>
      </c>
      <c r="AB25" s="124">
        <f t="shared" si="1"/>
        <v>-153915.33248789838</v>
      </c>
      <c r="AC25" s="124">
        <f t="shared" si="1"/>
        <v>-944508.52689519455</v>
      </c>
      <c r="AD25" s="124"/>
      <c r="AE25" s="124"/>
      <c r="AF25" s="124"/>
      <c r="AG25" s="124">
        <f t="shared" si="1"/>
        <v>6056875.3609629879</v>
      </c>
      <c r="AH25" s="124">
        <f t="shared" si="1"/>
        <v>2013014.6443446688</v>
      </c>
      <c r="AI25" s="124">
        <f t="shared" si="1"/>
        <v>1897317.6915494001</v>
      </c>
      <c r="AJ25" s="124">
        <f t="shared" si="1"/>
        <v>2062947.8618933691</v>
      </c>
      <c r="AK25" s="124">
        <f t="shared" si="1"/>
        <v>2489858.1443545115</v>
      </c>
    </row>
    <row r="26" spans="1:37">
      <c r="A26" s="226"/>
      <c r="B26" s="1"/>
      <c r="C26" s="1"/>
      <c r="D26" s="1"/>
      <c r="V26" s="34"/>
    </row>
    <row r="27" spans="1:37" ht="29">
      <c r="A27" s="227" t="s">
        <v>140</v>
      </c>
      <c r="B27" s="1"/>
      <c r="C27" s="1"/>
      <c r="D27" s="1"/>
      <c r="G27">
        <f>F28</f>
        <v>1824</v>
      </c>
      <c r="H27">
        <f t="shared" ref="H27:V27" si="2">G28</f>
        <v>47304</v>
      </c>
      <c r="I27">
        <f t="shared" si="2"/>
        <v>91745</v>
      </c>
      <c r="J27">
        <f t="shared" si="2"/>
        <v>119932</v>
      </c>
      <c r="K27">
        <f t="shared" si="2"/>
        <v>168564</v>
      </c>
      <c r="L27">
        <f t="shared" si="2"/>
        <v>163215</v>
      </c>
      <c r="M27">
        <f t="shared" si="2"/>
        <v>204648</v>
      </c>
      <c r="N27">
        <f t="shared" si="2"/>
        <v>199128</v>
      </c>
      <c r="O27">
        <f t="shared" si="2"/>
        <v>248258</v>
      </c>
      <c r="P27">
        <f t="shared" si="2"/>
        <v>275048</v>
      </c>
      <c r="Q27">
        <f t="shared" si="2"/>
        <v>321252</v>
      </c>
      <c r="R27">
        <f t="shared" si="2"/>
        <v>328307</v>
      </c>
      <c r="S27">
        <f t="shared" si="2"/>
        <v>1101936</v>
      </c>
      <c r="T27">
        <f t="shared" si="2"/>
        <v>1331679</v>
      </c>
      <c r="U27">
        <f t="shared" si="2"/>
        <v>2491437</v>
      </c>
      <c r="V27">
        <f t="shared" si="2"/>
        <v>2685658</v>
      </c>
      <c r="W27" s="34"/>
      <c r="X27" s="34"/>
      <c r="Y27" s="34">
        <f>V28</f>
        <v>3044709</v>
      </c>
      <c r="Z27" s="34">
        <f>Y28</f>
        <v>3422399</v>
      </c>
      <c r="AA27" s="34">
        <f t="shared" ref="AA27:AC27" si="3">Z28</f>
        <v>3777191</v>
      </c>
      <c r="AB27" s="34">
        <f t="shared" si="3"/>
        <v>3746070</v>
      </c>
      <c r="AC27" s="34">
        <f t="shared" si="3"/>
        <v>3592155</v>
      </c>
      <c r="AD27" s="34"/>
      <c r="AE27" s="34"/>
      <c r="AF27" s="34"/>
      <c r="AG27" s="34">
        <f>V28</f>
        <v>3044709</v>
      </c>
      <c r="AH27" s="34">
        <f>AG28</f>
        <v>9101584</v>
      </c>
      <c r="AI27" s="34">
        <f t="shared" ref="AI27:AK27" si="4">AH28</f>
        <v>11114599</v>
      </c>
      <c r="AJ27" s="34">
        <f t="shared" si="4"/>
        <v>13011917</v>
      </c>
      <c r="AK27" s="34">
        <f t="shared" si="4"/>
        <v>15074865</v>
      </c>
    </row>
    <row r="28" spans="1:37" ht="16">
      <c r="A28" s="228" t="s">
        <v>141</v>
      </c>
      <c r="B28" s="14"/>
      <c r="C28" s="14"/>
      <c r="D28" s="14"/>
      <c r="E28" s="15"/>
      <c r="F28" s="229">
        <f>ROUND(F25,0)</f>
        <v>1824</v>
      </c>
      <c r="G28" s="229">
        <f>ROUND(G27+G25,0)</f>
        <v>47304</v>
      </c>
      <c r="H28" s="229">
        <f t="shared" ref="H28:V28" si="5">ROUND(H27+H25,0)</f>
        <v>91745</v>
      </c>
      <c r="I28" s="229">
        <f t="shared" si="5"/>
        <v>119932</v>
      </c>
      <c r="J28" s="229">
        <f t="shared" si="5"/>
        <v>168564</v>
      </c>
      <c r="K28" s="229">
        <f t="shared" si="5"/>
        <v>163215</v>
      </c>
      <c r="L28" s="229">
        <f t="shared" si="5"/>
        <v>204648</v>
      </c>
      <c r="M28" s="229">
        <f t="shared" si="5"/>
        <v>199128</v>
      </c>
      <c r="N28" s="229">
        <f t="shared" si="5"/>
        <v>248258</v>
      </c>
      <c r="O28" s="229">
        <f t="shared" si="5"/>
        <v>275048</v>
      </c>
      <c r="P28" s="229">
        <f t="shared" si="5"/>
        <v>321252</v>
      </c>
      <c r="Q28" s="229">
        <f t="shared" si="5"/>
        <v>328307</v>
      </c>
      <c r="R28" s="229">
        <f t="shared" si="5"/>
        <v>1101936</v>
      </c>
      <c r="S28" s="229">
        <f t="shared" si="5"/>
        <v>1331679</v>
      </c>
      <c r="T28" s="229">
        <f t="shared" si="5"/>
        <v>2491437</v>
      </c>
      <c r="U28" s="229">
        <f t="shared" si="5"/>
        <v>2685658</v>
      </c>
      <c r="V28" s="229">
        <f t="shared" si="5"/>
        <v>3044709</v>
      </c>
      <c r="W28" s="230"/>
      <c r="X28" s="230"/>
      <c r="Y28" s="230">
        <f>ROUND(Y27+Y25,0)</f>
        <v>3422399</v>
      </c>
      <c r="Z28" s="230">
        <f t="shared" ref="Z28:AC28" si="6">ROUND(Z27+Z25,0)</f>
        <v>3777191</v>
      </c>
      <c r="AA28" s="230">
        <f t="shared" si="6"/>
        <v>3746070</v>
      </c>
      <c r="AB28" s="230">
        <f t="shared" si="6"/>
        <v>3592155</v>
      </c>
      <c r="AC28" s="230">
        <f t="shared" si="6"/>
        <v>2647646</v>
      </c>
      <c r="AD28" s="230"/>
      <c r="AE28" s="230"/>
      <c r="AF28" s="230"/>
      <c r="AG28" s="230">
        <f>ROUND(AG27+AG25,0)</f>
        <v>9101584</v>
      </c>
      <c r="AH28" s="230">
        <f t="shared" ref="AH28:AK28" si="7">ROUND(AH27+AH25,0)</f>
        <v>11114599</v>
      </c>
      <c r="AI28" s="230">
        <f t="shared" si="7"/>
        <v>13011917</v>
      </c>
      <c r="AJ28" s="230">
        <f t="shared" si="7"/>
        <v>15074865</v>
      </c>
      <c r="AK28" s="230">
        <f t="shared" si="7"/>
        <v>17564723</v>
      </c>
    </row>
    <row r="29" spans="1:37">
      <c r="A29" s="1"/>
      <c r="B29" s="1"/>
      <c r="C29" s="1"/>
      <c r="D29" s="1"/>
    </row>
    <row r="30" spans="1:37">
      <c r="A30" s="1"/>
      <c r="B30" s="1"/>
      <c r="C30" s="1"/>
      <c r="D30" s="1"/>
    </row>
    <row r="31" spans="1:37">
      <c r="A31" s="1"/>
      <c r="B31" s="1"/>
      <c r="C31" s="1"/>
      <c r="D31" s="1"/>
    </row>
  </sheetData>
  <mergeCells count="2">
    <mergeCell ref="Y3:AC3"/>
    <mergeCell ref="AG3:AK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7404E-8190-4435-A4D5-73D8C0C79D90}">
  <dimension ref="A1:AK60"/>
  <sheetViews>
    <sheetView showGridLines="0" zoomScale="49" zoomScaleNormal="87" workbookViewId="0">
      <pane xSplit="4" ySplit="5" topLeftCell="K42" activePane="bottomRight" state="frozen"/>
      <selection pane="topRight" activeCell="E1" sqref="E1"/>
      <selection pane="bottomLeft" activeCell="A6" sqref="A6"/>
      <selection pane="bottomRight" activeCell="T81" sqref="T81"/>
    </sheetView>
  </sheetViews>
  <sheetFormatPr defaultRowHeight="14.5"/>
  <cols>
    <col min="1" max="1" width="14.81640625" customWidth="1"/>
    <col min="2" max="2" width="12.08984375" customWidth="1"/>
    <col min="6" max="6" width="16.1796875" customWidth="1"/>
    <col min="7" max="7" width="20" customWidth="1"/>
    <col min="8" max="8" width="21.36328125" customWidth="1"/>
    <col min="19" max="22" width="13.26953125" bestFit="1" customWidth="1"/>
    <col min="23" max="24" width="8.81640625" bestFit="1" customWidth="1"/>
    <col min="25" max="26" width="13.26953125" bestFit="1" customWidth="1"/>
    <col min="27" max="27" width="14.54296875" bestFit="1" customWidth="1"/>
    <col min="28" max="29" width="13.26953125" bestFit="1" customWidth="1"/>
    <col min="30" max="32" width="8.81640625" bestFit="1" customWidth="1"/>
    <col min="33" max="37" width="14.54296875" bestFit="1" customWidth="1"/>
  </cols>
  <sheetData>
    <row r="1" spans="1:37">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1:37" ht="15" thickBot="1">
      <c r="A2" s="211"/>
      <c r="B2" s="211"/>
      <c r="C2" s="211"/>
      <c r="D2" s="211"/>
      <c r="E2" s="211"/>
      <c r="F2" s="211">
        <v>2025</v>
      </c>
      <c r="G2" s="211"/>
      <c r="H2" s="211"/>
      <c r="I2" s="211"/>
      <c r="J2" s="211"/>
      <c r="K2" s="211"/>
      <c r="L2" s="211"/>
      <c r="M2" s="211"/>
      <c r="N2" s="211"/>
      <c r="O2" s="211"/>
      <c r="P2" s="211"/>
      <c r="Q2" s="211"/>
      <c r="R2" s="211">
        <v>2026</v>
      </c>
      <c r="S2" s="211"/>
      <c r="T2" s="211">
        <v>2027</v>
      </c>
      <c r="U2" s="211">
        <v>2028</v>
      </c>
      <c r="V2" s="211">
        <v>2029</v>
      </c>
      <c r="W2" s="211"/>
      <c r="X2" s="211"/>
      <c r="Y2" s="211">
        <v>2030</v>
      </c>
      <c r="Z2" s="211">
        <v>2031</v>
      </c>
      <c r="AA2" s="211">
        <v>2032</v>
      </c>
      <c r="AB2" s="211">
        <v>2033</v>
      </c>
      <c r="AC2" s="211">
        <v>2034</v>
      </c>
      <c r="AD2" s="211"/>
      <c r="AE2" s="211"/>
      <c r="AF2" s="211"/>
      <c r="AG2" s="211">
        <v>2030</v>
      </c>
      <c r="AH2" s="211">
        <v>2031</v>
      </c>
      <c r="AI2" s="211">
        <v>2032</v>
      </c>
      <c r="AJ2" s="211">
        <v>2033</v>
      </c>
      <c r="AK2" s="211">
        <v>2034</v>
      </c>
    </row>
    <row r="3" spans="1:37" ht="26.5" thickBot="1">
      <c r="A3" s="211"/>
      <c r="B3" s="211"/>
      <c r="C3" s="211"/>
      <c r="D3" s="211"/>
      <c r="E3" s="211"/>
      <c r="F3" s="211" t="s">
        <v>44</v>
      </c>
      <c r="G3" s="211" t="s">
        <v>45</v>
      </c>
      <c r="H3" s="211" t="s">
        <v>46</v>
      </c>
      <c r="I3" s="211" t="s">
        <v>47</v>
      </c>
      <c r="J3" s="211" t="s">
        <v>48</v>
      </c>
      <c r="K3" s="211" t="s">
        <v>49</v>
      </c>
      <c r="L3" s="211" t="s">
        <v>50</v>
      </c>
      <c r="M3" s="211" t="s">
        <v>51</v>
      </c>
      <c r="N3" s="211" t="s">
        <v>52</v>
      </c>
      <c r="O3" s="211" t="s">
        <v>53</v>
      </c>
      <c r="P3" s="211" t="s">
        <v>54</v>
      </c>
      <c r="Q3" s="211" t="s">
        <v>55</v>
      </c>
      <c r="R3" s="211"/>
      <c r="S3" s="211"/>
      <c r="T3" s="211"/>
      <c r="U3" s="211"/>
      <c r="V3" s="211"/>
      <c r="W3" s="211"/>
      <c r="X3" s="211"/>
      <c r="Y3" s="303" t="s">
        <v>164</v>
      </c>
      <c r="Z3" s="304"/>
      <c r="AA3" s="304"/>
      <c r="AB3" s="304"/>
      <c r="AC3" s="305"/>
      <c r="AD3" s="211"/>
      <c r="AE3" s="211"/>
      <c r="AF3" s="211"/>
      <c r="AG3" s="303" t="s">
        <v>227</v>
      </c>
      <c r="AH3" s="304"/>
      <c r="AI3" s="304"/>
      <c r="AJ3" s="304"/>
      <c r="AK3" s="305"/>
    </row>
    <row r="4" spans="1:37" ht="15" thickBot="1">
      <c r="A4" s="211"/>
      <c r="B4" s="211"/>
      <c r="C4" s="211"/>
      <c r="D4" s="211" t="s">
        <v>5</v>
      </c>
      <c r="E4" s="211" t="s">
        <v>6</v>
      </c>
      <c r="F4" s="211">
        <v>1</v>
      </c>
      <c r="G4" s="211">
        <v>1</v>
      </c>
      <c r="H4" s="211">
        <v>1</v>
      </c>
      <c r="I4" s="211">
        <v>1</v>
      </c>
      <c r="J4" s="211">
        <v>1</v>
      </c>
      <c r="K4" s="211">
        <v>1</v>
      </c>
      <c r="L4" s="211">
        <v>1</v>
      </c>
      <c r="M4" s="211">
        <v>1</v>
      </c>
      <c r="N4" s="211">
        <v>1</v>
      </c>
      <c r="O4" s="211">
        <v>1</v>
      </c>
      <c r="P4" s="211">
        <v>1</v>
      </c>
      <c r="Q4" s="211">
        <v>1</v>
      </c>
      <c r="R4" s="211">
        <v>2</v>
      </c>
      <c r="S4" s="211">
        <v>2</v>
      </c>
      <c r="T4" s="211">
        <v>3</v>
      </c>
      <c r="U4" s="211">
        <v>4</v>
      </c>
      <c r="V4" s="211">
        <v>5</v>
      </c>
      <c r="W4" s="211"/>
      <c r="X4" s="211"/>
      <c r="Y4" s="211"/>
      <c r="Z4" s="211"/>
      <c r="AA4" s="211"/>
      <c r="AB4" s="211"/>
      <c r="AC4" s="211"/>
      <c r="AD4" s="211"/>
      <c r="AE4" s="211"/>
      <c r="AF4" s="211"/>
      <c r="AG4" s="211"/>
      <c r="AH4" s="211"/>
      <c r="AI4" s="211"/>
      <c r="AJ4" s="211"/>
      <c r="AK4" s="211"/>
    </row>
    <row r="5" spans="1:37" ht="29">
      <c r="A5" s="214" t="s">
        <v>0</v>
      </c>
      <c r="B5" s="212" t="s">
        <v>1</v>
      </c>
      <c r="C5" s="212" t="s">
        <v>2</v>
      </c>
      <c r="D5" s="212" t="s">
        <v>3</v>
      </c>
      <c r="E5" s="211" t="s">
        <v>4</v>
      </c>
      <c r="F5" s="211">
        <v>1</v>
      </c>
      <c r="G5" s="211">
        <v>2</v>
      </c>
      <c r="H5" s="211">
        <v>3</v>
      </c>
      <c r="I5" s="211">
        <v>4</v>
      </c>
      <c r="J5" s="211">
        <v>5</v>
      </c>
      <c r="K5" s="211">
        <v>6</v>
      </c>
      <c r="L5" s="211">
        <v>7</v>
      </c>
      <c r="M5" s="211">
        <v>8</v>
      </c>
      <c r="N5" s="211">
        <v>9</v>
      </c>
      <c r="O5" s="211">
        <v>10</v>
      </c>
      <c r="P5" s="211">
        <v>11</v>
      </c>
      <c r="Q5" s="211">
        <v>12</v>
      </c>
      <c r="R5" s="211" t="s">
        <v>7</v>
      </c>
      <c r="S5" s="211" t="s">
        <v>8</v>
      </c>
      <c r="T5" s="211" t="s">
        <v>9</v>
      </c>
      <c r="U5" s="211" t="s">
        <v>9</v>
      </c>
      <c r="V5" s="211" t="s">
        <v>9</v>
      </c>
      <c r="W5" s="211"/>
      <c r="X5" s="211"/>
      <c r="Y5" s="211"/>
      <c r="Z5" s="211"/>
      <c r="AA5" s="211"/>
      <c r="AB5" s="211"/>
      <c r="AC5" s="211"/>
      <c r="AD5" s="211"/>
      <c r="AE5" s="211"/>
      <c r="AF5" s="211"/>
      <c r="AG5" s="211"/>
      <c r="AH5" s="211"/>
      <c r="AI5" s="211"/>
      <c r="AJ5" s="211"/>
      <c r="AK5" s="211"/>
    </row>
    <row r="6" spans="1:37">
      <c r="A6" s="219"/>
    </row>
    <row r="7" spans="1:37">
      <c r="A7" s="220" t="s">
        <v>30</v>
      </c>
      <c r="B7" s="1"/>
      <c r="C7" s="1"/>
    </row>
    <row r="8" spans="1:37" ht="29">
      <c r="A8" s="216" t="s">
        <v>267</v>
      </c>
      <c r="B8" s="1"/>
      <c r="C8" s="1"/>
    </row>
    <row r="9" spans="1:37">
      <c r="A9" s="216" t="s">
        <v>212</v>
      </c>
      <c r="B9" s="1" t="s">
        <v>85</v>
      </c>
      <c r="C9" s="1"/>
      <c r="F9">
        <f>Assumptions!F169</f>
        <v>8000</v>
      </c>
      <c r="G9">
        <f>Assumptions!G169</f>
        <v>8000</v>
      </c>
      <c r="H9">
        <f>Assumptions!H169</f>
        <v>8000</v>
      </c>
      <c r="I9">
        <f>Assumptions!I169</f>
        <v>8000</v>
      </c>
      <c r="J9">
        <f>Assumptions!J169</f>
        <v>8000</v>
      </c>
      <c r="K9">
        <f>Assumptions!K169</f>
        <v>8000</v>
      </c>
      <c r="L9">
        <f>Assumptions!L169</f>
        <v>8000</v>
      </c>
      <c r="M9">
        <f>Assumptions!M169</f>
        <v>8000</v>
      </c>
      <c r="N9">
        <f>Assumptions!N169</f>
        <v>8000</v>
      </c>
      <c r="O9">
        <f>Assumptions!O169</f>
        <v>8000</v>
      </c>
      <c r="P9">
        <f>Assumptions!P169</f>
        <v>8000</v>
      </c>
      <c r="Q9">
        <f>Assumptions!Q169</f>
        <v>8000</v>
      </c>
      <c r="R9">
        <f>Assumptions!R169</f>
        <v>8000</v>
      </c>
      <c r="S9">
        <f>Assumptions!S169</f>
        <v>8000</v>
      </c>
      <c r="T9">
        <f>Assumptions!T169</f>
        <v>8000</v>
      </c>
      <c r="U9">
        <f>Assumptions!U169</f>
        <v>8000</v>
      </c>
      <c r="V9">
        <f>Assumptions!V169</f>
        <v>8000</v>
      </c>
      <c r="Y9">
        <f>Assumptions!Y169</f>
        <v>9000</v>
      </c>
      <c r="Z9">
        <f>Assumptions!Z169</f>
        <v>9000</v>
      </c>
      <c r="AA9">
        <f>Assumptions!AA169</f>
        <v>9000</v>
      </c>
      <c r="AB9">
        <f>Assumptions!AB169</f>
        <v>9000</v>
      </c>
      <c r="AC9">
        <f>Assumptions!AC169</f>
        <v>9000</v>
      </c>
      <c r="AG9">
        <f>Assumptions!AG169</f>
        <v>18000</v>
      </c>
      <c r="AH9">
        <f>Assumptions!AH169</f>
        <v>18000</v>
      </c>
      <c r="AI9">
        <f>Assumptions!AI169</f>
        <v>18000</v>
      </c>
      <c r="AJ9">
        <f>Assumptions!AJ169</f>
        <v>18000</v>
      </c>
      <c r="AK9">
        <f>Assumptions!AK169</f>
        <v>18000</v>
      </c>
    </row>
    <row r="10" spans="1:37" ht="29">
      <c r="A10" s="216"/>
      <c r="B10" s="1" t="s">
        <v>153</v>
      </c>
      <c r="C10" s="1"/>
      <c r="F10">
        <f>Assumptions!F170</f>
        <v>133.33333333333334</v>
      </c>
      <c r="G10">
        <f>Assumptions!G170</f>
        <v>264.44444444444446</v>
      </c>
      <c r="H10">
        <f>Assumptions!H170</f>
        <v>393.37037037037038</v>
      </c>
      <c r="I10">
        <f>Assumptions!I170</f>
        <v>520.14753086419751</v>
      </c>
      <c r="J10">
        <f>Assumptions!J170</f>
        <v>644.81173868312749</v>
      </c>
      <c r="K10">
        <f>Assumptions!K170</f>
        <v>767.39820970507537</v>
      </c>
      <c r="L10">
        <f>Assumptions!L170</f>
        <v>887.94157287665746</v>
      </c>
      <c r="M10">
        <f>Assumptions!M170</f>
        <v>1006.4758799953798</v>
      </c>
      <c r="N10">
        <f>Assumptions!N170</f>
        <v>1123.0346153287901</v>
      </c>
      <c r="O10">
        <f>Assumptions!O170</f>
        <v>1237.6507050733103</v>
      </c>
      <c r="P10">
        <f>Assumptions!P170</f>
        <v>1350.3565266554217</v>
      </c>
      <c r="Q10">
        <f>Assumptions!Q170</f>
        <v>1461.1839178778314</v>
      </c>
      <c r="R10">
        <f>Assumptions!R170</f>
        <v>2109.1839178778314</v>
      </c>
      <c r="S10">
        <f>Assumptions!S170</f>
        <v>2692.3839178778317</v>
      </c>
      <c r="T10">
        <f>Assumptions!T170</f>
        <v>3716.3839178778317</v>
      </c>
      <c r="U10">
        <f>Assumptions!U170</f>
        <v>4535.5839178778315</v>
      </c>
      <c r="V10">
        <f>Assumptions!V170</f>
        <v>7812.3839178778317</v>
      </c>
      <c r="Y10">
        <f>Assumptions!Y170</f>
        <v>1800</v>
      </c>
      <c r="Z10">
        <f>Assumptions!Z170</f>
        <v>3240</v>
      </c>
      <c r="AA10">
        <f>Assumptions!AA170</f>
        <v>4392</v>
      </c>
      <c r="AB10">
        <f>Assumptions!AB170</f>
        <v>5313.6</v>
      </c>
      <c r="AC10">
        <f>Assumptions!AC170</f>
        <v>9000</v>
      </c>
      <c r="AG10">
        <f>Assumptions!AG170</f>
        <v>3600</v>
      </c>
      <c r="AH10">
        <f>Assumptions!AH170</f>
        <v>6480</v>
      </c>
      <c r="AI10">
        <f>Assumptions!AI170</f>
        <v>8784</v>
      </c>
      <c r="AJ10">
        <f>Assumptions!AJ170</f>
        <v>10627.2</v>
      </c>
      <c r="AK10">
        <f>Assumptions!AK170</f>
        <v>18000</v>
      </c>
    </row>
    <row r="11" spans="1:37">
      <c r="A11" s="216"/>
      <c r="B11" s="1" t="s">
        <v>266</v>
      </c>
      <c r="C11" s="1"/>
      <c r="F11">
        <f>Assumptions!F171</f>
        <v>7866.666666666667</v>
      </c>
      <c r="G11">
        <f>Assumptions!G171</f>
        <v>7735.5555555555557</v>
      </c>
      <c r="H11">
        <f>Assumptions!H171</f>
        <v>7606.6296296296296</v>
      </c>
      <c r="I11">
        <f>Assumptions!I171</f>
        <v>7479.8524691358025</v>
      </c>
      <c r="J11">
        <f>Assumptions!J171</f>
        <v>7355.1882613168727</v>
      </c>
      <c r="K11">
        <f>Assumptions!K171</f>
        <v>7232.6017902949243</v>
      </c>
      <c r="L11">
        <f>Assumptions!L171</f>
        <v>7112.0584271233429</v>
      </c>
      <c r="M11">
        <f>Assumptions!M171</f>
        <v>6993.5241200046203</v>
      </c>
      <c r="N11">
        <f>Assumptions!N171</f>
        <v>6876.9653846712099</v>
      </c>
      <c r="O11">
        <f>Assumptions!O171</f>
        <v>6762.3492949266893</v>
      </c>
      <c r="P11">
        <f>Assumptions!P171</f>
        <v>6649.6434733445785</v>
      </c>
      <c r="Q11">
        <f>Assumptions!Q171</f>
        <v>6538.8160821221682</v>
      </c>
      <c r="R11">
        <f>Assumptions!R171</f>
        <v>5890.8160821221682</v>
      </c>
      <c r="S11">
        <f>Assumptions!S171</f>
        <v>5307.6160821221683</v>
      </c>
      <c r="T11">
        <f>Assumptions!T171</f>
        <v>4283.6160821221683</v>
      </c>
      <c r="U11">
        <f>Assumptions!U171</f>
        <v>3464.4160821221685</v>
      </c>
      <c r="V11">
        <f>Assumptions!V171</f>
        <v>187.61608212216834</v>
      </c>
      <c r="Y11">
        <f>Assumptions!Y171</f>
        <v>7200</v>
      </c>
      <c r="Z11">
        <f>Assumptions!Z171</f>
        <v>5760</v>
      </c>
      <c r="AA11">
        <f>Assumptions!AA171</f>
        <v>4608</v>
      </c>
      <c r="AB11">
        <f>Assumptions!AB171</f>
        <v>3686.3999999999996</v>
      </c>
      <c r="AC11">
        <f>Assumptions!AC171</f>
        <v>0</v>
      </c>
      <c r="AG11">
        <f>Assumptions!AG171</f>
        <v>14400</v>
      </c>
      <c r="AH11">
        <f>Assumptions!AH171</f>
        <v>11520</v>
      </c>
      <c r="AI11">
        <f>Assumptions!AI171</f>
        <v>9216</v>
      </c>
      <c r="AJ11">
        <f>Assumptions!AJ171</f>
        <v>7372.7999999999993</v>
      </c>
      <c r="AK11">
        <f>Assumptions!AK171</f>
        <v>0</v>
      </c>
    </row>
    <row r="12" spans="1:37">
      <c r="A12" s="216"/>
      <c r="B12" s="1"/>
      <c r="C12" s="1"/>
    </row>
    <row r="13" spans="1:37">
      <c r="A13" s="216" t="s">
        <v>264</v>
      </c>
      <c r="B13" s="1" t="s">
        <v>85</v>
      </c>
      <c r="C13" s="1"/>
      <c r="F13">
        <f>Assumptions!F179</f>
        <v>90000</v>
      </c>
      <c r="G13">
        <f>Assumptions!G179</f>
        <v>90000</v>
      </c>
      <c r="H13">
        <f>Assumptions!H179</f>
        <v>90000</v>
      </c>
      <c r="I13">
        <f>Assumptions!I179</f>
        <v>90000</v>
      </c>
      <c r="J13">
        <f>Assumptions!J179</f>
        <v>90000</v>
      </c>
      <c r="K13">
        <f>Assumptions!K179</f>
        <v>90000</v>
      </c>
      <c r="L13">
        <f>Assumptions!L179</f>
        <v>90000</v>
      </c>
      <c r="M13">
        <f>Assumptions!M179</f>
        <v>90000</v>
      </c>
      <c r="N13">
        <f>Assumptions!N179</f>
        <v>90000</v>
      </c>
      <c r="O13">
        <f>Assumptions!O179</f>
        <v>90000</v>
      </c>
      <c r="P13">
        <f>Assumptions!P179</f>
        <v>90000</v>
      </c>
      <c r="Q13">
        <f>Assumptions!Q179</f>
        <v>90000</v>
      </c>
      <c r="R13">
        <f>Assumptions!R179</f>
        <v>90000</v>
      </c>
      <c r="S13">
        <f>Assumptions!S179</f>
        <v>90000</v>
      </c>
      <c r="T13">
        <f>Assumptions!T179</f>
        <v>90000</v>
      </c>
      <c r="U13">
        <f>Assumptions!U179</f>
        <v>114720</v>
      </c>
      <c r="V13">
        <f>Assumptions!V179</f>
        <v>114720</v>
      </c>
      <c r="Y13">
        <f>Assumptions!Y179</f>
        <v>114720</v>
      </c>
      <c r="Z13">
        <f>Assumptions!Z179</f>
        <v>114720</v>
      </c>
      <c r="AA13">
        <f>Assumptions!AA179</f>
        <v>114720</v>
      </c>
      <c r="AB13">
        <f>Assumptions!AB179</f>
        <v>15000</v>
      </c>
      <c r="AC13">
        <f>Assumptions!AC179</f>
        <v>15000</v>
      </c>
      <c r="AG13">
        <f>Assumptions!AG179</f>
        <v>128720</v>
      </c>
      <c r="AH13">
        <f>Assumptions!AH179</f>
        <v>128720</v>
      </c>
      <c r="AI13">
        <f>Assumptions!AI179</f>
        <v>128720</v>
      </c>
      <c r="AJ13">
        <f>Assumptions!AJ179</f>
        <v>29000</v>
      </c>
      <c r="AK13">
        <f>Assumptions!AK179</f>
        <v>29000</v>
      </c>
    </row>
    <row r="14" spans="1:37" ht="29">
      <c r="A14" s="216"/>
      <c r="B14" s="1" t="s">
        <v>153</v>
      </c>
      <c r="C14" s="1"/>
      <c r="F14">
        <f>Assumptions!F180</f>
        <v>2500</v>
      </c>
      <c r="G14">
        <f>Assumptions!G180</f>
        <v>5000</v>
      </c>
      <c r="H14">
        <f>Assumptions!H180</f>
        <v>7500</v>
      </c>
      <c r="I14">
        <f>Assumptions!I180</f>
        <v>10000</v>
      </c>
      <c r="J14">
        <f>Assumptions!J180</f>
        <v>12500</v>
      </c>
      <c r="K14">
        <f>Assumptions!K180</f>
        <v>15000</v>
      </c>
      <c r="L14">
        <f>Assumptions!L180</f>
        <v>17500</v>
      </c>
      <c r="M14">
        <f>Assumptions!M180</f>
        <v>20000</v>
      </c>
      <c r="N14">
        <f>Assumptions!N180</f>
        <v>22500</v>
      </c>
      <c r="O14">
        <f>Assumptions!O180</f>
        <v>25000</v>
      </c>
      <c r="P14">
        <f>Assumptions!P180</f>
        <v>27500</v>
      </c>
      <c r="Q14">
        <f>Assumptions!Q180</f>
        <v>30000</v>
      </c>
      <c r="R14">
        <f>Assumptions!R180</f>
        <v>45000</v>
      </c>
      <c r="S14">
        <f>Assumptions!S180</f>
        <v>60000</v>
      </c>
      <c r="T14">
        <f>Assumptions!T180</f>
        <v>90000</v>
      </c>
      <c r="U14">
        <f>Assumptions!U180</f>
        <v>22944</v>
      </c>
      <c r="V14">
        <f>Assumptions!V180</f>
        <v>45888</v>
      </c>
      <c r="Y14">
        <f>Assumptions!Y180</f>
        <v>68832</v>
      </c>
      <c r="Z14">
        <f>Assumptions!Z180</f>
        <v>91776</v>
      </c>
      <c r="AA14">
        <f>Assumptions!AA180</f>
        <v>114720</v>
      </c>
      <c r="AB14">
        <f>Assumptions!AB180</f>
        <v>3000</v>
      </c>
      <c r="AC14">
        <f>Assumptions!AC180</f>
        <v>6000</v>
      </c>
      <c r="AG14">
        <f>Assumptions!AG180</f>
        <v>70832</v>
      </c>
      <c r="AH14">
        <f>Assumptions!AH180</f>
        <v>95776</v>
      </c>
      <c r="AI14">
        <f>Assumptions!AI180</f>
        <v>120720</v>
      </c>
      <c r="AJ14">
        <f>Assumptions!AJ180</f>
        <v>11000</v>
      </c>
      <c r="AK14">
        <f>Assumptions!AK180</f>
        <v>5000</v>
      </c>
    </row>
    <row r="15" spans="1:37">
      <c r="A15" s="216"/>
      <c r="B15" s="1" t="s">
        <v>266</v>
      </c>
      <c r="C15" s="1"/>
      <c r="F15">
        <f>Assumptions!F181</f>
        <v>87500</v>
      </c>
      <c r="G15">
        <f>Assumptions!G181</f>
        <v>85000</v>
      </c>
      <c r="H15">
        <f>Assumptions!H181</f>
        <v>82500</v>
      </c>
      <c r="I15">
        <f>Assumptions!I181</f>
        <v>80000</v>
      </c>
      <c r="J15">
        <f>Assumptions!J181</f>
        <v>77500</v>
      </c>
      <c r="K15">
        <f>Assumptions!K181</f>
        <v>75000</v>
      </c>
      <c r="L15">
        <f>Assumptions!L181</f>
        <v>72500</v>
      </c>
      <c r="M15">
        <f>Assumptions!M181</f>
        <v>70000</v>
      </c>
      <c r="N15">
        <f>Assumptions!N181</f>
        <v>67500</v>
      </c>
      <c r="O15">
        <f>Assumptions!O181</f>
        <v>65000</v>
      </c>
      <c r="P15">
        <f>Assumptions!P181</f>
        <v>62500</v>
      </c>
      <c r="Q15">
        <f>Assumptions!Q181</f>
        <v>60000</v>
      </c>
      <c r="R15">
        <f>Assumptions!R181</f>
        <v>45000</v>
      </c>
      <c r="S15">
        <f>Assumptions!S181</f>
        <v>30000</v>
      </c>
      <c r="T15">
        <f>Assumptions!T181</f>
        <v>0</v>
      </c>
      <c r="U15">
        <f>Assumptions!U181</f>
        <v>91776</v>
      </c>
      <c r="V15">
        <f>Assumptions!V181</f>
        <v>68832</v>
      </c>
      <c r="Y15">
        <f>Assumptions!Y181</f>
        <v>45888</v>
      </c>
      <c r="Z15">
        <f>Assumptions!Z181</f>
        <v>22944</v>
      </c>
      <c r="AA15">
        <f>Assumptions!AA181</f>
        <v>0</v>
      </c>
      <c r="AB15">
        <f>Assumptions!AB181</f>
        <v>12000</v>
      </c>
      <c r="AC15">
        <f>Assumptions!AC181</f>
        <v>9000</v>
      </c>
      <c r="AG15">
        <f>Assumptions!AG181</f>
        <v>57888</v>
      </c>
      <c r="AH15">
        <f>Assumptions!AH181</f>
        <v>32944</v>
      </c>
      <c r="AI15">
        <f>Assumptions!AI181</f>
        <v>8000</v>
      </c>
      <c r="AJ15">
        <f>Assumptions!AJ181</f>
        <v>18000</v>
      </c>
      <c r="AK15">
        <f>Assumptions!AK181</f>
        <v>24000</v>
      </c>
    </row>
    <row r="16" spans="1:37">
      <c r="A16" s="216"/>
      <c r="B16" s="1"/>
      <c r="C16" s="1"/>
    </row>
    <row r="17" spans="1:37">
      <c r="A17" s="216" t="s">
        <v>202</v>
      </c>
      <c r="B17" s="1" t="s">
        <v>85</v>
      </c>
      <c r="C17" s="1"/>
      <c r="F17">
        <f>Assumptions!F188</f>
        <v>20000</v>
      </c>
      <c r="G17">
        <f>Assumptions!G188</f>
        <v>20000</v>
      </c>
      <c r="H17">
        <f>Assumptions!H188</f>
        <v>20000</v>
      </c>
      <c r="I17">
        <f>Assumptions!I188</f>
        <v>20000</v>
      </c>
      <c r="J17">
        <f>Assumptions!J188</f>
        <v>20000</v>
      </c>
      <c r="K17">
        <f>Assumptions!K188</f>
        <v>20000</v>
      </c>
      <c r="L17">
        <f>Assumptions!L188</f>
        <v>20000</v>
      </c>
      <c r="M17">
        <f>Assumptions!M188</f>
        <v>20000</v>
      </c>
      <c r="N17">
        <f>Assumptions!N188</f>
        <v>20000</v>
      </c>
      <c r="O17">
        <f>Assumptions!O188</f>
        <v>20000</v>
      </c>
      <c r="P17">
        <f>Assumptions!P188</f>
        <v>20000</v>
      </c>
      <c r="Q17">
        <f>Assumptions!Q188</f>
        <v>20000</v>
      </c>
      <c r="R17">
        <f>Assumptions!R188</f>
        <v>20000</v>
      </c>
      <c r="S17">
        <f>Assumptions!S188</f>
        <v>20000</v>
      </c>
      <c r="T17">
        <f>Assumptions!T188</f>
        <v>20000</v>
      </c>
      <c r="U17">
        <f>Assumptions!U188</f>
        <v>20000</v>
      </c>
      <c r="V17">
        <f>Assumptions!V188</f>
        <v>20000</v>
      </c>
      <c r="Y17">
        <f>Assumptions!Y188</f>
        <v>20000</v>
      </c>
      <c r="Z17">
        <f>Assumptions!Z188</f>
        <v>20000</v>
      </c>
      <c r="AA17">
        <f>Assumptions!AA188</f>
        <v>20000</v>
      </c>
      <c r="AB17">
        <f>Assumptions!AB188</f>
        <v>20000</v>
      </c>
      <c r="AC17">
        <f>Assumptions!AC188</f>
        <v>20000</v>
      </c>
      <c r="AG17">
        <f>Assumptions!AG188</f>
        <v>42000</v>
      </c>
      <c r="AH17">
        <f>Assumptions!AH188</f>
        <v>42000</v>
      </c>
      <c r="AI17">
        <f>Assumptions!AI188</f>
        <v>42000</v>
      </c>
      <c r="AJ17">
        <f>Assumptions!AJ188</f>
        <v>42000</v>
      </c>
      <c r="AK17">
        <f>Assumptions!AK188</f>
        <v>42000</v>
      </c>
    </row>
    <row r="18" spans="1:37" ht="29">
      <c r="A18" s="216"/>
      <c r="B18" s="1" t="s">
        <v>153</v>
      </c>
      <c r="C18" s="1"/>
      <c r="F18">
        <f>Assumptions!F189</f>
        <v>167</v>
      </c>
      <c r="G18">
        <f>Assumptions!G189</f>
        <v>334</v>
      </c>
      <c r="H18">
        <f>Assumptions!H189</f>
        <v>501</v>
      </c>
      <c r="I18">
        <f>Assumptions!I189</f>
        <v>668</v>
      </c>
      <c r="J18">
        <f>Assumptions!J189</f>
        <v>835</v>
      </c>
      <c r="K18">
        <f>Assumptions!K189</f>
        <v>1002</v>
      </c>
      <c r="L18">
        <f>Assumptions!L189</f>
        <v>1169</v>
      </c>
      <c r="M18">
        <f>Assumptions!M189</f>
        <v>1336</v>
      </c>
      <c r="N18">
        <f>Assumptions!N189</f>
        <v>1503</v>
      </c>
      <c r="O18">
        <f>Assumptions!O189</f>
        <v>1670</v>
      </c>
      <c r="P18">
        <f>Assumptions!P189</f>
        <v>1837</v>
      </c>
      <c r="Q18">
        <f>Assumptions!Q189</f>
        <v>2004</v>
      </c>
      <c r="R18">
        <f>Assumptions!R189</f>
        <v>3004</v>
      </c>
      <c r="S18">
        <f>Assumptions!S189</f>
        <v>4004</v>
      </c>
      <c r="T18">
        <f>Assumptions!T189</f>
        <v>6004</v>
      </c>
      <c r="U18">
        <f>Assumptions!U189</f>
        <v>8004</v>
      </c>
      <c r="V18">
        <f>Assumptions!V189</f>
        <v>10004</v>
      </c>
      <c r="Y18">
        <f>Assumptions!Y189</f>
        <v>12004</v>
      </c>
      <c r="Z18">
        <f>Assumptions!Z189</f>
        <v>14004</v>
      </c>
      <c r="AA18">
        <f>Assumptions!AA189</f>
        <v>16004</v>
      </c>
      <c r="AB18">
        <f>Assumptions!AB189</f>
        <v>18004</v>
      </c>
      <c r="AC18">
        <f>Assumptions!AC189</f>
        <v>20004</v>
      </c>
      <c r="AG18">
        <f>Assumptions!AG189</f>
        <v>14004</v>
      </c>
      <c r="AH18">
        <f>Assumptions!AH189</f>
        <v>18004</v>
      </c>
      <c r="AI18">
        <f>Assumptions!AI189</f>
        <v>22004</v>
      </c>
      <c r="AJ18">
        <f>Assumptions!AJ189</f>
        <v>26004</v>
      </c>
      <c r="AK18">
        <f>Assumptions!AK189</f>
        <v>30004</v>
      </c>
    </row>
    <row r="19" spans="1:37">
      <c r="A19" s="216"/>
      <c r="B19" s="1" t="s">
        <v>266</v>
      </c>
      <c r="C19" s="1"/>
      <c r="F19">
        <f>Assumptions!F190</f>
        <v>19833</v>
      </c>
      <c r="G19">
        <f>Assumptions!G190</f>
        <v>19666</v>
      </c>
      <c r="H19">
        <f>Assumptions!H190</f>
        <v>19499</v>
      </c>
      <c r="I19">
        <f>Assumptions!I190</f>
        <v>19332</v>
      </c>
      <c r="J19">
        <f>Assumptions!J190</f>
        <v>19165</v>
      </c>
      <c r="K19">
        <f>Assumptions!K190</f>
        <v>18998</v>
      </c>
      <c r="L19">
        <f>Assumptions!L190</f>
        <v>18831</v>
      </c>
      <c r="M19">
        <f>Assumptions!M190</f>
        <v>18664</v>
      </c>
      <c r="N19">
        <f>Assumptions!N190</f>
        <v>18497</v>
      </c>
      <c r="O19">
        <f>Assumptions!O190</f>
        <v>18330</v>
      </c>
      <c r="P19">
        <f>Assumptions!P190</f>
        <v>18163</v>
      </c>
      <c r="Q19">
        <f>Assumptions!Q190</f>
        <v>17996</v>
      </c>
      <c r="R19">
        <f>Assumptions!R190</f>
        <v>16996</v>
      </c>
      <c r="S19">
        <f>Assumptions!S190</f>
        <v>15996</v>
      </c>
      <c r="T19">
        <f>Assumptions!T190</f>
        <v>13996</v>
      </c>
      <c r="U19">
        <f>Assumptions!U190</f>
        <v>11996</v>
      </c>
      <c r="V19">
        <f>Assumptions!V190</f>
        <v>9996</v>
      </c>
      <c r="Y19">
        <f>Assumptions!Y190</f>
        <v>7996</v>
      </c>
      <c r="Z19">
        <f>Assumptions!Z190</f>
        <v>5996</v>
      </c>
      <c r="AA19">
        <f>Assumptions!AA190</f>
        <v>3996</v>
      </c>
      <c r="AB19">
        <f>Assumptions!AB190</f>
        <v>1996</v>
      </c>
      <c r="AC19">
        <f>Assumptions!AC190</f>
        <v>0</v>
      </c>
      <c r="AG19">
        <f>Assumptions!AG190</f>
        <v>27996</v>
      </c>
      <c r="AH19">
        <f>Assumptions!AH190</f>
        <v>23996</v>
      </c>
      <c r="AI19">
        <f>Assumptions!AI190</f>
        <v>19996</v>
      </c>
      <c r="AJ19">
        <f>Assumptions!AJ190</f>
        <v>15996</v>
      </c>
      <c r="AK19">
        <f>Assumptions!AK190</f>
        <v>11996</v>
      </c>
    </row>
    <row r="20" spans="1:37">
      <c r="A20" s="216"/>
      <c r="B20" s="1"/>
      <c r="C20" s="1"/>
    </row>
    <row r="21" spans="1:37">
      <c r="A21" s="216" t="s">
        <v>203</v>
      </c>
      <c r="B21" s="1" t="s">
        <v>85</v>
      </c>
      <c r="C21" s="1"/>
      <c r="F21">
        <f>Assumptions!F197</f>
        <v>0</v>
      </c>
      <c r="G21">
        <f>Assumptions!G197</f>
        <v>0</v>
      </c>
      <c r="H21">
        <f>Assumptions!H197</f>
        <v>0</v>
      </c>
      <c r="I21">
        <f>Assumptions!I197</f>
        <v>0</v>
      </c>
      <c r="J21">
        <f>Assumptions!J197</f>
        <v>0</v>
      </c>
      <c r="K21">
        <f>Assumptions!K197</f>
        <v>0</v>
      </c>
      <c r="L21">
        <f>Assumptions!L197</f>
        <v>0</v>
      </c>
      <c r="M21">
        <f>Assumptions!M197</f>
        <v>0</v>
      </c>
      <c r="N21">
        <f>Assumptions!N197</f>
        <v>0</v>
      </c>
      <c r="O21">
        <f>Assumptions!O197</f>
        <v>0</v>
      </c>
      <c r="P21">
        <f>Assumptions!P197</f>
        <v>0</v>
      </c>
      <c r="Q21">
        <f>Assumptions!Q197</f>
        <v>0</v>
      </c>
      <c r="R21">
        <f>Assumptions!R197</f>
        <v>0</v>
      </c>
      <c r="S21">
        <f>Assumptions!S197</f>
        <v>0</v>
      </c>
      <c r="T21">
        <f>Assumptions!T197</f>
        <v>0</v>
      </c>
      <c r="U21">
        <f>Assumptions!U197</f>
        <v>0</v>
      </c>
      <c r="V21">
        <f>Assumptions!V197</f>
        <v>0</v>
      </c>
      <c r="Y21">
        <f>Assumptions!Y197</f>
        <v>0</v>
      </c>
      <c r="Z21">
        <f>Assumptions!Z197</f>
        <v>0</v>
      </c>
      <c r="AA21">
        <f>Assumptions!AA197</f>
        <v>0</v>
      </c>
      <c r="AB21">
        <f>Assumptions!AB197</f>
        <v>0</v>
      </c>
      <c r="AC21">
        <f>Assumptions!AC197</f>
        <v>0</v>
      </c>
      <c r="AG21">
        <f>Assumptions!AG197</f>
        <v>50000</v>
      </c>
      <c r="AH21">
        <f>Assumptions!AH197</f>
        <v>50000</v>
      </c>
      <c r="AI21">
        <f>Assumptions!AI197</f>
        <v>50000</v>
      </c>
      <c r="AJ21">
        <f>Assumptions!AJ197</f>
        <v>50000</v>
      </c>
      <c r="AK21">
        <f>Assumptions!AK197</f>
        <v>50000</v>
      </c>
    </row>
    <row r="22" spans="1:37" ht="29">
      <c r="A22" s="216"/>
      <c r="B22" s="1" t="s">
        <v>153</v>
      </c>
      <c r="C22" s="1"/>
      <c r="F22">
        <f>Assumptions!F198</f>
        <v>0</v>
      </c>
      <c r="G22">
        <f>Assumptions!G198</f>
        <v>0</v>
      </c>
      <c r="H22">
        <f>Assumptions!H198</f>
        <v>0</v>
      </c>
      <c r="I22">
        <f>Assumptions!I198</f>
        <v>0</v>
      </c>
      <c r="J22">
        <f>Assumptions!J198</f>
        <v>0</v>
      </c>
      <c r="K22">
        <f>Assumptions!K198</f>
        <v>0</v>
      </c>
      <c r="L22">
        <f>Assumptions!L198</f>
        <v>0</v>
      </c>
      <c r="M22">
        <f>Assumptions!M198</f>
        <v>0</v>
      </c>
      <c r="N22">
        <f>Assumptions!N198</f>
        <v>0</v>
      </c>
      <c r="O22">
        <f>Assumptions!O198</f>
        <v>0</v>
      </c>
      <c r="P22">
        <f>Assumptions!P198</f>
        <v>0</v>
      </c>
      <c r="Q22">
        <f>Assumptions!Q198</f>
        <v>0</v>
      </c>
      <c r="R22">
        <f>Assumptions!R198</f>
        <v>0</v>
      </c>
      <c r="S22">
        <f>Assumptions!S198</f>
        <v>0</v>
      </c>
      <c r="T22">
        <f>Assumptions!T198</f>
        <v>0</v>
      </c>
      <c r="U22">
        <f>Assumptions!U198</f>
        <v>0</v>
      </c>
      <c r="V22">
        <f>Assumptions!V198</f>
        <v>0</v>
      </c>
      <c r="Y22">
        <f>Assumptions!Y198</f>
        <v>0</v>
      </c>
      <c r="Z22">
        <f>Assumptions!Z198</f>
        <v>0</v>
      </c>
      <c r="AA22">
        <f>Assumptions!AA198</f>
        <v>0</v>
      </c>
      <c r="AB22">
        <f>Assumptions!AB198</f>
        <v>0</v>
      </c>
      <c r="AC22">
        <f>Assumptions!AC198</f>
        <v>0</v>
      </c>
      <c r="AG22">
        <f>Assumptions!AG198</f>
        <v>5937.5</v>
      </c>
      <c r="AH22">
        <f>Assumptions!AH198</f>
        <v>11169.921875</v>
      </c>
      <c r="AI22">
        <f>Assumptions!AI198</f>
        <v>15780.99365234375</v>
      </c>
      <c r="AJ22">
        <f>Assumptions!AJ198</f>
        <v>19844.50065612793</v>
      </c>
      <c r="AK22">
        <f>Assumptions!AK198</f>
        <v>23425.466203212738</v>
      </c>
    </row>
    <row r="23" spans="1:37">
      <c r="A23" s="216"/>
      <c r="B23" s="1" t="s">
        <v>266</v>
      </c>
      <c r="C23" s="1"/>
      <c r="F23">
        <f>Assumptions!F199</f>
        <v>0</v>
      </c>
      <c r="G23">
        <f>Assumptions!G199</f>
        <v>0</v>
      </c>
      <c r="H23">
        <f>Assumptions!H199</f>
        <v>0</v>
      </c>
      <c r="I23">
        <f>Assumptions!I199</f>
        <v>0</v>
      </c>
      <c r="J23">
        <f>Assumptions!J199</f>
        <v>0</v>
      </c>
      <c r="K23">
        <f>Assumptions!K199</f>
        <v>0</v>
      </c>
      <c r="L23">
        <f>Assumptions!L199</f>
        <v>0</v>
      </c>
      <c r="M23">
        <f>Assumptions!M199</f>
        <v>0</v>
      </c>
      <c r="N23">
        <f>Assumptions!N199</f>
        <v>0</v>
      </c>
      <c r="O23">
        <f>Assumptions!O199</f>
        <v>0</v>
      </c>
      <c r="P23">
        <f>Assumptions!P199</f>
        <v>0</v>
      </c>
      <c r="Q23">
        <f>Assumptions!Q199</f>
        <v>0</v>
      </c>
      <c r="R23">
        <f>Assumptions!R199</f>
        <v>0</v>
      </c>
      <c r="S23">
        <f>Assumptions!S199</f>
        <v>0</v>
      </c>
      <c r="T23">
        <f>Assumptions!T199</f>
        <v>0</v>
      </c>
      <c r="U23">
        <f>Assumptions!U199</f>
        <v>0</v>
      </c>
      <c r="V23">
        <f>Assumptions!V199</f>
        <v>0</v>
      </c>
      <c r="Y23">
        <f>Assumptions!Y199</f>
        <v>0</v>
      </c>
      <c r="Z23">
        <f>Assumptions!Z199</f>
        <v>0</v>
      </c>
      <c r="AA23">
        <f>Assumptions!AA199</f>
        <v>0</v>
      </c>
      <c r="AB23">
        <f>Assumptions!AB199</f>
        <v>0</v>
      </c>
      <c r="AC23">
        <f>Assumptions!AC199</f>
        <v>0</v>
      </c>
      <c r="AG23">
        <f>Assumptions!AG199</f>
        <v>44062.5</v>
      </c>
      <c r="AH23">
        <f>Assumptions!AH199</f>
        <v>38830.078125</v>
      </c>
      <c r="AI23">
        <f>Assumptions!AI199</f>
        <v>34219.00634765625</v>
      </c>
      <c r="AJ23">
        <f>Assumptions!AJ199</f>
        <v>30155.49934387207</v>
      </c>
      <c r="AK23">
        <f>Assumptions!AK199</f>
        <v>26574.533796787262</v>
      </c>
    </row>
    <row r="24" spans="1:37">
      <c r="A24" s="216"/>
      <c r="B24" s="1"/>
      <c r="C24" s="1"/>
    </row>
    <row r="25" spans="1:37" ht="29">
      <c r="A25" s="216" t="s">
        <v>265</v>
      </c>
      <c r="B25" s="1" t="s">
        <v>85</v>
      </c>
      <c r="C25" s="1"/>
      <c r="F25">
        <f>Assumptions!F206</f>
        <v>0</v>
      </c>
      <c r="G25">
        <f>Assumptions!G206</f>
        <v>0</v>
      </c>
      <c r="H25">
        <f>Assumptions!H206</f>
        <v>0</v>
      </c>
      <c r="I25">
        <f>Assumptions!I206</f>
        <v>0</v>
      </c>
      <c r="J25">
        <f>Assumptions!J206</f>
        <v>0</v>
      </c>
      <c r="K25">
        <f>Assumptions!K206</f>
        <v>0</v>
      </c>
      <c r="L25">
        <f>Assumptions!L206</f>
        <v>0</v>
      </c>
      <c r="M25">
        <f>Assumptions!M206</f>
        <v>0</v>
      </c>
      <c r="N25">
        <f>Assumptions!N206</f>
        <v>0</v>
      </c>
      <c r="O25">
        <f>Assumptions!O206</f>
        <v>0</v>
      </c>
      <c r="P25">
        <f>Assumptions!P206</f>
        <v>0</v>
      </c>
      <c r="Q25">
        <f>Assumptions!Q206</f>
        <v>0</v>
      </c>
      <c r="R25">
        <f>Assumptions!R206</f>
        <v>0</v>
      </c>
      <c r="S25">
        <f>Assumptions!S206</f>
        <v>0</v>
      </c>
      <c r="T25">
        <f>Assumptions!T206</f>
        <v>0</v>
      </c>
      <c r="U25">
        <f>Assumptions!U206</f>
        <v>0</v>
      </c>
      <c r="V25">
        <f>Assumptions!V206</f>
        <v>0</v>
      </c>
      <c r="Y25">
        <f>Assumptions!Y206</f>
        <v>0</v>
      </c>
      <c r="Z25">
        <f>Assumptions!Z206</f>
        <v>0</v>
      </c>
      <c r="AA25">
        <f>Assumptions!AA206</f>
        <v>0</v>
      </c>
      <c r="AB25">
        <f>Assumptions!AB206</f>
        <v>0</v>
      </c>
      <c r="AC25">
        <f>Assumptions!AC206</f>
        <v>0</v>
      </c>
      <c r="AG25">
        <f>Assumptions!AG206</f>
        <v>10000</v>
      </c>
      <c r="AH25">
        <f>Assumptions!AH206</f>
        <v>10000</v>
      </c>
      <c r="AI25">
        <f>Assumptions!AI206</f>
        <v>10000</v>
      </c>
      <c r="AJ25">
        <f>Assumptions!AJ206</f>
        <v>10000</v>
      </c>
      <c r="AK25">
        <f>Assumptions!AK206</f>
        <v>10000</v>
      </c>
    </row>
    <row r="26" spans="1:37" ht="29">
      <c r="A26" s="216"/>
      <c r="B26" s="1" t="s">
        <v>153</v>
      </c>
      <c r="C26" s="1"/>
      <c r="F26">
        <f>Assumptions!F207</f>
        <v>0</v>
      </c>
      <c r="G26">
        <f>Assumptions!G207</f>
        <v>0</v>
      </c>
      <c r="H26">
        <f>Assumptions!H207</f>
        <v>0</v>
      </c>
      <c r="I26">
        <f>Assumptions!I207</f>
        <v>0</v>
      </c>
      <c r="J26">
        <f>Assumptions!J207</f>
        <v>0</v>
      </c>
      <c r="K26">
        <f>Assumptions!K207</f>
        <v>0</v>
      </c>
      <c r="L26">
        <f>Assumptions!L207</f>
        <v>0</v>
      </c>
      <c r="M26">
        <f>Assumptions!M207</f>
        <v>0</v>
      </c>
      <c r="N26">
        <f>Assumptions!N207</f>
        <v>0</v>
      </c>
      <c r="O26">
        <f>Assumptions!O207</f>
        <v>0</v>
      </c>
      <c r="P26">
        <f>Assumptions!P207</f>
        <v>0</v>
      </c>
      <c r="Q26">
        <f>Assumptions!Q207</f>
        <v>0</v>
      </c>
      <c r="R26">
        <f>Assumptions!R207</f>
        <v>0</v>
      </c>
      <c r="S26">
        <f>Assumptions!S207</f>
        <v>0</v>
      </c>
      <c r="T26">
        <f>Assumptions!T207</f>
        <v>0</v>
      </c>
      <c r="U26">
        <f>Assumptions!U207</f>
        <v>0</v>
      </c>
      <c r="V26">
        <f>Assumptions!V207</f>
        <v>0</v>
      </c>
      <c r="Y26">
        <f>Assumptions!Y207</f>
        <v>0</v>
      </c>
      <c r="Z26">
        <f>Assumptions!Z207</f>
        <v>0</v>
      </c>
      <c r="AA26">
        <f>Assumptions!AA207</f>
        <v>0</v>
      </c>
      <c r="AB26">
        <f>Assumptions!AB207</f>
        <v>0</v>
      </c>
      <c r="AC26">
        <f>Assumptions!AC207</f>
        <v>0</v>
      </c>
      <c r="AG26">
        <f>Assumptions!AG207</f>
        <v>667</v>
      </c>
      <c r="AH26">
        <f>Assumptions!AH207</f>
        <v>1334</v>
      </c>
      <c r="AI26">
        <f>Assumptions!AI207</f>
        <v>2001</v>
      </c>
      <c r="AJ26">
        <f>Assumptions!AJ207</f>
        <v>2668</v>
      </c>
      <c r="AK26">
        <f>Assumptions!AK207</f>
        <v>3335</v>
      </c>
    </row>
    <row r="27" spans="1:37">
      <c r="A27" s="216"/>
      <c r="B27" s="1" t="s">
        <v>266</v>
      </c>
      <c r="C27" s="1"/>
      <c r="F27">
        <f>Assumptions!F208</f>
        <v>0</v>
      </c>
      <c r="G27">
        <f>Assumptions!G208</f>
        <v>0</v>
      </c>
      <c r="H27">
        <f>Assumptions!H208</f>
        <v>0</v>
      </c>
      <c r="I27">
        <f>Assumptions!I208</f>
        <v>0</v>
      </c>
      <c r="J27">
        <f>Assumptions!J208</f>
        <v>0</v>
      </c>
      <c r="K27">
        <f>Assumptions!K208</f>
        <v>0</v>
      </c>
      <c r="L27">
        <f>Assumptions!L208</f>
        <v>0</v>
      </c>
      <c r="M27">
        <f>Assumptions!M208</f>
        <v>0</v>
      </c>
      <c r="N27">
        <f>Assumptions!N208</f>
        <v>0</v>
      </c>
      <c r="O27">
        <f>Assumptions!O208</f>
        <v>0</v>
      </c>
      <c r="P27">
        <f>Assumptions!P208</f>
        <v>0</v>
      </c>
      <c r="Q27">
        <f>Assumptions!Q208</f>
        <v>0</v>
      </c>
      <c r="R27">
        <f>Assumptions!R208</f>
        <v>0</v>
      </c>
      <c r="S27">
        <f>Assumptions!S208</f>
        <v>0</v>
      </c>
      <c r="T27">
        <f>Assumptions!T208</f>
        <v>0</v>
      </c>
      <c r="U27">
        <f>Assumptions!U208</f>
        <v>0</v>
      </c>
      <c r="V27">
        <f>Assumptions!V208</f>
        <v>0</v>
      </c>
      <c r="Y27">
        <f>Assumptions!Y208</f>
        <v>0</v>
      </c>
      <c r="Z27">
        <f>Assumptions!Z208</f>
        <v>0</v>
      </c>
      <c r="AA27">
        <f>Assumptions!AA208</f>
        <v>0</v>
      </c>
      <c r="AB27">
        <f>Assumptions!AB208</f>
        <v>0</v>
      </c>
      <c r="AC27">
        <f>Assumptions!AC208</f>
        <v>0</v>
      </c>
      <c r="AG27">
        <f>Assumptions!AG208</f>
        <v>9333</v>
      </c>
      <c r="AH27">
        <f>Assumptions!AH208</f>
        <v>8666</v>
      </c>
      <c r="AI27">
        <f>Assumptions!AI208</f>
        <v>7999</v>
      </c>
      <c r="AJ27">
        <f>Assumptions!AJ208</f>
        <v>7332</v>
      </c>
      <c r="AK27">
        <f>Assumptions!AK208</f>
        <v>6665</v>
      </c>
    </row>
    <row r="28" spans="1:37">
      <c r="A28" s="216"/>
      <c r="B28" s="1"/>
      <c r="C28" s="1"/>
      <c r="F28" s="9">
        <f>F11+F15+F19+F23+F27</f>
        <v>115199.66666666667</v>
      </c>
      <c r="G28" s="9">
        <f t="shared" ref="G28:AK28" si="0">G11+G15+G19+G23+G27</f>
        <v>112401.55555555556</v>
      </c>
      <c r="H28" s="9">
        <f t="shared" si="0"/>
        <v>109605.62962962964</v>
      </c>
      <c r="I28" s="9">
        <f t="shared" si="0"/>
        <v>106811.8524691358</v>
      </c>
      <c r="J28" s="9">
        <f t="shared" si="0"/>
        <v>104020.18826131687</v>
      </c>
      <c r="K28" s="9">
        <f t="shared" si="0"/>
        <v>101230.60179029492</v>
      </c>
      <c r="L28" s="9">
        <f t="shared" si="0"/>
        <v>98443.058427123338</v>
      </c>
      <c r="M28" s="9">
        <f t="shared" si="0"/>
        <v>95657.524120004615</v>
      </c>
      <c r="N28" s="9">
        <f t="shared" si="0"/>
        <v>92873.965384671203</v>
      </c>
      <c r="O28" s="9">
        <f t="shared" si="0"/>
        <v>90092.349294926695</v>
      </c>
      <c r="P28" s="9">
        <f t="shared" si="0"/>
        <v>87312.643473344579</v>
      </c>
      <c r="Q28" s="9">
        <f t="shared" si="0"/>
        <v>84534.816082122168</v>
      </c>
      <c r="R28" s="9">
        <f t="shared" si="0"/>
        <v>67886.816082122168</v>
      </c>
      <c r="S28" s="9">
        <f t="shared" si="0"/>
        <v>51303.616082122171</v>
      </c>
      <c r="T28" s="9">
        <f t="shared" si="0"/>
        <v>18279.616082122167</v>
      </c>
      <c r="U28" s="9">
        <f t="shared" si="0"/>
        <v>107236.41608212217</v>
      </c>
      <c r="V28" s="9">
        <f t="shared" si="0"/>
        <v>79015.616082122171</v>
      </c>
      <c r="W28" s="9"/>
      <c r="X28" s="9"/>
      <c r="Y28" s="9">
        <f t="shared" si="0"/>
        <v>61084</v>
      </c>
      <c r="Z28" s="9">
        <f t="shared" si="0"/>
        <v>34700</v>
      </c>
      <c r="AA28" s="9">
        <f t="shared" si="0"/>
        <v>8604</v>
      </c>
      <c r="AB28" s="9">
        <f t="shared" si="0"/>
        <v>17682.400000000001</v>
      </c>
      <c r="AC28" s="9">
        <f t="shared" si="0"/>
        <v>9000</v>
      </c>
      <c r="AD28" s="9"/>
      <c r="AE28" s="9"/>
      <c r="AF28" s="9"/>
      <c r="AG28" s="9">
        <f t="shared" si="0"/>
        <v>153679.5</v>
      </c>
      <c r="AH28" s="9">
        <f t="shared" si="0"/>
        <v>115956.078125</v>
      </c>
      <c r="AI28" s="9">
        <f t="shared" si="0"/>
        <v>79430.00634765625</v>
      </c>
      <c r="AJ28" s="9">
        <f t="shared" si="0"/>
        <v>78856.299343872073</v>
      </c>
      <c r="AK28" s="9">
        <f t="shared" si="0"/>
        <v>69235.533796787262</v>
      </c>
    </row>
    <row r="29" spans="1:37">
      <c r="A29" s="220"/>
      <c r="B29" s="1"/>
      <c r="C29" s="1"/>
    </row>
    <row r="30" spans="1:37">
      <c r="A30" s="216" t="s">
        <v>113</v>
      </c>
      <c r="B30" s="1"/>
      <c r="C30" s="1"/>
    </row>
    <row r="31" spans="1:37">
      <c r="A31" s="217" t="str">
        <f>Assumptions!A228</f>
        <v>Cash</v>
      </c>
      <c r="B31" s="1">
        <f>Assumptions!B228</f>
        <v>0</v>
      </c>
      <c r="C31" s="1" t="str">
        <f>Assumptions!C228</f>
        <v>from CFS</v>
      </c>
      <c r="D31">
        <f>Assumptions!D228</f>
        <v>0</v>
      </c>
      <c r="E31">
        <f>Assumptions!E228</f>
        <v>0</v>
      </c>
      <c r="F31">
        <f>CFS!F28</f>
        <v>1824</v>
      </c>
      <c r="G31">
        <f>CFS!G28</f>
        <v>47304</v>
      </c>
      <c r="H31">
        <f>CFS!H28</f>
        <v>91745</v>
      </c>
      <c r="I31">
        <f>CFS!I28</f>
        <v>119932</v>
      </c>
      <c r="J31">
        <f>CFS!J28</f>
        <v>168564</v>
      </c>
      <c r="K31">
        <f>CFS!K28</f>
        <v>163215</v>
      </c>
      <c r="L31">
        <f>CFS!L28</f>
        <v>204648</v>
      </c>
      <c r="M31">
        <f>CFS!M28</f>
        <v>199128</v>
      </c>
      <c r="N31">
        <f>CFS!N28</f>
        <v>248258</v>
      </c>
      <c r="O31">
        <f>CFS!O28</f>
        <v>275048</v>
      </c>
      <c r="P31">
        <f>CFS!P28</f>
        <v>321252</v>
      </c>
      <c r="Q31">
        <f>CFS!Q28</f>
        <v>328307</v>
      </c>
      <c r="R31">
        <f>CFS!R28</f>
        <v>1101936</v>
      </c>
      <c r="S31">
        <f>CFS!S28</f>
        <v>1331679</v>
      </c>
      <c r="T31">
        <f>CFS!T28</f>
        <v>2491437</v>
      </c>
      <c r="U31">
        <f>CFS!U28</f>
        <v>2685658</v>
      </c>
      <c r="V31">
        <f>CFS!V28</f>
        <v>3044709</v>
      </c>
      <c r="Y31">
        <f>CFS!Y28</f>
        <v>3422399</v>
      </c>
      <c r="Z31">
        <f>CFS!Z28</f>
        <v>3777191</v>
      </c>
      <c r="AA31">
        <f>CFS!AA28</f>
        <v>3746070</v>
      </c>
      <c r="AB31">
        <f>CFS!AB28</f>
        <v>3592155</v>
      </c>
      <c r="AC31">
        <f>CFS!AC28</f>
        <v>2647646</v>
      </c>
      <c r="AG31">
        <f>CFS!AG28</f>
        <v>9101584</v>
      </c>
      <c r="AH31">
        <f>CFS!AH28</f>
        <v>11114599</v>
      </c>
      <c r="AI31">
        <f>CFS!AI28</f>
        <v>13011917</v>
      </c>
      <c r="AJ31">
        <f>CFS!AJ28</f>
        <v>15074865</v>
      </c>
      <c r="AK31">
        <f>CFS!AK28</f>
        <v>17564723</v>
      </c>
    </row>
    <row r="32" spans="1:37" ht="58">
      <c r="A32" s="217" t="str">
        <f>Assumptions!A229</f>
        <v>Accounts Recievable</v>
      </c>
      <c r="B32" s="1">
        <f>Assumptions!B229</f>
        <v>0</v>
      </c>
      <c r="C32" s="1" t="str">
        <f>Assumptions!C229</f>
        <v>1% of sales is credit for month</v>
      </c>
      <c r="D32" s="5">
        <f>Assumptions!D229</f>
        <v>0.01</v>
      </c>
      <c r="F32">
        <f>Assumptions!F229</f>
        <v>642.6</v>
      </c>
      <c r="G32">
        <f>Assumptions!G229</f>
        <v>1478.7</v>
      </c>
      <c r="H32">
        <f>Assumptions!H229</f>
        <v>1672.2</v>
      </c>
      <c r="I32">
        <f>Assumptions!I229</f>
        <v>1528.4</v>
      </c>
      <c r="J32">
        <f>Assumptions!J229</f>
        <v>1728.4</v>
      </c>
      <c r="K32">
        <f>Assumptions!K229</f>
        <v>1128.4000000000001</v>
      </c>
      <c r="L32">
        <f>Assumptions!L229</f>
        <v>1547.05</v>
      </c>
      <c r="M32">
        <f>Assumptions!M229</f>
        <v>1111.8</v>
      </c>
      <c r="N32">
        <f>Assumptions!N229</f>
        <v>1664.3500000000001</v>
      </c>
      <c r="O32">
        <f>Assumptions!O229</f>
        <v>1525.8</v>
      </c>
      <c r="P32">
        <f>Assumptions!P229</f>
        <v>1734.75</v>
      </c>
      <c r="Q32">
        <f>Assumptions!Q229</f>
        <v>1317.4</v>
      </c>
      <c r="R32">
        <f>Assumptions!R229</f>
        <v>1527.8000000000002</v>
      </c>
      <c r="S32">
        <f>Assumptions!S229</f>
        <v>1635.9833333333333</v>
      </c>
      <c r="T32">
        <f>Assumptions!T229</f>
        <v>1451.25</v>
      </c>
      <c r="U32">
        <f>Assumptions!U229</f>
        <v>1557.6750000000002</v>
      </c>
      <c r="V32">
        <f>Assumptions!V229</f>
        <v>1673.7749999999999</v>
      </c>
      <c r="Y32">
        <f>Assumptions!Y229</f>
        <v>1780.2</v>
      </c>
      <c r="Z32">
        <f>Assumptions!Z229</f>
        <v>1896.3000000000002</v>
      </c>
      <c r="AA32">
        <f>Assumptions!AA229</f>
        <v>2041.4250000000002</v>
      </c>
      <c r="AB32">
        <f>Assumptions!AB229</f>
        <v>2157.5250000000001</v>
      </c>
      <c r="AC32">
        <f>Assumptions!AC229</f>
        <v>2302.65</v>
      </c>
      <c r="AG32">
        <f>Assumptions!AG229</f>
        <v>6151.8666666666677</v>
      </c>
      <c r="AH32">
        <f>Assumptions!AH229</f>
        <v>6471.3</v>
      </c>
      <c r="AI32">
        <f>Assumptions!AI229</f>
        <v>6972.2583333333341</v>
      </c>
      <c r="AJ32">
        <f>Assumptions!AJ229</f>
        <v>7393.3583333333336</v>
      </c>
      <c r="AK32">
        <f>Assumptions!AK229</f>
        <v>7894.3166666666666</v>
      </c>
    </row>
    <row r="33" spans="1:37" ht="29">
      <c r="A33" s="217" t="str">
        <f>Assumptions!A230</f>
        <v>Inventory</v>
      </c>
      <c r="B33" s="1">
        <f>Assumptions!B230</f>
        <v>0</v>
      </c>
      <c r="C33" s="1" t="str">
        <f>Assumptions!C230</f>
        <v>Inventory Turnover</v>
      </c>
      <c r="D33">
        <f>Assumptions!D230</f>
        <v>12</v>
      </c>
      <c r="F33">
        <f>Assumptions!F230</f>
        <v>521.02777777777783</v>
      </c>
      <c r="G33">
        <f>Assumptions!G230</f>
        <v>617.34259259259261</v>
      </c>
      <c r="H33">
        <f>Assumptions!H230</f>
        <v>644.66049382716051</v>
      </c>
      <c r="I33">
        <f>Assumptions!I230</f>
        <v>629.48143004115229</v>
      </c>
      <c r="J33">
        <f>Assumptions!J230</f>
        <v>660.13868398491081</v>
      </c>
      <c r="K33">
        <f>Assumptions!K230</f>
        <v>604.13220591849563</v>
      </c>
      <c r="L33">
        <f>Assumptions!L230</f>
        <v>663.1286135976319</v>
      </c>
      <c r="M33">
        <f>Assumptions!M230</f>
        <v>626.29452559322692</v>
      </c>
      <c r="N33">
        <f>Assumptions!N230</f>
        <v>706.12989461111749</v>
      </c>
      <c r="O33">
        <f>Assumptions!O230</f>
        <v>715.13467414537661</v>
      </c>
      <c r="P33">
        <f>Assumptions!P230</f>
        <v>766.64215179850942</v>
      </c>
      <c r="Q33">
        <f>Assumptions!Q230</f>
        <v>753.15228260186757</v>
      </c>
      <c r="R33">
        <f>Assumptions!R230</f>
        <v>822.89609575920451</v>
      </c>
      <c r="S33">
        <f>Assumptions!S230</f>
        <v>914.22139395678471</v>
      </c>
      <c r="T33">
        <f>Assumptions!T230</f>
        <v>1033.4353989780273</v>
      </c>
      <c r="U33">
        <f>Assumptions!U230</f>
        <v>1035.2853665782657</v>
      </c>
      <c r="V33">
        <f>Assumptions!V230</f>
        <v>1107.8836529803061</v>
      </c>
      <c r="Y33">
        <f>Assumptions!Y230</f>
        <v>1505.5715419222436</v>
      </c>
      <c r="Z33">
        <f>Assumptions!Z230</f>
        <v>2238.908520057867</v>
      </c>
      <c r="AA33">
        <f>Assumptions!AA230</f>
        <v>3636.5989537215059</v>
      </c>
      <c r="AB33">
        <f>Assumptions!AB230</f>
        <v>6327.6081917127367</v>
      </c>
      <c r="AC33">
        <f>Assumptions!AC230</f>
        <v>12388.617697317508</v>
      </c>
      <c r="AG33">
        <f>Assumptions!AG230</f>
        <v>3011.1430838444871</v>
      </c>
      <c r="AH33">
        <f>Assumptions!AH230</f>
        <v>4477.817040115734</v>
      </c>
      <c r="AI33">
        <f>Assumptions!AI230</f>
        <v>7273.1979074430119</v>
      </c>
      <c r="AJ33">
        <f>Assumptions!AJ230</f>
        <v>12655.216383425473</v>
      </c>
      <c r="AK33">
        <f>Assumptions!AK230</f>
        <v>24777.235394635016</v>
      </c>
    </row>
    <row r="34" spans="1:37">
      <c r="A34" s="219"/>
      <c r="B34" s="1"/>
      <c r="C34" s="1"/>
      <c r="F34" s="9">
        <f t="shared" ref="F34:V34" si="1">ROUND(SUM(F31:F33),0)</f>
        <v>2988</v>
      </c>
      <c r="G34" s="9">
        <f t="shared" si="1"/>
        <v>49400</v>
      </c>
      <c r="H34" s="9">
        <f t="shared" si="1"/>
        <v>94062</v>
      </c>
      <c r="I34" s="9">
        <f t="shared" si="1"/>
        <v>122090</v>
      </c>
      <c r="J34" s="9">
        <f t="shared" si="1"/>
        <v>170953</v>
      </c>
      <c r="K34" s="9">
        <f t="shared" si="1"/>
        <v>164948</v>
      </c>
      <c r="L34" s="9">
        <f t="shared" si="1"/>
        <v>206858</v>
      </c>
      <c r="M34" s="9">
        <f t="shared" si="1"/>
        <v>200866</v>
      </c>
      <c r="N34" s="9">
        <f t="shared" si="1"/>
        <v>250628</v>
      </c>
      <c r="O34" s="9">
        <f t="shared" si="1"/>
        <v>277289</v>
      </c>
      <c r="P34" s="9">
        <f t="shared" si="1"/>
        <v>323753</v>
      </c>
      <c r="Q34" s="9">
        <f t="shared" si="1"/>
        <v>330378</v>
      </c>
      <c r="R34" s="9">
        <f t="shared" si="1"/>
        <v>1104287</v>
      </c>
      <c r="S34" s="9">
        <f t="shared" si="1"/>
        <v>1334229</v>
      </c>
      <c r="T34" s="9">
        <f t="shared" si="1"/>
        <v>2493922</v>
      </c>
      <c r="U34" s="9">
        <f t="shared" si="1"/>
        <v>2688251</v>
      </c>
      <c r="V34" s="9">
        <f t="shared" si="1"/>
        <v>3047491</v>
      </c>
      <c r="W34" s="9"/>
      <c r="X34" s="9"/>
      <c r="Y34" s="9">
        <f>ROUND(SUM(Y31:Y33),0)</f>
        <v>3425685</v>
      </c>
      <c r="Z34" s="9">
        <f t="shared" ref="Z34" si="2">ROUND(SUM(Z31:Z33),0)</f>
        <v>3781326</v>
      </c>
      <c r="AA34" s="9">
        <f t="shared" ref="AA34" si="3">ROUND(SUM(AA31:AA33),0)</f>
        <v>3751748</v>
      </c>
      <c r="AB34" s="9">
        <f t="shared" ref="AB34" si="4">ROUND(SUM(AB31:AB33),0)</f>
        <v>3600640</v>
      </c>
      <c r="AC34" s="9">
        <f t="shared" ref="AC34" si="5">ROUND(SUM(AC31:AC33),0)</f>
        <v>2662337</v>
      </c>
      <c r="AD34" s="9"/>
      <c r="AE34" s="9"/>
      <c r="AF34" s="9"/>
      <c r="AG34" s="9">
        <f t="shared" ref="AG34" si="6">ROUND(SUM(AG31:AG33),0)</f>
        <v>9110747</v>
      </c>
      <c r="AH34" s="9">
        <f t="shared" ref="AH34" si="7">ROUND(SUM(AH31:AH33),0)</f>
        <v>11125548</v>
      </c>
      <c r="AI34" s="9">
        <f t="shared" ref="AI34" si="8">ROUND(SUM(AI31:AI33),0)</f>
        <v>13026162</v>
      </c>
      <c r="AJ34" s="9">
        <f>ROUND(SUM(AJ31:AJ33),0)</f>
        <v>15094914</v>
      </c>
      <c r="AK34" s="9">
        <f t="shared" ref="AK34" si="9">ROUND(SUM(AK31:AK33),0)</f>
        <v>17597395</v>
      </c>
    </row>
    <row r="35" spans="1:37">
      <c r="A35" s="219"/>
    </row>
    <row r="36" spans="1:37">
      <c r="A36" s="221" t="s">
        <v>114</v>
      </c>
      <c r="B36" s="1"/>
      <c r="C36" s="1"/>
      <c r="F36" s="122">
        <f>ROUND(F34+F28,0)</f>
        <v>118188</v>
      </c>
      <c r="G36" s="122">
        <f t="shared" ref="G36:V36" si="10">ROUND(G34+G28,0)</f>
        <v>161802</v>
      </c>
      <c r="H36" s="122">
        <f t="shared" si="10"/>
        <v>203668</v>
      </c>
      <c r="I36" s="122">
        <f t="shared" si="10"/>
        <v>228902</v>
      </c>
      <c r="J36" s="122">
        <f t="shared" si="10"/>
        <v>274973</v>
      </c>
      <c r="K36" s="122">
        <f t="shared" si="10"/>
        <v>266179</v>
      </c>
      <c r="L36" s="122">
        <f t="shared" si="10"/>
        <v>305301</v>
      </c>
      <c r="M36" s="122">
        <f t="shared" si="10"/>
        <v>296524</v>
      </c>
      <c r="N36" s="122">
        <f t="shared" si="10"/>
        <v>343502</v>
      </c>
      <c r="O36" s="122">
        <f t="shared" si="10"/>
        <v>367381</v>
      </c>
      <c r="P36" s="122">
        <f t="shared" si="10"/>
        <v>411066</v>
      </c>
      <c r="Q36" s="122">
        <f t="shared" si="10"/>
        <v>414913</v>
      </c>
      <c r="R36" s="122">
        <f t="shared" si="10"/>
        <v>1172174</v>
      </c>
      <c r="S36" s="122">
        <f t="shared" si="10"/>
        <v>1385533</v>
      </c>
      <c r="T36" s="122">
        <f t="shared" si="10"/>
        <v>2512202</v>
      </c>
      <c r="U36" s="122">
        <f t="shared" si="10"/>
        <v>2795487</v>
      </c>
      <c r="V36" s="122">
        <f t="shared" si="10"/>
        <v>3126507</v>
      </c>
      <c r="W36" s="122"/>
      <c r="X36" s="122"/>
      <c r="Y36" s="122">
        <f>ROUND(Y34+Y28,0)</f>
        <v>3486769</v>
      </c>
      <c r="Z36" s="122">
        <f t="shared" ref="Z36:AC36" si="11">ROUND(Z34+Z28,0)</f>
        <v>3816026</v>
      </c>
      <c r="AA36" s="122">
        <f t="shared" si="11"/>
        <v>3760352</v>
      </c>
      <c r="AB36" s="122">
        <f t="shared" si="11"/>
        <v>3618322</v>
      </c>
      <c r="AC36" s="122">
        <f t="shared" si="11"/>
        <v>2671337</v>
      </c>
      <c r="AD36" s="122"/>
      <c r="AE36" s="122"/>
      <c r="AF36" s="122"/>
      <c r="AG36" s="122">
        <f>ROUND(AG34+AG28,0)</f>
        <v>9264427</v>
      </c>
      <c r="AH36" s="122">
        <f t="shared" ref="AH36:AK36" si="12">ROUND(AH34+AH28,0)</f>
        <v>11241504</v>
      </c>
      <c r="AI36" s="122">
        <f t="shared" si="12"/>
        <v>13105592</v>
      </c>
      <c r="AJ36" s="122">
        <f t="shared" si="12"/>
        <v>15173770</v>
      </c>
      <c r="AK36" s="122">
        <f t="shared" si="12"/>
        <v>17666631</v>
      </c>
    </row>
    <row r="37" spans="1:37" ht="26.5" customHeight="1">
      <c r="A37" s="217"/>
      <c r="B37" s="1"/>
      <c r="C37" s="1"/>
    </row>
    <row r="38" spans="1:37" ht="26.5" customHeight="1">
      <c r="A38" s="220" t="s">
        <v>31</v>
      </c>
      <c r="B38" s="1"/>
      <c r="C38" s="1"/>
    </row>
    <row r="39" spans="1:37" ht="26.5" customHeight="1">
      <c r="A39" s="216" t="s">
        <v>156</v>
      </c>
      <c r="B39" s="1"/>
      <c r="C39" s="1"/>
    </row>
    <row r="40" spans="1:37" ht="26.5" customHeight="1">
      <c r="A40" s="217" t="s">
        <v>224</v>
      </c>
      <c r="B40" s="1" t="s">
        <v>225</v>
      </c>
      <c r="C40" s="1"/>
      <c r="F40">
        <f>Assumptions!F274</f>
        <v>0</v>
      </c>
      <c r="G40">
        <f>Assumptions!G274</f>
        <v>0</v>
      </c>
      <c r="H40">
        <f>Assumptions!H274</f>
        <v>0</v>
      </c>
      <c r="I40">
        <f>Assumptions!I274</f>
        <v>0</v>
      </c>
      <c r="J40">
        <f>Assumptions!J274</f>
        <v>0</v>
      </c>
      <c r="K40">
        <f>Assumptions!K274</f>
        <v>0</v>
      </c>
      <c r="L40">
        <f>Assumptions!L274</f>
        <v>0</v>
      </c>
      <c r="M40">
        <f>Assumptions!M274</f>
        <v>0</v>
      </c>
      <c r="N40">
        <f>Assumptions!N274</f>
        <v>0</v>
      </c>
      <c r="O40">
        <f>Assumptions!O274</f>
        <v>0</v>
      </c>
      <c r="P40">
        <f>Assumptions!P274</f>
        <v>0</v>
      </c>
      <c r="Q40">
        <f>Assumptions!Q274</f>
        <v>0</v>
      </c>
      <c r="R40">
        <f>Assumptions!R274</f>
        <v>0</v>
      </c>
      <c r="S40">
        <f>Assumptions!S274</f>
        <v>0</v>
      </c>
      <c r="T40">
        <f>Assumptions!C274</f>
        <v>16250</v>
      </c>
      <c r="U40">
        <f>Assumptions!U274</f>
        <v>0</v>
      </c>
      <c r="V40">
        <f>Assumptions!V274</f>
        <v>0</v>
      </c>
      <c r="W40">
        <f>Assumptions!W274</f>
        <v>0</v>
      </c>
      <c r="X40">
        <f>Assumptions!X274</f>
        <v>0</v>
      </c>
      <c r="Y40">
        <f>Assumptions!Y274</f>
        <v>0</v>
      </c>
      <c r="Z40">
        <f>Assumptions!Z274</f>
        <v>0</v>
      </c>
      <c r="AA40">
        <f>Assumptions!AA274</f>
        <v>0</v>
      </c>
      <c r="AB40">
        <f>Assumptions!AB274</f>
        <v>0</v>
      </c>
      <c r="AC40">
        <f>Assumptions!AC274</f>
        <v>0</v>
      </c>
      <c r="AG40">
        <f>Assumptions!AG274</f>
        <v>1300000</v>
      </c>
      <c r="AH40">
        <f>Assumptions!AH274</f>
        <v>1300000</v>
      </c>
      <c r="AI40">
        <f>Assumptions!AI274</f>
        <v>1300000</v>
      </c>
      <c r="AJ40">
        <f>Assumptions!AJ274</f>
        <v>1300000</v>
      </c>
      <c r="AK40">
        <f>Assumptions!AK274</f>
        <v>1300000</v>
      </c>
    </row>
    <row r="41" spans="1:37" ht="26.5" customHeight="1">
      <c r="A41" s="217" t="s">
        <v>124</v>
      </c>
      <c r="B41" s="1"/>
      <c r="C41" s="1" t="s">
        <v>121</v>
      </c>
      <c r="F41">
        <f>Assumptions!F276</f>
        <v>30000</v>
      </c>
      <c r="G41">
        <f>Assumptions!G276</f>
        <v>30000</v>
      </c>
      <c r="H41">
        <f>Assumptions!H276</f>
        <v>30000</v>
      </c>
      <c r="I41">
        <f>Assumptions!I276</f>
        <v>30000</v>
      </c>
      <c r="J41">
        <f>Assumptions!J276</f>
        <v>30000</v>
      </c>
      <c r="K41">
        <f>Assumptions!K276</f>
        <v>30000</v>
      </c>
      <c r="L41">
        <f>Assumptions!L276</f>
        <v>30000</v>
      </c>
      <c r="M41">
        <f>Assumptions!M276</f>
        <v>30000</v>
      </c>
      <c r="N41">
        <f>Assumptions!N276</f>
        <v>30000</v>
      </c>
      <c r="O41">
        <f>Assumptions!O276</f>
        <v>30000</v>
      </c>
      <c r="P41">
        <f>Assumptions!P276</f>
        <v>30000</v>
      </c>
      <c r="Q41">
        <f>Assumptions!Q276</f>
        <v>30000</v>
      </c>
      <c r="R41">
        <f>Assumptions!R276</f>
        <v>30000</v>
      </c>
      <c r="S41">
        <f>Assumptions!S276</f>
        <v>30000</v>
      </c>
      <c r="T41">
        <f>Assumptions!T276</f>
        <v>30000</v>
      </c>
      <c r="U41">
        <f>Assumptions!U276</f>
        <v>30000</v>
      </c>
      <c r="V41">
        <f>Assumptions!V276</f>
        <v>30000</v>
      </c>
      <c r="Y41">
        <f>Assumptions!Y276</f>
        <v>30000</v>
      </c>
      <c r="Z41">
        <f>Assumptions!Z276</f>
        <v>30000</v>
      </c>
      <c r="AA41">
        <f>Assumptions!AA276</f>
        <v>30000</v>
      </c>
      <c r="AB41">
        <f>Assumptions!AB276</f>
        <v>30000</v>
      </c>
      <c r="AC41">
        <f>Assumptions!AC276</f>
        <v>30000</v>
      </c>
      <c r="AG41">
        <f>Assumptions!AG276</f>
        <v>30000</v>
      </c>
      <c r="AH41">
        <f>Assumptions!AH276</f>
        <v>30000</v>
      </c>
      <c r="AI41">
        <f>Assumptions!AI276</f>
        <v>30000</v>
      </c>
      <c r="AJ41">
        <f>Assumptions!AJ276</f>
        <v>30000</v>
      </c>
      <c r="AK41">
        <f>Assumptions!AK276</f>
        <v>30000</v>
      </c>
    </row>
    <row r="42" spans="1:37" ht="26.5" customHeight="1">
      <c r="A42" s="217" t="s">
        <v>125</v>
      </c>
      <c r="B42" s="1"/>
      <c r="C42" s="1"/>
      <c r="F42">
        <f>PnL!F17</f>
        <v>-26835</v>
      </c>
      <c r="G42">
        <f>F42+PnL!G17</f>
        <v>-1236</v>
      </c>
      <c r="H42">
        <f>G42+PnL!H17</f>
        <v>36402</v>
      </c>
      <c r="I42">
        <f>H42+PnL!I17</f>
        <v>65718</v>
      </c>
      <c r="J42">
        <f>I42+PnL!J17</f>
        <v>107521</v>
      </c>
      <c r="K42">
        <f>J42+PnL!K17</f>
        <v>111098</v>
      </c>
      <c r="L42">
        <f>K42+PnL!L17</f>
        <v>139213</v>
      </c>
      <c r="M42">
        <f>L42+PnL!M17</f>
        <v>139937</v>
      </c>
      <c r="N42">
        <f>M42+PnL!N17</f>
        <v>175638</v>
      </c>
      <c r="O42">
        <f>N42+PnL!O17</f>
        <v>201989</v>
      </c>
      <c r="P42">
        <f>O42+PnL!P17</f>
        <v>241156</v>
      </c>
      <c r="Q42">
        <f>P42+PnL!Q17</f>
        <v>252964</v>
      </c>
      <c r="R42">
        <f>Q42+PnL!R17</f>
        <v>413135</v>
      </c>
      <c r="S42">
        <f>R42+PnL!S17</f>
        <v>596901</v>
      </c>
      <c r="T42">
        <f>S42+PnL!T17</f>
        <v>775727</v>
      </c>
      <c r="U42">
        <f>T42+PnL!U17</f>
        <v>1022281</v>
      </c>
      <c r="V42">
        <f>U42+PnL!V17</f>
        <v>1304557</v>
      </c>
      <c r="Y42">
        <f>V42+PnL!Y17</f>
        <v>1567349.8</v>
      </c>
      <c r="Z42">
        <f>Y42+PnL!Z17</f>
        <v>1748793.4000000001</v>
      </c>
      <c r="AA42">
        <f>Z42+PnL!AA17</f>
        <v>1733242.4000000001</v>
      </c>
      <c r="AB42">
        <f>AA42+PnL!AB17</f>
        <v>1157167.4000000001</v>
      </c>
      <c r="AC42">
        <f>AB42+PnL!AC17</f>
        <v>-711469.59999999986</v>
      </c>
      <c r="AG42">
        <f>V42+PnL!AG17</f>
        <v>3587362</v>
      </c>
      <c r="AH42">
        <f>AG42+PnL!AH17</f>
        <v>6009293.5</v>
      </c>
      <c r="AI42">
        <f>AH42+PnL!AI17</f>
        <v>8593029.6999999993</v>
      </c>
      <c r="AJ42">
        <f>AI42+PnL!AJ17</f>
        <v>10950572.5</v>
      </c>
      <c r="AK42">
        <f>AJ42+PnL!AK17</f>
        <v>12497889.4</v>
      </c>
    </row>
    <row r="43" spans="1:37" ht="26.5" customHeight="1">
      <c r="A43" s="217"/>
      <c r="B43" s="1"/>
      <c r="C43" s="1"/>
      <c r="F43" s="9">
        <f>SUM(F40:F42)</f>
        <v>3165</v>
      </c>
      <c r="G43" s="9">
        <f t="shared" ref="G43:AK43" si="13">SUM(G40:G42)</f>
        <v>28764</v>
      </c>
      <c r="H43" s="9">
        <f t="shared" si="13"/>
        <v>66402</v>
      </c>
      <c r="I43" s="9">
        <f t="shared" si="13"/>
        <v>95718</v>
      </c>
      <c r="J43" s="9">
        <f t="shared" si="13"/>
        <v>137521</v>
      </c>
      <c r="K43" s="9">
        <f t="shared" si="13"/>
        <v>141098</v>
      </c>
      <c r="L43" s="9">
        <f t="shared" si="13"/>
        <v>169213</v>
      </c>
      <c r="M43" s="9">
        <f t="shared" si="13"/>
        <v>169937</v>
      </c>
      <c r="N43" s="9">
        <f t="shared" si="13"/>
        <v>205638</v>
      </c>
      <c r="O43" s="9">
        <f t="shared" si="13"/>
        <v>231989</v>
      </c>
      <c r="P43" s="9">
        <f t="shared" si="13"/>
        <v>271156</v>
      </c>
      <c r="Q43" s="9">
        <f t="shared" si="13"/>
        <v>282964</v>
      </c>
      <c r="R43" s="9">
        <f t="shared" si="13"/>
        <v>443135</v>
      </c>
      <c r="S43" s="9">
        <f t="shared" si="13"/>
        <v>626901</v>
      </c>
      <c r="T43" s="9">
        <f t="shared" si="13"/>
        <v>821977</v>
      </c>
      <c r="U43" s="9">
        <f t="shared" si="13"/>
        <v>1052281</v>
      </c>
      <c r="V43" s="9">
        <f t="shared" si="13"/>
        <v>1334557</v>
      </c>
      <c r="W43" s="9">
        <f t="shared" si="13"/>
        <v>0</v>
      </c>
      <c r="X43" s="9">
        <f t="shared" si="13"/>
        <v>0</v>
      </c>
      <c r="Y43" s="9">
        <f t="shared" si="13"/>
        <v>1597349.8</v>
      </c>
      <c r="Z43" s="9">
        <f t="shared" si="13"/>
        <v>1778793.4000000001</v>
      </c>
      <c r="AA43" s="9">
        <f t="shared" si="13"/>
        <v>1763242.4000000001</v>
      </c>
      <c r="AB43" s="9">
        <f t="shared" si="13"/>
        <v>1187167.4000000001</v>
      </c>
      <c r="AC43" s="9">
        <f t="shared" si="13"/>
        <v>-681469.59999999986</v>
      </c>
      <c r="AD43" s="9">
        <f t="shared" si="13"/>
        <v>0</v>
      </c>
      <c r="AE43" s="9">
        <f t="shared" si="13"/>
        <v>0</v>
      </c>
      <c r="AF43" s="9">
        <f t="shared" si="13"/>
        <v>0</v>
      </c>
      <c r="AG43" s="9">
        <f t="shared" si="13"/>
        <v>4917362</v>
      </c>
      <c r="AH43" s="9">
        <f t="shared" si="13"/>
        <v>7339293.5</v>
      </c>
      <c r="AI43" s="9">
        <f t="shared" si="13"/>
        <v>9923029.6999999993</v>
      </c>
      <c r="AJ43" s="9">
        <f t="shared" si="13"/>
        <v>12280572.5</v>
      </c>
      <c r="AK43" s="9">
        <f t="shared" si="13"/>
        <v>13827889.4</v>
      </c>
    </row>
    <row r="44" spans="1:37">
      <c r="A44" s="219"/>
      <c r="B44" s="1"/>
      <c r="C44" s="1"/>
    </row>
    <row r="45" spans="1:37" ht="29">
      <c r="A45" s="216" t="s">
        <v>270</v>
      </c>
      <c r="B45" s="1"/>
      <c r="C45" s="1"/>
    </row>
    <row r="46" spans="1:37" ht="29">
      <c r="A46" s="217" t="s">
        <v>271</v>
      </c>
      <c r="B46" s="1" t="s">
        <v>250</v>
      </c>
      <c r="C46" s="1"/>
      <c r="F46">
        <f>Assumptions!F242</f>
        <v>0</v>
      </c>
      <c r="G46">
        <f>Assumptions!G242</f>
        <v>0</v>
      </c>
      <c r="H46">
        <f>Assumptions!H242</f>
        <v>0</v>
      </c>
      <c r="I46">
        <f>Assumptions!I242</f>
        <v>0</v>
      </c>
      <c r="J46">
        <f>Assumptions!J242</f>
        <v>0</v>
      </c>
      <c r="K46">
        <f>Assumptions!K242</f>
        <v>0</v>
      </c>
      <c r="L46">
        <f>Assumptions!L242</f>
        <v>0</v>
      </c>
      <c r="M46">
        <f>Assumptions!M242</f>
        <v>0</v>
      </c>
      <c r="N46">
        <f>Assumptions!N242</f>
        <v>0</v>
      </c>
      <c r="O46">
        <f>Assumptions!O242</f>
        <v>0</v>
      </c>
      <c r="P46">
        <f>Assumptions!P242</f>
        <v>0</v>
      </c>
      <c r="Q46">
        <f>Assumptions!Q242</f>
        <v>0</v>
      </c>
      <c r="R46">
        <f>Assumptions!R242</f>
        <v>0</v>
      </c>
      <c r="S46">
        <f>Assumptions!S242</f>
        <v>0</v>
      </c>
      <c r="T46">
        <f>Assumptions!T242</f>
        <v>0</v>
      </c>
      <c r="U46">
        <f>Assumptions!U242</f>
        <v>0</v>
      </c>
      <c r="V46">
        <f>Assumptions!V242</f>
        <v>0</v>
      </c>
      <c r="Y46">
        <f>Assumptions!Y242</f>
        <v>0</v>
      </c>
      <c r="Z46">
        <f>Assumptions!Z242</f>
        <v>0</v>
      </c>
      <c r="AA46">
        <f>Assumptions!AA242</f>
        <v>0</v>
      </c>
      <c r="AB46">
        <f>Assumptions!AB242</f>
        <v>0</v>
      </c>
      <c r="AC46">
        <f>Assumptions!AC242</f>
        <v>0</v>
      </c>
      <c r="AG46">
        <f>Assumptions!AG242</f>
        <v>2043364.6866231426</v>
      </c>
      <c r="AH46">
        <f>Assumptions!AH242</f>
        <v>1454922.7322320286</v>
      </c>
      <c r="AI46">
        <f>Assumptions!AI242</f>
        <v>778214.48468224786</v>
      </c>
      <c r="AJ46">
        <f>Assumptions!AJ242</f>
        <v>0</v>
      </c>
      <c r="AK46">
        <f>Assumptions!AK242</f>
        <v>0</v>
      </c>
    </row>
    <row r="47" spans="1:37" ht="72.5">
      <c r="A47" s="217" t="s">
        <v>273</v>
      </c>
      <c r="B47" s="1" t="s">
        <v>127</v>
      </c>
      <c r="C47" s="1"/>
      <c r="F47">
        <f>Assumptions!F270</f>
        <v>23809.523809523809</v>
      </c>
      <c r="G47">
        <f>Assumptions!G270</f>
        <v>23809.523809523809</v>
      </c>
      <c r="H47">
        <f>Assumptions!H270</f>
        <v>23809.523809523809</v>
      </c>
      <c r="I47">
        <f>Assumptions!I270</f>
        <v>23809.523809523809</v>
      </c>
      <c r="J47">
        <f>Assumptions!J270</f>
        <v>23809.523809523809</v>
      </c>
      <c r="K47">
        <f>Assumptions!K270</f>
        <v>23809.523809523809</v>
      </c>
      <c r="L47">
        <f>Assumptions!L270</f>
        <v>23809.523809523809</v>
      </c>
      <c r="M47">
        <f>Assumptions!M270</f>
        <v>23809.523809523809</v>
      </c>
      <c r="N47">
        <f>Assumptions!N270</f>
        <v>23809.523809523809</v>
      </c>
      <c r="O47">
        <f>Assumptions!O270</f>
        <v>23809.523809523809</v>
      </c>
      <c r="P47">
        <f>Assumptions!P270</f>
        <v>23809.523809523809</v>
      </c>
      <c r="Q47">
        <f>Assumptions!Q270</f>
        <v>23809.523809523809</v>
      </c>
      <c r="R47">
        <f>Assumptions!R270</f>
        <v>47619.047619047618</v>
      </c>
      <c r="S47">
        <f>Assumptions!S270</f>
        <v>47619.047619047618</v>
      </c>
      <c r="T47">
        <f>Assumptions!T270</f>
        <v>285714.28571428574</v>
      </c>
      <c r="U47">
        <f>Assumptions!U270</f>
        <v>285714.28571428574</v>
      </c>
      <c r="V47">
        <f>Assumptions!V270</f>
        <v>285714.28571428574</v>
      </c>
      <c r="Y47">
        <f>Assumptions!Y270</f>
        <v>285714.28571428574</v>
      </c>
      <c r="Z47">
        <f>Assumptions!Z270</f>
        <v>285714.28571428574</v>
      </c>
      <c r="AA47">
        <f>Assumptions!AA270</f>
        <v>0</v>
      </c>
      <c r="AB47">
        <f>Assumptions!AB270</f>
        <v>0</v>
      </c>
      <c r="AC47">
        <f>Assumptions!AC270</f>
        <v>0</v>
      </c>
      <c r="AG47">
        <f>Assumptions!AG270</f>
        <v>285714.28571428574</v>
      </c>
      <c r="AH47">
        <f>Assumptions!AH270</f>
        <v>285714.28571428574</v>
      </c>
      <c r="AI47">
        <f>Assumptions!AI270</f>
        <v>0</v>
      </c>
      <c r="AJ47">
        <f>Assumptions!AJ270</f>
        <v>0</v>
      </c>
      <c r="AK47">
        <f>Assumptions!AK270</f>
        <v>0</v>
      </c>
    </row>
    <row r="48" spans="1:37">
      <c r="A48" s="216"/>
      <c r="B48" s="1"/>
      <c r="C48" s="1"/>
      <c r="F48" s="9">
        <f>F46+F47</f>
        <v>23809.523809523809</v>
      </c>
      <c r="G48" s="9">
        <f t="shared" ref="G48:AK48" si="14">G46+G47</f>
        <v>23809.523809523809</v>
      </c>
      <c r="H48" s="9">
        <f t="shared" si="14"/>
        <v>23809.523809523809</v>
      </c>
      <c r="I48" s="9">
        <f t="shared" si="14"/>
        <v>23809.523809523809</v>
      </c>
      <c r="J48" s="9">
        <f t="shared" si="14"/>
        <v>23809.523809523809</v>
      </c>
      <c r="K48" s="9">
        <f t="shared" si="14"/>
        <v>23809.523809523809</v>
      </c>
      <c r="L48" s="9">
        <f t="shared" si="14"/>
        <v>23809.523809523809</v>
      </c>
      <c r="M48" s="9">
        <f t="shared" si="14"/>
        <v>23809.523809523809</v>
      </c>
      <c r="N48" s="9">
        <f t="shared" si="14"/>
        <v>23809.523809523809</v>
      </c>
      <c r="O48" s="9">
        <f t="shared" si="14"/>
        <v>23809.523809523809</v>
      </c>
      <c r="P48" s="9">
        <f t="shared" si="14"/>
        <v>23809.523809523809</v>
      </c>
      <c r="Q48" s="9">
        <f t="shared" si="14"/>
        <v>23809.523809523809</v>
      </c>
      <c r="R48" s="9">
        <f t="shared" si="14"/>
        <v>47619.047619047618</v>
      </c>
      <c r="S48" s="9">
        <f t="shared" si="14"/>
        <v>47619.047619047618</v>
      </c>
      <c r="T48" s="9">
        <f t="shared" si="14"/>
        <v>285714.28571428574</v>
      </c>
      <c r="U48" s="9">
        <f t="shared" si="14"/>
        <v>285714.28571428574</v>
      </c>
      <c r="V48" s="9">
        <f t="shared" si="14"/>
        <v>285714.28571428574</v>
      </c>
      <c r="W48" s="9"/>
      <c r="X48" s="9"/>
      <c r="Y48" s="9">
        <f t="shared" si="14"/>
        <v>285714.28571428574</v>
      </c>
      <c r="Z48" s="9">
        <f t="shared" si="14"/>
        <v>285714.28571428574</v>
      </c>
      <c r="AA48" s="9">
        <f t="shared" si="14"/>
        <v>0</v>
      </c>
      <c r="AB48" s="9">
        <f t="shared" si="14"/>
        <v>0</v>
      </c>
      <c r="AC48" s="9">
        <f t="shared" si="14"/>
        <v>0</v>
      </c>
      <c r="AD48" s="9"/>
      <c r="AE48" s="9"/>
      <c r="AF48" s="9"/>
      <c r="AG48" s="9">
        <f t="shared" si="14"/>
        <v>2329078.9723374285</v>
      </c>
      <c r="AH48" s="9">
        <f t="shared" si="14"/>
        <v>1740637.0179463143</v>
      </c>
      <c r="AI48" s="9">
        <f t="shared" si="14"/>
        <v>778214.48468224786</v>
      </c>
      <c r="AJ48" s="9">
        <f t="shared" si="14"/>
        <v>0</v>
      </c>
      <c r="AK48" s="9">
        <f t="shared" si="14"/>
        <v>0</v>
      </c>
    </row>
    <row r="49" spans="1:37">
      <c r="A49" s="216"/>
      <c r="B49" s="1"/>
      <c r="C49" s="1"/>
    </row>
    <row r="50" spans="1:37" ht="29">
      <c r="A50" s="216" t="s">
        <v>274</v>
      </c>
      <c r="B50" s="1"/>
      <c r="C50" s="1"/>
    </row>
    <row r="51" spans="1:37">
      <c r="A51" s="219" t="s">
        <v>275</v>
      </c>
      <c r="B51" s="1"/>
      <c r="C51" s="1"/>
      <c r="F51">
        <f>Assumptions!F235</f>
        <v>6252.3333333333339</v>
      </c>
      <c r="G51">
        <f>Assumptions!G235</f>
        <v>7408.1111111111113</v>
      </c>
      <c r="H51">
        <f>Assumptions!H235</f>
        <v>7735.9259259259261</v>
      </c>
      <c r="I51">
        <f>Assumptions!I235</f>
        <v>7553.7771604938271</v>
      </c>
      <c r="J51">
        <f>Assumptions!J235</f>
        <v>7921.6642078189298</v>
      </c>
      <c r="K51">
        <f>Assumptions!K235</f>
        <v>7249.5864710219475</v>
      </c>
      <c r="L51">
        <f>Assumptions!L235</f>
        <v>7957.5433631715823</v>
      </c>
      <c r="M51">
        <f>Assumptions!M235</f>
        <v>7515.5343071187226</v>
      </c>
      <c r="N51">
        <f>Assumptions!N235</f>
        <v>8473.5587353334104</v>
      </c>
      <c r="O51">
        <f>Assumptions!O235</f>
        <v>8581.6160897445188</v>
      </c>
      <c r="P51">
        <f>Assumptions!P235</f>
        <v>9199.7058215821125</v>
      </c>
      <c r="Q51">
        <f>Assumptions!Q235</f>
        <v>9037.8273912224104</v>
      </c>
      <c r="R51">
        <f>Assumptions!R235</f>
        <v>59248.518894662731</v>
      </c>
      <c r="S51">
        <f>Assumptions!S235</f>
        <v>65823.940364888505</v>
      </c>
      <c r="T51">
        <f>Assumptions!T235</f>
        <v>148814.69745283591</v>
      </c>
      <c r="U51">
        <f>Assumptions!U235</f>
        <v>149081.09278727026</v>
      </c>
      <c r="V51">
        <f>Assumptions!V235</f>
        <v>159535.24602916409</v>
      </c>
      <c r="Y51">
        <f>Assumptions!Y235</f>
        <v>216802.3020368031</v>
      </c>
      <c r="Z51">
        <f>Assumptions!Z235</f>
        <v>322402.82688833284</v>
      </c>
      <c r="AA51">
        <f>Assumptions!AA235</f>
        <v>523670.24933589681</v>
      </c>
      <c r="AB51">
        <f>Assumptions!AB235</f>
        <v>911175.5796066341</v>
      </c>
      <c r="AC51">
        <f>Assumptions!AC235</f>
        <v>1783960.9484137211</v>
      </c>
      <c r="AG51">
        <f>Assumptions!AG235</f>
        <v>557083.28616566746</v>
      </c>
      <c r="AH51">
        <f>Assumptions!AH235</f>
        <v>656958.05763636692</v>
      </c>
      <c r="AI51">
        <f>Assumptions!AI235</f>
        <v>853833.68655947829</v>
      </c>
      <c r="AJ51">
        <f>Assumptions!AJ235</f>
        <v>1294489.0481279383</v>
      </c>
      <c r="AK51">
        <f>Assumptions!AK235</f>
        <v>2189429.2279765848</v>
      </c>
    </row>
    <row r="52" spans="1:37" ht="43.5">
      <c r="A52" s="217" t="s">
        <v>278</v>
      </c>
      <c r="B52" s="1"/>
      <c r="C52" s="1"/>
      <c r="F52">
        <f>Assumptions!F240</f>
        <v>0</v>
      </c>
      <c r="G52">
        <f>Assumptions!G240</f>
        <v>0</v>
      </c>
      <c r="H52">
        <f>Assumptions!H240</f>
        <v>0</v>
      </c>
      <c r="I52">
        <f>Assumptions!I240</f>
        <v>0</v>
      </c>
      <c r="J52">
        <f>Assumptions!J240</f>
        <v>0</v>
      </c>
      <c r="K52">
        <f>Assumptions!K240</f>
        <v>0</v>
      </c>
      <c r="L52">
        <f>Assumptions!L240</f>
        <v>0</v>
      </c>
      <c r="M52">
        <f>Assumptions!M240</f>
        <v>0</v>
      </c>
      <c r="N52">
        <f>Assumptions!N240</f>
        <v>0</v>
      </c>
      <c r="O52">
        <f>Assumptions!O240</f>
        <v>0</v>
      </c>
      <c r="P52">
        <f>Assumptions!P240</f>
        <v>0</v>
      </c>
      <c r="Q52">
        <f>Assumptions!Q240</f>
        <v>0</v>
      </c>
      <c r="R52">
        <f>Assumptions!R240</f>
        <v>0</v>
      </c>
      <c r="S52">
        <f>Assumptions!S240</f>
        <v>0</v>
      </c>
      <c r="T52">
        <f>Assumptions!T240</f>
        <v>0</v>
      </c>
      <c r="U52">
        <f>Assumptions!U240</f>
        <v>0</v>
      </c>
      <c r="V52">
        <f>Assumptions!V240</f>
        <v>0</v>
      </c>
      <c r="Y52">
        <f>Assumptions!Y240</f>
        <v>0</v>
      </c>
      <c r="Z52">
        <f>Assumptions!Z240</f>
        <v>0</v>
      </c>
      <c r="AA52">
        <f>Assumptions!AA240</f>
        <v>0</v>
      </c>
      <c r="AB52">
        <f>Assumptions!AB240</f>
        <v>0</v>
      </c>
      <c r="AC52">
        <f>Assumptions!AC240</f>
        <v>0</v>
      </c>
      <c r="AG52">
        <f>Assumptions!AG240</f>
        <v>511688.65599227278</v>
      </c>
      <c r="AH52">
        <f>Assumptions!AH240</f>
        <v>588441.95439111372</v>
      </c>
      <c r="AI52">
        <f>Assumptions!AI240</f>
        <v>676708.24754978076</v>
      </c>
      <c r="AJ52">
        <f>Assumptions!AJ240</f>
        <v>778214.48468224786</v>
      </c>
      <c r="AK52">
        <f>Assumptions!AK240</f>
        <v>0</v>
      </c>
    </row>
    <row r="53" spans="1:37">
      <c r="A53" s="219" t="s">
        <v>276</v>
      </c>
      <c r="B53" s="1"/>
      <c r="C53" s="1"/>
      <c r="F53">
        <f>Assumptions!F236</f>
        <v>34960</v>
      </c>
      <c r="G53">
        <f>Assumptions!G236</f>
        <v>51820</v>
      </c>
      <c r="H53">
        <f>Assumptions!H236</f>
        <v>55720</v>
      </c>
      <c r="I53">
        <f>Assumptions!I236</f>
        <v>51820</v>
      </c>
      <c r="J53">
        <f>Assumptions!J236</f>
        <v>55720</v>
      </c>
      <c r="K53">
        <f>Assumptions!K236</f>
        <v>44020</v>
      </c>
      <c r="L53">
        <f>Assumptions!L236</f>
        <v>51820</v>
      </c>
      <c r="M53">
        <f>Assumptions!M236</f>
        <v>42760</v>
      </c>
      <c r="N53">
        <f>Assumptions!N236</f>
        <v>53080</v>
      </c>
      <c r="O53">
        <f>Assumptions!O236</f>
        <v>50500</v>
      </c>
      <c r="P53">
        <f>Assumptions!P236</f>
        <v>54400</v>
      </c>
      <c r="Q53">
        <f>Assumptions!Q236</f>
        <v>46600</v>
      </c>
      <c r="R53">
        <f>Assumptions!R236</f>
        <v>291420</v>
      </c>
      <c r="S53">
        <f>Assumptions!S236</f>
        <v>297900</v>
      </c>
      <c r="T53">
        <f>Assumptions!T236</f>
        <v>542640</v>
      </c>
      <c r="U53">
        <f>Assumptions!U236</f>
        <v>542640</v>
      </c>
      <c r="V53">
        <f>Assumptions!V236</f>
        <v>542640</v>
      </c>
      <c r="Y53">
        <f>Assumptions!Y236</f>
        <v>542640</v>
      </c>
      <c r="Z53">
        <f>Assumptions!Z236</f>
        <v>542640</v>
      </c>
      <c r="AA53">
        <f>Assumptions!AA236</f>
        <v>542640</v>
      </c>
      <c r="AB53">
        <f>Assumptions!AB236</f>
        <v>542640</v>
      </c>
      <c r="AC53">
        <f>Assumptions!AC236</f>
        <v>542640</v>
      </c>
      <c r="AG53">
        <f>Assumptions!AG236</f>
        <v>1886640</v>
      </c>
      <c r="AH53">
        <f>Assumptions!AH236</f>
        <v>1886640</v>
      </c>
      <c r="AI53">
        <f>Assumptions!AI236</f>
        <v>1886640</v>
      </c>
      <c r="AJ53">
        <f>Assumptions!AJ236</f>
        <v>1886640</v>
      </c>
      <c r="AK53">
        <f>Assumptions!AK236</f>
        <v>1886640</v>
      </c>
    </row>
    <row r="54" spans="1:37">
      <c r="A54" s="217" t="s">
        <v>277</v>
      </c>
      <c r="B54" s="1"/>
      <c r="C54" s="1"/>
      <c r="F54">
        <f>Assumptions!F237</f>
        <v>50000</v>
      </c>
      <c r="G54">
        <f>Assumptions!G237</f>
        <v>50000</v>
      </c>
      <c r="H54">
        <f>Assumptions!H237</f>
        <v>50000</v>
      </c>
      <c r="I54">
        <f>Assumptions!I237</f>
        <v>50000</v>
      </c>
      <c r="J54">
        <f>Assumptions!J237</f>
        <v>50000</v>
      </c>
      <c r="K54">
        <f>Assumptions!K237</f>
        <v>50000</v>
      </c>
      <c r="L54">
        <f>Assumptions!L237</f>
        <v>52500</v>
      </c>
      <c r="M54">
        <f>Assumptions!M237</f>
        <v>52500</v>
      </c>
      <c r="N54">
        <f>Assumptions!N237</f>
        <v>52500</v>
      </c>
      <c r="O54">
        <f>Assumptions!O237</f>
        <v>52500</v>
      </c>
      <c r="P54">
        <f>Assumptions!P237</f>
        <v>52500</v>
      </c>
      <c r="Q54">
        <f>Assumptions!Q237</f>
        <v>52500</v>
      </c>
      <c r="R54">
        <f>Assumptions!R237</f>
        <v>330750</v>
      </c>
      <c r="S54">
        <f>Assumptions!S237</f>
        <v>347287.5</v>
      </c>
      <c r="T54">
        <f>Assumptions!T237</f>
        <v>729303.75</v>
      </c>
      <c r="U54">
        <f>Assumptions!U237</f>
        <v>765768.9375</v>
      </c>
      <c r="V54">
        <f>Assumptions!V237</f>
        <v>804057.38437500002</v>
      </c>
      <c r="Y54">
        <f>Assumptions!Y237</f>
        <v>844260.25359375007</v>
      </c>
      <c r="Z54">
        <f>Assumptions!Z237</f>
        <v>886473.26627343765</v>
      </c>
      <c r="AA54">
        <f>Assumptions!AA237</f>
        <v>930796.9295871096</v>
      </c>
      <c r="AB54">
        <f>Assumptions!AB237</f>
        <v>977336.77606646507</v>
      </c>
      <c r="AC54">
        <f>Assumptions!AC237</f>
        <v>1026203.6148697884</v>
      </c>
      <c r="AG54">
        <f>Assumptions!AG237</f>
        <v>874260.25359375007</v>
      </c>
      <c r="AH54">
        <f>Assumptions!AH237</f>
        <v>917973.26627343765</v>
      </c>
      <c r="AI54">
        <f>Assumptions!AI237</f>
        <v>963871.9295871096</v>
      </c>
      <c r="AJ54">
        <f>Assumptions!AJ237</f>
        <v>1012065.5260664651</v>
      </c>
      <c r="AK54">
        <f>Assumptions!AK237</f>
        <v>1062668.8023697883</v>
      </c>
    </row>
    <row r="55" spans="1:37" ht="21" customHeight="1">
      <c r="A55" s="217"/>
      <c r="B55" s="1"/>
      <c r="C55" s="81"/>
      <c r="F55" s="9">
        <f>SUM(F51:F54)</f>
        <v>91212.333333333343</v>
      </c>
      <c r="G55" s="9">
        <f t="shared" ref="G55:AK55" si="15">SUM(G51:G54)</f>
        <v>109228.11111111111</v>
      </c>
      <c r="H55" s="9">
        <f t="shared" si="15"/>
        <v>113455.92592592593</v>
      </c>
      <c r="I55" s="9">
        <f t="shared" si="15"/>
        <v>109373.77716049383</v>
      </c>
      <c r="J55" s="9">
        <f t="shared" si="15"/>
        <v>113641.66420781893</v>
      </c>
      <c r="K55" s="9">
        <f t="shared" si="15"/>
        <v>101269.58647102195</v>
      </c>
      <c r="L55" s="9">
        <f t="shared" si="15"/>
        <v>112277.54336317159</v>
      </c>
      <c r="M55" s="9">
        <f t="shared" si="15"/>
        <v>102775.53430711872</v>
      </c>
      <c r="N55" s="9">
        <f t="shared" si="15"/>
        <v>114053.55873533341</v>
      </c>
      <c r="O55" s="9">
        <f t="shared" si="15"/>
        <v>111581.61608974452</v>
      </c>
      <c r="P55" s="9">
        <f t="shared" si="15"/>
        <v>116099.70582158212</v>
      </c>
      <c r="Q55" s="9">
        <f t="shared" si="15"/>
        <v>108137.82739122241</v>
      </c>
      <c r="R55" s="9">
        <f t="shared" si="15"/>
        <v>681418.51889466273</v>
      </c>
      <c r="S55" s="9">
        <f t="shared" si="15"/>
        <v>711011.44036488852</v>
      </c>
      <c r="T55" s="9">
        <f t="shared" si="15"/>
        <v>1420758.447452836</v>
      </c>
      <c r="U55" s="9">
        <f t="shared" si="15"/>
        <v>1457490.0302872702</v>
      </c>
      <c r="V55" s="9">
        <f t="shared" si="15"/>
        <v>1506232.6304041641</v>
      </c>
      <c r="W55" s="9">
        <f t="shared" si="15"/>
        <v>0</v>
      </c>
      <c r="X55" s="9">
        <f t="shared" si="15"/>
        <v>0</v>
      </c>
      <c r="Y55" s="9">
        <f t="shared" si="15"/>
        <v>1603702.555630553</v>
      </c>
      <c r="Z55" s="9">
        <f t="shared" si="15"/>
        <v>1751516.0931617706</v>
      </c>
      <c r="AA55" s="9">
        <f t="shared" si="15"/>
        <v>1997107.1789230062</v>
      </c>
      <c r="AB55" s="9">
        <f t="shared" si="15"/>
        <v>2431152.3556730989</v>
      </c>
      <c r="AC55" s="9">
        <f t="shared" si="15"/>
        <v>3352804.5632835096</v>
      </c>
      <c r="AD55" s="9"/>
      <c r="AE55" s="9"/>
      <c r="AF55" s="9"/>
      <c r="AG55" s="9">
        <f t="shared" si="15"/>
        <v>3829672.1957516903</v>
      </c>
      <c r="AH55" s="9">
        <f t="shared" si="15"/>
        <v>4050013.2783009182</v>
      </c>
      <c r="AI55" s="9">
        <f t="shared" si="15"/>
        <v>4381053.8636963684</v>
      </c>
      <c r="AJ55" s="9">
        <f t="shared" si="15"/>
        <v>4971409.0588766513</v>
      </c>
      <c r="AK55" s="9">
        <f t="shared" si="15"/>
        <v>5138738.0303463731</v>
      </c>
    </row>
    <row r="56" spans="1:37">
      <c r="A56" s="219"/>
    </row>
    <row r="57" spans="1:37" ht="29">
      <c r="A57" s="216" t="s">
        <v>126</v>
      </c>
      <c r="B57" s="1"/>
      <c r="C57" s="1"/>
      <c r="F57" s="122">
        <f>ROUND(F48+F55+F43,0)</f>
        <v>118187</v>
      </c>
      <c r="G57" s="122">
        <f t="shared" ref="G57:AK57" si="16">ROUND(G48+G55+G43,0)</f>
        <v>161802</v>
      </c>
      <c r="H57" s="122">
        <f t="shared" si="16"/>
        <v>203667</v>
      </c>
      <c r="I57" s="122">
        <f t="shared" si="16"/>
        <v>228901</v>
      </c>
      <c r="J57" s="122">
        <f t="shared" si="16"/>
        <v>274972</v>
      </c>
      <c r="K57" s="122">
        <f t="shared" si="16"/>
        <v>266177</v>
      </c>
      <c r="L57" s="122">
        <f t="shared" si="16"/>
        <v>305300</v>
      </c>
      <c r="M57" s="122">
        <f t="shared" si="16"/>
        <v>296522</v>
      </c>
      <c r="N57" s="122">
        <f t="shared" si="16"/>
        <v>343501</v>
      </c>
      <c r="O57" s="122">
        <f t="shared" si="16"/>
        <v>367380</v>
      </c>
      <c r="P57" s="122">
        <f t="shared" si="16"/>
        <v>411065</v>
      </c>
      <c r="Q57" s="122">
        <f t="shared" si="16"/>
        <v>414911</v>
      </c>
      <c r="R57" s="122">
        <f t="shared" si="16"/>
        <v>1172173</v>
      </c>
      <c r="S57" s="122">
        <f t="shared" si="16"/>
        <v>1385531</v>
      </c>
      <c r="T57" s="122">
        <f t="shared" si="16"/>
        <v>2528450</v>
      </c>
      <c r="U57" s="122">
        <f t="shared" si="16"/>
        <v>2795485</v>
      </c>
      <c r="V57" s="122">
        <f t="shared" si="16"/>
        <v>3126504</v>
      </c>
      <c r="W57" s="122">
        <f t="shared" si="16"/>
        <v>0</v>
      </c>
      <c r="X57" s="122">
        <f t="shared" si="16"/>
        <v>0</v>
      </c>
      <c r="Y57" s="122">
        <f t="shared" si="16"/>
        <v>3486767</v>
      </c>
      <c r="Z57" s="122">
        <f t="shared" si="16"/>
        <v>3816024</v>
      </c>
      <c r="AA57" s="122">
        <f t="shared" si="16"/>
        <v>3760350</v>
      </c>
      <c r="AB57" s="122">
        <f t="shared" si="16"/>
        <v>3618320</v>
      </c>
      <c r="AC57" s="122">
        <f t="shared" si="16"/>
        <v>2671335</v>
      </c>
      <c r="AD57" s="122"/>
      <c r="AE57" s="122"/>
      <c r="AF57" s="122"/>
      <c r="AG57" s="122">
        <f t="shared" si="16"/>
        <v>11076113</v>
      </c>
      <c r="AH57" s="122">
        <f t="shared" si="16"/>
        <v>13129944</v>
      </c>
      <c r="AI57" s="122">
        <f t="shared" si="16"/>
        <v>15082298</v>
      </c>
      <c r="AJ57" s="122">
        <f t="shared" si="16"/>
        <v>17251982</v>
      </c>
      <c r="AK57" s="122">
        <f t="shared" si="16"/>
        <v>18966627</v>
      </c>
    </row>
    <row r="58" spans="1:37">
      <c r="A58" s="217"/>
      <c r="B58" s="1"/>
      <c r="C58" s="1"/>
    </row>
    <row r="59" spans="1:37" ht="15" thickBot="1">
      <c r="A59" s="222" t="s">
        <v>142</v>
      </c>
      <c r="B59" s="1"/>
      <c r="C59" s="1"/>
      <c r="F59">
        <f t="shared" ref="F59:V59" si="17">F36-F57</f>
        <v>1</v>
      </c>
      <c r="G59">
        <f t="shared" si="17"/>
        <v>0</v>
      </c>
      <c r="H59">
        <f t="shared" si="17"/>
        <v>1</v>
      </c>
      <c r="I59">
        <f t="shared" si="17"/>
        <v>1</v>
      </c>
      <c r="J59">
        <f t="shared" si="17"/>
        <v>1</v>
      </c>
      <c r="K59">
        <f t="shared" si="17"/>
        <v>2</v>
      </c>
      <c r="L59">
        <f t="shared" si="17"/>
        <v>1</v>
      </c>
      <c r="M59">
        <f t="shared" si="17"/>
        <v>2</v>
      </c>
      <c r="N59">
        <f t="shared" si="17"/>
        <v>1</v>
      </c>
      <c r="O59">
        <f t="shared" si="17"/>
        <v>1</v>
      </c>
      <c r="P59">
        <f t="shared" si="17"/>
        <v>1</v>
      </c>
      <c r="Q59">
        <f t="shared" si="17"/>
        <v>2</v>
      </c>
      <c r="R59">
        <f t="shared" si="17"/>
        <v>1</v>
      </c>
      <c r="S59">
        <f t="shared" si="17"/>
        <v>2</v>
      </c>
      <c r="T59">
        <f t="shared" si="17"/>
        <v>-16248</v>
      </c>
      <c r="U59">
        <f t="shared" si="17"/>
        <v>2</v>
      </c>
      <c r="V59">
        <f t="shared" si="17"/>
        <v>3</v>
      </c>
      <c r="W59">
        <f t="shared" ref="W59:AJ59" si="18">W36-W57</f>
        <v>0</v>
      </c>
      <c r="X59">
        <f t="shared" si="18"/>
        <v>0</v>
      </c>
      <c r="Y59">
        <f t="shared" si="18"/>
        <v>2</v>
      </c>
      <c r="Z59">
        <f t="shared" si="18"/>
        <v>2</v>
      </c>
      <c r="AA59">
        <f t="shared" si="18"/>
        <v>2</v>
      </c>
      <c r="AB59">
        <f t="shared" si="18"/>
        <v>2</v>
      </c>
      <c r="AC59">
        <f t="shared" si="18"/>
        <v>2</v>
      </c>
      <c r="AD59">
        <f t="shared" si="18"/>
        <v>0</v>
      </c>
      <c r="AE59">
        <f t="shared" si="18"/>
        <v>0</v>
      </c>
      <c r="AF59">
        <f t="shared" si="18"/>
        <v>0</v>
      </c>
      <c r="AG59">
        <f t="shared" si="18"/>
        <v>-1811686</v>
      </c>
      <c r="AH59">
        <f t="shared" si="18"/>
        <v>-1888440</v>
      </c>
      <c r="AI59">
        <f t="shared" si="18"/>
        <v>-1976706</v>
      </c>
      <c r="AJ59">
        <f t="shared" si="18"/>
        <v>-2078212</v>
      </c>
      <c r="AK59">
        <f>AK36-AK57</f>
        <v>-1299996</v>
      </c>
    </row>
    <row r="60" spans="1:37">
      <c r="A60" s="1"/>
      <c r="B60" s="1"/>
      <c r="C60" s="1"/>
    </row>
  </sheetData>
  <mergeCells count="2">
    <mergeCell ref="Y3:AC3"/>
    <mergeCell ref="AG3:AK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03DF5-5054-491B-8F60-FC58A9D8D256}">
  <dimension ref="B1:M56"/>
  <sheetViews>
    <sheetView workbookViewId="0">
      <selection activeCell="K8" sqref="K8"/>
    </sheetView>
  </sheetViews>
  <sheetFormatPr defaultRowHeight="14.5"/>
  <cols>
    <col min="2" max="2" width="31.90625" customWidth="1"/>
    <col min="3" max="3" width="19.6328125" customWidth="1"/>
    <col min="5" max="5" width="16.6328125" bestFit="1" customWidth="1"/>
    <col min="6" max="6" width="10" bestFit="1" customWidth="1"/>
    <col min="7" max="7" width="11.36328125" customWidth="1"/>
    <col min="8" max="8" width="13.36328125" customWidth="1"/>
  </cols>
  <sheetData>
    <row r="1" spans="2:13" ht="15" thickBot="1"/>
    <row r="2" spans="2:13" ht="15" customHeight="1" thickBot="1">
      <c r="B2" s="306" t="s">
        <v>339</v>
      </c>
      <c r="C2" s="307"/>
      <c r="D2" s="307"/>
      <c r="E2" s="307"/>
      <c r="F2" s="308"/>
      <c r="G2" s="173">
        <f>Assumptions!AF48+Assumptions!AG170+Assumptions!AG180+Assumptions!AG189+Assumptions!AG198+Assumptions!AG207+Assumptions!AG96+Assumptions!AG97+Assumptions!AG98+Assumptions!AG99+Assumptions!AG100+Assumptions!AG211+Assumptions!AG215+Assumptions!AG218</f>
        <v>3548354.9191072006</v>
      </c>
      <c r="M2">
        <f>Assumptions!AL48+Assumptions!AM170+Assumptions!AM180+Assumptions!AM189+Assumptions!AM198+Assumptions!AM207+Assumptions!AM96+Assumptions!AM97+Assumptions!AM98+Assumptions!AM99+Assumptions!AM100+Assumptions!AM211+Assumptions!AM215+Assumptions!AM218</f>
        <v>0</v>
      </c>
    </row>
    <row r="3" spans="2:13" ht="15" thickBot="1"/>
    <row r="4" spans="2:13">
      <c r="B4" s="312" t="s">
        <v>340</v>
      </c>
      <c r="C4" s="313"/>
      <c r="D4" s="313"/>
      <c r="E4" s="314"/>
      <c r="F4" s="46"/>
    </row>
    <row r="5" spans="2:13">
      <c r="B5" s="315" t="s">
        <v>353</v>
      </c>
      <c r="C5" s="316"/>
      <c r="D5" s="316"/>
      <c r="E5" s="317"/>
      <c r="F5" s="48">
        <f>Assumptions!D274</f>
        <v>1300000</v>
      </c>
    </row>
    <row r="6" spans="2:13" ht="15" thickBot="1">
      <c r="B6" s="318" t="s">
        <v>341</v>
      </c>
      <c r="C6" s="319"/>
      <c r="D6" s="319"/>
      <c r="E6" s="320"/>
      <c r="F6" s="51">
        <f>Assumptions!AG242+Assumptions!AG270</f>
        <v>2329078.9723374285</v>
      </c>
    </row>
    <row r="7" spans="2:13" ht="15" thickBot="1"/>
    <row r="8" spans="2:13">
      <c r="B8" s="174"/>
      <c r="C8" s="309"/>
      <c r="D8" s="309"/>
      <c r="E8" s="309"/>
      <c r="F8" s="309"/>
      <c r="G8" s="309"/>
      <c r="H8" s="310"/>
    </row>
    <row r="9" spans="2:13" ht="29" thickBot="1">
      <c r="B9" s="175"/>
      <c r="C9" s="176"/>
      <c r="D9" s="325" t="s">
        <v>342</v>
      </c>
      <c r="E9" s="177">
        <v>1</v>
      </c>
      <c r="F9" s="177">
        <v>2</v>
      </c>
      <c r="G9" s="177">
        <v>3</v>
      </c>
      <c r="H9" s="178">
        <v>4</v>
      </c>
    </row>
    <row r="10" spans="2:13" ht="15.5" thickBot="1">
      <c r="B10" s="175"/>
      <c r="C10" s="196">
        <v>2030</v>
      </c>
      <c r="E10" s="196">
        <v>2031</v>
      </c>
      <c r="F10" s="196">
        <v>2032</v>
      </c>
      <c r="G10" s="196">
        <v>2033</v>
      </c>
      <c r="H10" s="196">
        <v>2034</v>
      </c>
    </row>
    <row r="11" spans="2:13">
      <c r="B11" s="175" t="s">
        <v>343</v>
      </c>
      <c r="C11" s="179">
        <f>G2</f>
        <v>3548354.9191072006</v>
      </c>
      <c r="D11" s="179"/>
      <c r="E11">
        <f>Assumptions!AG48+Assumptions!AH170+Assumptions!AH180+Assumptions!AH189+Assumptions!AH198+Assumptions!AH207+Assumptions!AH96+Assumptions!AH97+Assumptions!AH98+Assumptions!AH99+Assumptions!AH100+Assumptions!AH211+Assumptions!AH215+Assumptions!AH218</f>
        <v>4300117.2295118934</v>
      </c>
      <c r="F11">
        <f>Assumptions!AH48+Assumptions!AI170+Assumptions!AI180+Assumptions!AI189+Assumptions!AI198+Assumptions!AI207+Assumptions!AI96+Assumptions!AI97+Assumptions!AI98+Assumptions!AI99+Assumptions!AI100+Assumptions!AI211+Assumptions!AI215+Assumptions!AI218</f>
        <v>4692816.9979434563</v>
      </c>
      <c r="G11">
        <f>Assumptions!AI48+Assumptions!AJ170+Assumptions!AJ180+Assumptions!AJ189+Assumptions!AJ198+Assumptions!AJ207+Assumptions!AJ96+Assumptions!AJ97+Assumptions!AJ98+Assumptions!AJ99+Assumptions!AJ100+Assumptions!AJ211+Assumptions!AJ215+Assumptions!AJ218</f>
        <v>5157915.2505041501</v>
      </c>
      <c r="H11">
        <f>Assumptions!AJ48+Assumptions!AK170+Assumptions!AK180+Assumptions!AK189+Assumptions!AK198+Assumptions!AK207+Assumptions!AK96+Assumptions!AK97+Assumptions!AK98+Assumptions!AK99+Assumptions!AK100+Assumptions!AK211+Assumptions!AK215+Assumptions!AK218</f>
        <v>6541221.4538455177</v>
      </c>
    </row>
    <row r="12" spans="2:13">
      <c r="B12" s="175" t="s">
        <v>344</v>
      </c>
      <c r="C12" s="179">
        <f>F6</f>
        <v>2329078.9723374285</v>
      </c>
      <c r="D12" s="180"/>
      <c r="E12" s="180">
        <f>E11*$D$16</f>
        <v>2150058.6147559467</v>
      </c>
      <c r="F12" s="180">
        <f t="shared" ref="F12:H12" si="0">F11*$D$16</f>
        <v>2346408.4989717281</v>
      </c>
      <c r="G12" s="180">
        <f t="shared" si="0"/>
        <v>2578957.625252075</v>
      </c>
      <c r="H12" s="180">
        <f t="shared" si="0"/>
        <v>3270610.7269227589</v>
      </c>
    </row>
    <row r="13" spans="2:13">
      <c r="B13" s="175" t="s">
        <v>345</v>
      </c>
      <c r="C13" s="179">
        <f>C11-C12</f>
        <v>1219275.9467697721</v>
      </c>
      <c r="D13" s="180"/>
      <c r="E13" s="180">
        <f>E11*$D$17</f>
        <v>2150058.6147559467</v>
      </c>
      <c r="F13" s="180">
        <f t="shared" ref="F13:H13" si="1">F11*$D$17</f>
        <v>2346408.4989717281</v>
      </c>
      <c r="G13" s="180">
        <f t="shared" si="1"/>
        <v>2578957.625252075</v>
      </c>
      <c r="H13" s="180">
        <f t="shared" si="1"/>
        <v>3270610.7269227589</v>
      </c>
    </row>
    <row r="14" spans="2:13">
      <c r="B14" s="175" t="s">
        <v>346</v>
      </c>
      <c r="C14" s="184">
        <f>F5</f>
        <v>1300000</v>
      </c>
      <c r="D14" s="185"/>
      <c r="E14" s="180">
        <f>C14</f>
        <v>1300000</v>
      </c>
      <c r="F14" s="180">
        <f>E14</f>
        <v>1300000</v>
      </c>
      <c r="G14" s="180">
        <f t="shared" ref="G14:H14" si="2">F14</f>
        <v>1300000</v>
      </c>
      <c r="H14" s="180">
        <f t="shared" si="2"/>
        <v>1300000</v>
      </c>
    </row>
    <row r="15" spans="2:13">
      <c r="B15" s="175"/>
      <c r="C15" s="181"/>
      <c r="D15" s="182"/>
      <c r="E15" s="182"/>
      <c r="F15" s="182"/>
      <c r="G15" s="182"/>
      <c r="H15" s="183"/>
    </row>
    <row r="16" spans="2:13">
      <c r="B16" s="175" t="str">
        <f>B6</f>
        <v>Liability &amp; Funds</v>
      </c>
      <c r="C16" s="175">
        <f>F6</f>
        <v>2329078.9723374285</v>
      </c>
      <c r="D16" s="186">
        <f>'Control Sheet'!D64/100</f>
        <v>0.5</v>
      </c>
      <c r="E16" s="187">
        <f>$D$16*E14</f>
        <v>650000</v>
      </c>
      <c r="F16" s="187">
        <f t="shared" ref="F16:H16" si="3">$D$16*F14</f>
        <v>650000</v>
      </c>
      <c r="G16" s="187">
        <f t="shared" si="3"/>
        <v>650000</v>
      </c>
      <c r="H16" s="188">
        <f t="shared" si="3"/>
        <v>650000</v>
      </c>
    </row>
    <row r="17" spans="2:8">
      <c r="B17" s="175" t="s">
        <v>347</v>
      </c>
      <c r="C17" s="179">
        <f>C13-C16</f>
        <v>-1109803.0255676564</v>
      </c>
      <c r="D17" s="186">
        <f>1-D16</f>
        <v>0.5</v>
      </c>
      <c r="E17" s="187">
        <f>$D$17*E14</f>
        <v>650000</v>
      </c>
      <c r="F17" s="187">
        <f t="shared" ref="F17:H17" si="4">$D$17*F14</f>
        <v>650000</v>
      </c>
      <c r="G17" s="187">
        <f t="shared" si="4"/>
        <v>650000</v>
      </c>
      <c r="H17" s="188">
        <f t="shared" si="4"/>
        <v>650000</v>
      </c>
    </row>
    <row r="18" spans="2:8">
      <c r="B18" s="175"/>
      <c r="C18" s="181"/>
      <c r="D18" s="182"/>
      <c r="E18" s="182"/>
      <c r="F18" s="182"/>
      <c r="G18" s="182"/>
      <c r="H18" s="183"/>
    </row>
    <row r="19" spans="2:8">
      <c r="B19" s="189" t="s">
        <v>348</v>
      </c>
      <c r="C19" s="181"/>
      <c r="D19" s="182"/>
      <c r="E19" s="182"/>
      <c r="F19" s="182"/>
      <c r="G19" s="182"/>
      <c r="H19" s="183"/>
    </row>
    <row r="20" spans="2:8">
      <c r="B20" s="175" t="s">
        <v>349</v>
      </c>
      <c r="C20" s="190">
        <f>Valuation!G37</f>
        <v>16250</v>
      </c>
      <c r="D20" s="191"/>
      <c r="E20" s="182"/>
      <c r="F20" s="182"/>
      <c r="G20" s="182"/>
      <c r="H20" s="183"/>
    </row>
    <row r="21" spans="2:8">
      <c r="B21" s="175"/>
      <c r="C21" s="181"/>
      <c r="D21" s="182"/>
      <c r="E21" s="182"/>
      <c r="F21" s="182"/>
      <c r="G21" s="182"/>
      <c r="H21" s="183"/>
    </row>
    <row r="22" spans="2:8">
      <c r="B22" s="189" t="s">
        <v>350</v>
      </c>
      <c r="C22" s="181"/>
      <c r="D22" s="182"/>
      <c r="E22" s="182"/>
      <c r="F22" s="182"/>
      <c r="G22" s="182"/>
      <c r="H22" s="183"/>
    </row>
    <row r="23" spans="2:8">
      <c r="B23" s="175" t="s">
        <v>341</v>
      </c>
      <c r="C23" s="181"/>
      <c r="D23" s="182"/>
      <c r="E23" s="192">
        <f>E16/$C$20</f>
        <v>40</v>
      </c>
      <c r="F23" s="192">
        <f t="shared" ref="F23:H23" si="5">F16/$C$20</f>
        <v>40</v>
      </c>
      <c r="G23" s="192">
        <f t="shared" si="5"/>
        <v>40</v>
      </c>
      <c r="H23" s="192">
        <f t="shared" si="5"/>
        <v>40</v>
      </c>
    </row>
    <row r="24" spans="2:8">
      <c r="B24" s="175" t="s">
        <v>351</v>
      </c>
      <c r="C24" s="181"/>
      <c r="D24" s="182"/>
      <c r="E24" s="192">
        <f>E17/$C$20</f>
        <v>40</v>
      </c>
      <c r="F24" s="192">
        <f t="shared" ref="F24:H24" si="6">F17/$C$20</f>
        <v>40</v>
      </c>
      <c r="G24" s="192">
        <f t="shared" si="6"/>
        <v>40</v>
      </c>
      <c r="H24" s="192">
        <f t="shared" si="6"/>
        <v>40</v>
      </c>
    </row>
    <row r="25" spans="2:8">
      <c r="B25" s="175"/>
      <c r="C25" s="181"/>
      <c r="D25" s="182"/>
      <c r="E25" s="182"/>
      <c r="F25" s="182"/>
      <c r="G25" s="182"/>
      <c r="H25" s="183"/>
    </row>
    <row r="26" spans="2:8" ht="15" thickBot="1">
      <c r="B26" s="193" t="s">
        <v>352</v>
      </c>
      <c r="C26" s="194"/>
      <c r="D26" s="195"/>
      <c r="E26" s="206">
        <f>PnL!AG15/(SUM(E16:E17))*100</f>
        <v>195.11153846153846</v>
      </c>
      <c r="F26" s="206">
        <f>PnL!AH15/(SUM(F16:F17))*100</f>
        <v>207.00269230769231</v>
      </c>
      <c r="G26" s="206">
        <f>PnL!AI15/(SUM(G16:G17))*100</f>
        <v>220.83215384615386</v>
      </c>
      <c r="H26" s="206">
        <f>PnL!AJ15/(SUM(H16:H17))*100</f>
        <v>201.4993846153846</v>
      </c>
    </row>
    <row r="27" spans="2:8">
      <c r="B27" s="176"/>
      <c r="C27" s="176"/>
      <c r="D27" s="176"/>
      <c r="E27" s="176"/>
      <c r="F27" s="176"/>
      <c r="G27" s="176"/>
      <c r="H27" s="176"/>
    </row>
    <row r="28" spans="2:8">
      <c r="B28" s="176"/>
      <c r="C28" s="176"/>
      <c r="D28" s="176"/>
      <c r="E28" s="176"/>
      <c r="F28" s="176"/>
      <c r="G28" s="176"/>
      <c r="H28" s="176"/>
    </row>
    <row r="29" spans="2:8">
      <c r="B29" s="198"/>
      <c r="C29" s="311"/>
      <c r="D29" s="311"/>
      <c r="E29" s="311"/>
      <c r="F29" s="311"/>
      <c r="G29" s="311"/>
      <c r="H29" s="311"/>
    </row>
    <row r="30" spans="2:8">
      <c r="B30" s="198"/>
      <c r="C30" s="198"/>
      <c r="D30" s="199"/>
      <c r="E30" s="199"/>
      <c r="F30" s="199"/>
      <c r="G30" s="199"/>
      <c r="H30" s="200"/>
    </row>
    <row r="31" spans="2:8">
      <c r="B31" s="198"/>
      <c r="C31" s="198"/>
      <c r="D31" s="200"/>
      <c r="E31" s="200"/>
      <c r="F31" s="200"/>
      <c r="G31" s="200"/>
      <c r="H31" s="200"/>
    </row>
    <row r="32" spans="2:8">
      <c r="B32" s="198"/>
      <c r="C32" s="198"/>
      <c r="D32" s="201"/>
      <c r="E32" s="201"/>
      <c r="F32" s="201"/>
      <c r="G32" s="201"/>
      <c r="H32" s="201"/>
    </row>
    <row r="33" spans="2:8">
      <c r="B33" s="198"/>
      <c r="C33" s="198"/>
      <c r="D33" s="201"/>
      <c r="E33" s="201"/>
      <c r="F33" s="201"/>
      <c r="G33" s="201"/>
      <c r="H33" s="201"/>
    </row>
    <row r="34" spans="2:8">
      <c r="B34" s="198"/>
      <c r="C34" s="198"/>
      <c r="D34" s="201"/>
      <c r="E34" s="201"/>
      <c r="F34" s="201"/>
      <c r="G34" s="201"/>
      <c r="H34" s="201"/>
    </row>
    <row r="35" spans="2:8">
      <c r="B35" s="198"/>
      <c r="C35" s="198"/>
      <c r="D35" s="198"/>
      <c r="E35" s="198"/>
      <c r="F35" s="198"/>
      <c r="G35" s="198"/>
      <c r="H35" s="198"/>
    </row>
    <row r="36" spans="2:8">
      <c r="B36" s="198"/>
      <c r="C36" s="198"/>
      <c r="D36" s="198"/>
      <c r="E36" s="198"/>
      <c r="F36" s="198"/>
      <c r="G36" s="198"/>
      <c r="H36" s="198"/>
    </row>
    <row r="37" spans="2:8">
      <c r="B37" s="198"/>
      <c r="C37" s="198"/>
      <c r="D37" s="201"/>
      <c r="E37" s="201"/>
      <c r="F37" s="201"/>
      <c r="G37" s="201"/>
      <c r="H37" s="201"/>
    </row>
    <row r="38" spans="2:8">
      <c r="B38" s="198"/>
      <c r="C38" s="198"/>
      <c r="D38" s="198"/>
      <c r="E38" s="198"/>
      <c r="F38" s="198"/>
      <c r="G38" s="198"/>
      <c r="H38" s="198"/>
    </row>
    <row r="39" spans="2:8">
      <c r="B39" s="198"/>
      <c r="C39" s="197"/>
      <c r="D39" s="201"/>
      <c r="E39" s="201"/>
      <c r="F39" s="201"/>
      <c r="G39" s="201"/>
      <c r="H39" s="201"/>
    </row>
    <row r="40" spans="2:8">
      <c r="B40" s="198"/>
      <c r="C40" s="197"/>
      <c r="D40" s="201"/>
      <c r="E40" s="201"/>
      <c r="F40" s="201"/>
      <c r="G40" s="201"/>
      <c r="H40" s="201"/>
    </row>
    <row r="41" spans="2:8">
      <c r="B41" s="198"/>
      <c r="C41" s="198"/>
      <c r="D41" s="198"/>
      <c r="E41" s="198"/>
      <c r="F41" s="198"/>
      <c r="G41" s="198"/>
      <c r="H41" s="198"/>
    </row>
    <row r="42" spans="2:8">
      <c r="B42" s="202"/>
      <c r="C42" s="198"/>
      <c r="D42" s="198"/>
      <c r="E42" s="198"/>
      <c r="F42" s="198"/>
      <c r="G42" s="198"/>
      <c r="H42" s="198"/>
    </row>
    <row r="43" spans="2:8">
      <c r="B43" s="198"/>
      <c r="C43" s="198"/>
      <c r="D43" s="203"/>
      <c r="E43" s="198"/>
      <c r="F43" s="198"/>
      <c r="G43" s="198"/>
      <c r="H43" s="198"/>
    </row>
    <row r="44" spans="2:8">
      <c r="B44" s="198"/>
      <c r="C44" s="198"/>
      <c r="D44" s="198"/>
      <c r="E44" s="198"/>
      <c r="F44" s="198"/>
      <c r="G44" s="198"/>
      <c r="H44" s="198"/>
    </row>
    <row r="45" spans="2:8">
      <c r="B45" s="202"/>
      <c r="C45" s="198"/>
      <c r="D45" s="198"/>
      <c r="E45" s="198"/>
      <c r="F45" s="198"/>
      <c r="G45" s="198"/>
      <c r="H45" s="198"/>
    </row>
    <row r="46" spans="2:8">
      <c r="B46" s="198"/>
      <c r="C46" s="198"/>
      <c r="D46" s="203"/>
      <c r="E46" s="198"/>
      <c r="F46" s="198"/>
      <c r="G46" s="198"/>
      <c r="H46" s="198"/>
    </row>
    <row r="47" spans="2:8">
      <c r="B47" s="198"/>
      <c r="C47" s="198"/>
      <c r="D47" s="204"/>
      <c r="E47" s="198"/>
      <c r="F47" s="198"/>
      <c r="G47" s="198"/>
      <c r="H47" s="198"/>
    </row>
    <row r="48" spans="2:8">
      <c r="B48" s="198"/>
      <c r="C48" s="198"/>
      <c r="D48" s="203"/>
      <c r="E48" s="198"/>
      <c r="F48" s="198"/>
      <c r="G48" s="198"/>
      <c r="H48" s="198"/>
    </row>
    <row r="49" spans="2:8">
      <c r="B49" s="198"/>
      <c r="C49" s="198"/>
      <c r="D49" s="203"/>
      <c r="E49" s="198"/>
      <c r="F49" s="198"/>
      <c r="G49" s="198"/>
      <c r="H49" s="198"/>
    </row>
    <row r="50" spans="2:8">
      <c r="B50" s="198"/>
      <c r="C50" s="198"/>
      <c r="D50" s="198"/>
      <c r="E50" s="198"/>
      <c r="F50" s="198"/>
      <c r="G50" s="198"/>
      <c r="H50" s="198"/>
    </row>
    <row r="51" spans="2:8">
      <c r="B51" s="202"/>
      <c r="C51" s="198"/>
      <c r="D51" s="198"/>
      <c r="E51" s="198"/>
      <c r="F51" s="198"/>
      <c r="G51" s="198"/>
      <c r="H51" s="198"/>
    </row>
    <row r="52" spans="2:8">
      <c r="B52" s="198"/>
      <c r="C52" s="198"/>
      <c r="D52" s="205"/>
      <c r="E52" s="205"/>
      <c r="F52" s="205"/>
      <c r="G52" s="205"/>
      <c r="H52" s="197"/>
    </row>
    <row r="53" spans="2:8">
      <c r="B53" s="198"/>
      <c r="C53" s="198"/>
      <c r="D53" s="205"/>
      <c r="E53" s="205"/>
      <c r="F53" s="205"/>
      <c r="G53" s="205"/>
      <c r="H53" s="198"/>
    </row>
    <row r="54" spans="2:8">
      <c r="B54" s="198"/>
      <c r="C54" s="198"/>
      <c r="D54" s="198"/>
      <c r="E54" s="198"/>
      <c r="F54" s="198"/>
      <c r="G54" s="198"/>
      <c r="H54" s="198"/>
    </row>
    <row r="55" spans="2:8">
      <c r="B55" s="202"/>
      <c r="C55" s="198"/>
      <c r="D55" s="205"/>
      <c r="E55" s="205"/>
      <c r="F55" s="205"/>
      <c r="G55" s="205"/>
      <c r="H55" s="198"/>
    </row>
    <row r="56" spans="2:8">
      <c r="B56" s="176"/>
      <c r="C56" s="176"/>
      <c r="D56" s="176"/>
      <c r="E56" s="176"/>
      <c r="F56" s="176"/>
      <c r="G56" s="176"/>
      <c r="H56" s="176"/>
    </row>
  </sheetData>
  <mergeCells count="6">
    <mergeCell ref="B2:F2"/>
    <mergeCell ref="C8:H8"/>
    <mergeCell ref="C29:H29"/>
    <mergeCell ref="B4:E4"/>
    <mergeCell ref="B5:E5"/>
    <mergeCell ref="B6: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Control Sheet</vt:lpstr>
      <vt:lpstr>Assumptions</vt:lpstr>
      <vt:lpstr>Valuation</vt:lpstr>
      <vt:lpstr>PnL</vt:lpstr>
      <vt:lpstr>CFS</vt:lpstr>
      <vt:lpstr>Balance Sheet</vt:lpstr>
      <vt:lpstr>Private Equity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RAHIM SHAIKH - 26570</dc:creator>
  <cp:lastModifiedBy>ABDUL RAHIM SHAIKH - 26570</cp:lastModifiedBy>
  <dcterms:created xsi:type="dcterms:W3CDTF">2024-10-15T13:35:01Z</dcterms:created>
  <dcterms:modified xsi:type="dcterms:W3CDTF">2025-01-19T09:18:57Z</dcterms:modified>
</cp:coreProperties>
</file>