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nab\Desktop\FMod\"/>
    </mc:Choice>
  </mc:AlternateContent>
  <xr:revisionPtr revIDLastSave="0" documentId="13_ncr:1_{7A61A2B8-3142-4B42-9C13-1E9FD9F17523}" xr6:coauthVersionLast="47" xr6:coauthVersionMax="47" xr10:uidLastSave="{00000000-0000-0000-0000-000000000000}"/>
  <bookViews>
    <workbookView xWindow="-110" yWindow="-110" windowWidth="19420" windowHeight="10300" xr2:uid="{0AB419E0-13C4-453C-946A-B8C7ACE75668}"/>
  </bookViews>
  <sheets>
    <sheet name="Assumptions" sheetId="1" r:id="rId1"/>
    <sheet name="PnL" sheetId="2" r:id="rId2"/>
    <sheet name="Balance Sheet" sheetId="3" r:id="rId3"/>
    <sheet name="CFS" sheetId="4" r:id="rId4"/>
    <sheet name="Valuation" sheetId="5" r:id="rId5"/>
  </sheets>
  <definedNames>
    <definedName name="_xlchart.v1.0" hidden="1">PnL!$N$21</definedName>
    <definedName name="_xlchart.v1.1" hidden="1">PnL!$N$22</definedName>
    <definedName name="_xlchart.v1.2" hidden="1">PnL!$O$21:$AE$21</definedName>
    <definedName name="_xlchart.v1.3" hidden="1">PnL!$O$22:$AE$22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2" l="1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O22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O21" i="2"/>
  <c r="R61" i="1"/>
  <c r="D76" i="1"/>
  <c r="D70" i="1"/>
  <c r="D57" i="1"/>
  <c r="F49" i="1"/>
  <c r="R49" i="1"/>
  <c r="U42" i="1"/>
  <c r="V42" i="1"/>
  <c r="T42" i="1"/>
  <c r="S42" i="1"/>
  <c r="R42" i="1"/>
  <c r="G42" i="1"/>
  <c r="H42" i="1"/>
  <c r="I42" i="1"/>
  <c r="J42" i="1"/>
  <c r="K42" i="1"/>
  <c r="L42" i="1"/>
  <c r="M42" i="1"/>
  <c r="N42" i="1"/>
  <c r="O42" i="1"/>
  <c r="P42" i="1"/>
  <c r="Q42" i="1"/>
  <c r="F42" i="1"/>
  <c r="L61" i="1" l="1"/>
  <c r="M61" i="1" s="1"/>
  <c r="N61" i="1" s="1"/>
  <c r="O61" i="1" s="1"/>
  <c r="P61" i="1" s="1"/>
  <c r="Q61" i="1" s="1"/>
  <c r="G15" i="5"/>
  <c r="D17" i="5"/>
  <c r="D19" i="5" s="1"/>
  <c r="S61" i="1" l="1"/>
  <c r="T61" i="1" s="1"/>
  <c r="U61" i="1" s="1"/>
  <c r="V61" i="1" s="1"/>
  <c r="G23" i="4"/>
  <c r="H23" i="4"/>
  <c r="E8" i="3" l="1"/>
  <c r="B8" i="3"/>
  <c r="C8" i="3"/>
  <c r="D8" i="3"/>
  <c r="U21" i="4"/>
  <c r="V21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F23" i="4"/>
  <c r="F21" i="3"/>
  <c r="F22" i="4" s="1"/>
  <c r="F103" i="1"/>
  <c r="F19" i="3" s="1"/>
  <c r="F21" i="4" s="1"/>
  <c r="G105" i="1"/>
  <c r="G21" i="3" s="1"/>
  <c r="G99" i="1"/>
  <c r="H99" i="1"/>
  <c r="I99" i="1"/>
  <c r="J99" i="1"/>
  <c r="K99" i="1"/>
  <c r="L99" i="1"/>
  <c r="M99" i="1"/>
  <c r="N99" i="1"/>
  <c r="O99" i="1"/>
  <c r="P99" i="1"/>
  <c r="Q99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F100" i="1"/>
  <c r="F99" i="1"/>
  <c r="B9" i="3"/>
  <c r="C9" i="3"/>
  <c r="D9" i="3"/>
  <c r="B10" i="3"/>
  <c r="C10" i="3"/>
  <c r="D10" i="3"/>
  <c r="A9" i="3"/>
  <c r="A10" i="3"/>
  <c r="A8" i="3"/>
  <c r="I4" i="2"/>
  <c r="J4" i="2" s="1"/>
  <c r="K4" i="2" s="1"/>
  <c r="L4" i="2" s="1"/>
  <c r="M4" i="2" s="1"/>
  <c r="N4" i="2" s="1"/>
  <c r="O4" i="2" s="1"/>
  <c r="P4" i="2" s="1"/>
  <c r="Q4" i="2" s="1"/>
  <c r="F60" i="1"/>
  <c r="P60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F52" i="1"/>
  <c r="U72" i="1"/>
  <c r="V72" i="1" s="1"/>
  <c r="S72" i="1"/>
  <c r="G72" i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F75" i="1"/>
  <c r="D75" i="1"/>
  <c r="D72" i="1" s="1"/>
  <c r="F69" i="1"/>
  <c r="D69" i="1"/>
  <c r="BT68" i="1" s="1"/>
  <c r="F56" i="1"/>
  <c r="H105" i="1" l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V21" i="3" s="1"/>
  <c r="G103" i="1"/>
  <c r="H103" i="1" s="1"/>
  <c r="I103" i="1" s="1"/>
  <c r="F51" i="1"/>
  <c r="F7" i="2" s="1"/>
  <c r="F84" i="1"/>
  <c r="H95" i="1" s="1"/>
  <c r="H12" i="3" s="1"/>
  <c r="P21" i="3"/>
  <c r="H21" i="3"/>
  <c r="H22" i="4" s="1"/>
  <c r="I95" i="1"/>
  <c r="I12" i="3" s="1"/>
  <c r="H19" i="3"/>
  <c r="O21" i="3"/>
  <c r="N21" i="3"/>
  <c r="U21" i="3"/>
  <c r="V22" i="4" s="1"/>
  <c r="M21" i="3"/>
  <c r="P51" i="1"/>
  <c r="P7" i="2" s="1"/>
  <c r="T21" i="3"/>
  <c r="L21" i="3"/>
  <c r="S21" i="3"/>
  <c r="K21" i="3"/>
  <c r="R21" i="3"/>
  <c r="J21" i="3"/>
  <c r="Q21" i="3"/>
  <c r="I21" i="3"/>
  <c r="F95" i="1"/>
  <c r="F12" i="3" s="1"/>
  <c r="F18" i="4" s="1"/>
  <c r="G95" i="1"/>
  <c r="G12" i="3" s="1"/>
  <c r="N95" i="1"/>
  <c r="N12" i="3" s="1"/>
  <c r="U95" i="1"/>
  <c r="U12" i="3" s="1"/>
  <c r="M95" i="1"/>
  <c r="M12" i="3" s="1"/>
  <c r="T95" i="1"/>
  <c r="T12" i="3" s="1"/>
  <c r="L95" i="1"/>
  <c r="L12" i="3" s="1"/>
  <c r="K95" i="1"/>
  <c r="K12" i="3" s="1"/>
  <c r="R95" i="1"/>
  <c r="R12" i="3" s="1"/>
  <c r="J95" i="1"/>
  <c r="J12" i="3" s="1"/>
  <c r="Q95" i="1"/>
  <c r="Q12" i="3" s="1"/>
  <c r="N22" i="4"/>
  <c r="G22" i="4"/>
  <c r="CN74" i="1"/>
  <c r="CN76" i="1" s="1"/>
  <c r="CN85" i="1" s="1"/>
  <c r="AC74" i="1"/>
  <c r="AC76" i="1" s="1"/>
  <c r="DE74" i="1"/>
  <c r="DE76" i="1" s="1"/>
  <c r="DE85" i="1" s="1"/>
  <c r="CO74" i="1"/>
  <c r="CO76" i="1" s="1"/>
  <c r="CO85" i="1" s="1"/>
  <c r="DU74" i="1"/>
  <c r="DU76" i="1" s="1"/>
  <c r="DU85" i="1" s="1"/>
  <c r="CG74" i="1"/>
  <c r="CG76" i="1" s="1"/>
  <c r="CG85" i="1" s="1"/>
  <c r="U74" i="1"/>
  <c r="U76" i="1" s="1"/>
  <c r="BA74" i="1"/>
  <c r="BA76" i="1" s="1"/>
  <c r="AK74" i="1"/>
  <c r="AK76" i="1" s="1"/>
  <c r="DT74" i="1"/>
  <c r="DT76" i="1" s="1"/>
  <c r="DT85" i="1" s="1"/>
  <c r="BY74" i="1"/>
  <c r="BY76" i="1" s="1"/>
  <c r="M74" i="1"/>
  <c r="M76" i="1" s="1"/>
  <c r="CW74" i="1"/>
  <c r="CW76" i="1" s="1"/>
  <c r="CW85" i="1" s="1"/>
  <c r="DM74" i="1"/>
  <c r="DM76" i="1" s="1"/>
  <c r="DM85" i="1" s="1"/>
  <c r="BQ74" i="1"/>
  <c r="BQ76" i="1" s="1"/>
  <c r="AS74" i="1"/>
  <c r="AS76" i="1" s="1"/>
  <c r="DL74" i="1"/>
  <c r="DL76" i="1" s="1"/>
  <c r="DL85" i="1" s="1"/>
  <c r="BI74" i="1"/>
  <c r="BI76" i="1" s="1"/>
  <c r="AZ74" i="1"/>
  <c r="AZ76" i="1" s="1"/>
  <c r="T74" i="1"/>
  <c r="T76" i="1" s="1"/>
  <c r="DS74" i="1"/>
  <c r="DS76" i="1" s="1"/>
  <c r="DS85" i="1" s="1"/>
  <c r="DK74" i="1"/>
  <c r="DK76" i="1" s="1"/>
  <c r="DK85" i="1" s="1"/>
  <c r="DC74" i="1"/>
  <c r="DC76" i="1" s="1"/>
  <c r="DC85" i="1" s="1"/>
  <c r="CU74" i="1"/>
  <c r="CU76" i="1" s="1"/>
  <c r="CU85" i="1" s="1"/>
  <c r="CM74" i="1"/>
  <c r="CM76" i="1" s="1"/>
  <c r="CM85" i="1" s="1"/>
  <c r="CE74" i="1"/>
  <c r="CE76" i="1" s="1"/>
  <c r="CE85" i="1" s="1"/>
  <c r="BW74" i="1"/>
  <c r="BW76" i="1" s="1"/>
  <c r="BO74" i="1"/>
  <c r="BO76" i="1" s="1"/>
  <c r="BG74" i="1"/>
  <c r="BG76" i="1" s="1"/>
  <c r="AY74" i="1"/>
  <c r="AY76" i="1" s="1"/>
  <c r="AQ74" i="1"/>
  <c r="AQ76" i="1" s="1"/>
  <c r="AI74" i="1"/>
  <c r="AI76" i="1" s="1"/>
  <c r="AA74" i="1"/>
  <c r="AA76" i="1" s="1"/>
  <c r="S74" i="1"/>
  <c r="S76" i="1" s="1"/>
  <c r="K74" i="1"/>
  <c r="K76" i="1" s="1"/>
  <c r="DR74" i="1"/>
  <c r="DR76" i="1" s="1"/>
  <c r="DR85" i="1" s="1"/>
  <c r="DJ74" i="1"/>
  <c r="DJ76" i="1" s="1"/>
  <c r="DJ85" i="1" s="1"/>
  <c r="DB74" i="1"/>
  <c r="DB76" i="1" s="1"/>
  <c r="DB85" i="1" s="1"/>
  <c r="CT74" i="1"/>
  <c r="CT76" i="1" s="1"/>
  <c r="CT85" i="1" s="1"/>
  <c r="CL74" i="1"/>
  <c r="CL76" i="1" s="1"/>
  <c r="CL85" i="1" s="1"/>
  <c r="CD74" i="1"/>
  <c r="CD76" i="1" s="1"/>
  <c r="CD85" i="1" s="1"/>
  <c r="BV74" i="1"/>
  <c r="BV76" i="1" s="1"/>
  <c r="BN74" i="1"/>
  <c r="BN76" i="1" s="1"/>
  <c r="BF74" i="1"/>
  <c r="BF76" i="1" s="1"/>
  <c r="AX74" i="1"/>
  <c r="AX76" i="1" s="1"/>
  <c r="AP74" i="1"/>
  <c r="AP76" i="1" s="1"/>
  <c r="AH74" i="1"/>
  <c r="AH76" i="1" s="1"/>
  <c r="Z74" i="1"/>
  <c r="Z76" i="1" s="1"/>
  <c r="R74" i="1"/>
  <c r="R76" i="1" s="1"/>
  <c r="J74" i="1"/>
  <c r="J76" i="1" s="1"/>
  <c r="BH74" i="1"/>
  <c r="BH76" i="1" s="1"/>
  <c r="L74" i="1"/>
  <c r="L76" i="1" s="1"/>
  <c r="DQ74" i="1"/>
  <c r="DQ76" i="1" s="1"/>
  <c r="DQ85" i="1" s="1"/>
  <c r="DI74" i="1"/>
  <c r="DI76" i="1" s="1"/>
  <c r="DI85" i="1" s="1"/>
  <c r="DA74" i="1"/>
  <c r="DA76" i="1" s="1"/>
  <c r="DA85" i="1" s="1"/>
  <c r="CS74" i="1"/>
  <c r="CS76" i="1" s="1"/>
  <c r="CS85" i="1" s="1"/>
  <c r="CK74" i="1"/>
  <c r="CK76" i="1" s="1"/>
  <c r="CK85" i="1" s="1"/>
  <c r="CC74" i="1"/>
  <c r="CC76" i="1" s="1"/>
  <c r="CC85" i="1" s="1"/>
  <c r="BU74" i="1"/>
  <c r="BU76" i="1" s="1"/>
  <c r="BM74" i="1"/>
  <c r="BM76" i="1" s="1"/>
  <c r="BE74" i="1"/>
  <c r="BE76" i="1" s="1"/>
  <c r="AW74" i="1"/>
  <c r="AW76" i="1" s="1"/>
  <c r="AO74" i="1"/>
  <c r="AO76" i="1" s="1"/>
  <c r="AG74" i="1"/>
  <c r="AG76" i="1" s="1"/>
  <c r="Y74" i="1"/>
  <c r="Y76" i="1" s="1"/>
  <c r="Q74" i="1"/>
  <c r="Q76" i="1" s="1"/>
  <c r="I74" i="1"/>
  <c r="I76" i="1" s="1"/>
  <c r="CV74" i="1"/>
  <c r="CV76" i="1" s="1"/>
  <c r="CV85" i="1" s="1"/>
  <c r="CF74" i="1"/>
  <c r="CF76" i="1" s="1"/>
  <c r="CF85" i="1" s="1"/>
  <c r="AR74" i="1"/>
  <c r="AR76" i="1" s="1"/>
  <c r="F74" i="1"/>
  <c r="F76" i="1" s="1"/>
  <c r="F77" i="1" s="1"/>
  <c r="G75" i="1" s="1"/>
  <c r="DP74" i="1"/>
  <c r="DP76" i="1" s="1"/>
  <c r="DP85" i="1" s="1"/>
  <c r="DH74" i="1"/>
  <c r="DH76" i="1" s="1"/>
  <c r="DH85" i="1" s="1"/>
  <c r="CZ74" i="1"/>
  <c r="CZ76" i="1" s="1"/>
  <c r="CZ85" i="1" s="1"/>
  <c r="CR74" i="1"/>
  <c r="CR76" i="1" s="1"/>
  <c r="CR85" i="1" s="1"/>
  <c r="CJ74" i="1"/>
  <c r="CJ76" i="1" s="1"/>
  <c r="CJ85" i="1" s="1"/>
  <c r="CB74" i="1"/>
  <c r="CB76" i="1" s="1"/>
  <c r="CB85" i="1" s="1"/>
  <c r="BT74" i="1"/>
  <c r="BT76" i="1" s="1"/>
  <c r="BL74" i="1"/>
  <c r="BL76" i="1" s="1"/>
  <c r="BD74" i="1"/>
  <c r="BD76" i="1" s="1"/>
  <c r="AV74" i="1"/>
  <c r="AV76" i="1" s="1"/>
  <c r="AN74" i="1"/>
  <c r="AN76" i="1" s="1"/>
  <c r="AF74" i="1"/>
  <c r="AF76" i="1" s="1"/>
  <c r="X74" i="1"/>
  <c r="X76" i="1" s="1"/>
  <c r="P74" i="1"/>
  <c r="P76" i="1" s="1"/>
  <c r="H74" i="1"/>
  <c r="H76" i="1" s="1"/>
  <c r="BP74" i="1"/>
  <c r="BP76" i="1" s="1"/>
  <c r="AB74" i="1"/>
  <c r="AB76" i="1" s="1"/>
  <c r="G74" i="1"/>
  <c r="G76" i="1" s="1"/>
  <c r="DO74" i="1"/>
  <c r="DO76" i="1" s="1"/>
  <c r="DO85" i="1" s="1"/>
  <c r="DG74" i="1"/>
  <c r="DG76" i="1" s="1"/>
  <c r="DG85" i="1" s="1"/>
  <c r="CY74" i="1"/>
  <c r="CY76" i="1" s="1"/>
  <c r="CY85" i="1" s="1"/>
  <c r="CQ74" i="1"/>
  <c r="CQ76" i="1" s="1"/>
  <c r="CQ85" i="1" s="1"/>
  <c r="CI74" i="1"/>
  <c r="CI76" i="1" s="1"/>
  <c r="CI85" i="1" s="1"/>
  <c r="CA74" i="1"/>
  <c r="CA76" i="1" s="1"/>
  <c r="CA85" i="1" s="1"/>
  <c r="BS74" i="1"/>
  <c r="BS76" i="1" s="1"/>
  <c r="BK74" i="1"/>
  <c r="BK76" i="1" s="1"/>
  <c r="BC74" i="1"/>
  <c r="BC76" i="1" s="1"/>
  <c r="AU74" i="1"/>
  <c r="AU76" i="1" s="1"/>
  <c r="AM74" i="1"/>
  <c r="AM76" i="1" s="1"/>
  <c r="AE74" i="1"/>
  <c r="AE76" i="1" s="1"/>
  <c r="W74" i="1"/>
  <c r="W76" i="1" s="1"/>
  <c r="O74" i="1"/>
  <c r="O76" i="1" s="1"/>
  <c r="DD74" i="1"/>
  <c r="DD76" i="1" s="1"/>
  <c r="DD85" i="1" s="1"/>
  <c r="BX74" i="1"/>
  <c r="BX76" i="1" s="1"/>
  <c r="AJ74" i="1"/>
  <c r="AJ76" i="1" s="1"/>
  <c r="DV74" i="1"/>
  <c r="DV76" i="1" s="1"/>
  <c r="DV85" i="1" s="1"/>
  <c r="DN74" i="1"/>
  <c r="DN76" i="1" s="1"/>
  <c r="DN85" i="1" s="1"/>
  <c r="DF74" i="1"/>
  <c r="DF76" i="1" s="1"/>
  <c r="DF85" i="1" s="1"/>
  <c r="CX74" i="1"/>
  <c r="CX76" i="1" s="1"/>
  <c r="CX85" i="1" s="1"/>
  <c r="CP74" i="1"/>
  <c r="CP76" i="1" s="1"/>
  <c r="CP85" i="1" s="1"/>
  <c r="CH74" i="1"/>
  <c r="CH76" i="1" s="1"/>
  <c r="CH85" i="1" s="1"/>
  <c r="BZ74" i="1"/>
  <c r="BZ76" i="1" s="1"/>
  <c r="BR74" i="1"/>
  <c r="BR76" i="1" s="1"/>
  <c r="BJ74" i="1"/>
  <c r="BJ76" i="1" s="1"/>
  <c r="BB74" i="1"/>
  <c r="BB76" i="1" s="1"/>
  <c r="AT74" i="1"/>
  <c r="AT76" i="1" s="1"/>
  <c r="AL74" i="1"/>
  <c r="AL76" i="1" s="1"/>
  <c r="AD74" i="1"/>
  <c r="AD76" i="1" s="1"/>
  <c r="V74" i="1"/>
  <c r="V76" i="1" s="1"/>
  <c r="N74" i="1"/>
  <c r="N76" i="1" s="1"/>
  <c r="AO68" i="1"/>
  <c r="Y68" i="1"/>
  <c r="BS68" i="1"/>
  <c r="BL68" i="1"/>
  <c r="BD68" i="1"/>
  <c r="AV68" i="1"/>
  <c r="AN68" i="1"/>
  <c r="AF68" i="1"/>
  <c r="X68" i="1"/>
  <c r="P68" i="1"/>
  <c r="H68" i="1"/>
  <c r="BZ68" i="1"/>
  <c r="BR68" i="1"/>
  <c r="O68" i="1"/>
  <c r="CG68" i="1"/>
  <c r="BY68" i="1"/>
  <c r="BQ68" i="1"/>
  <c r="BC68" i="1"/>
  <c r="AM68" i="1"/>
  <c r="AE68" i="1"/>
  <c r="BJ68" i="1"/>
  <c r="BB68" i="1"/>
  <c r="AT68" i="1"/>
  <c r="AL68" i="1"/>
  <c r="AD68" i="1"/>
  <c r="V68" i="1"/>
  <c r="N68" i="1"/>
  <c r="CF68" i="1"/>
  <c r="BX68" i="1"/>
  <c r="BP68" i="1"/>
  <c r="AG68" i="1"/>
  <c r="CA68" i="1"/>
  <c r="BK68" i="1"/>
  <c r="AU68" i="1"/>
  <c r="W68" i="1"/>
  <c r="F68" i="1"/>
  <c r="BI68" i="1"/>
  <c r="BA68" i="1"/>
  <c r="AS68" i="1"/>
  <c r="AK68" i="1"/>
  <c r="AC68" i="1"/>
  <c r="U68" i="1"/>
  <c r="M68" i="1"/>
  <c r="CE68" i="1"/>
  <c r="BW68" i="1"/>
  <c r="BM68" i="1"/>
  <c r="G68" i="1"/>
  <c r="BH68" i="1"/>
  <c r="AZ68" i="1"/>
  <c r="AR68" i="1"/>
  <c r="AJ68" i="1"/>
  <c r="AB68" i="1"/>
  <c r="T68" i="1"/>
  <c r="L68" i="1"/>
  <c r="CD68" i="1"/>
  <c r="BV68" i="1"/>
  <c r="D66" i="1"/>
  <c r="BE68" i="1"/>
  <c r="I68" i="1"/>
  <c r="BO68" i="1"/>
  <c r="BG68" i="1"/>
  <c r="AY68" i="1"/>
  <c r="AQ68" i="1"/>
  <c r="AI68" i="1"/>
  <c r="AA68" i="1"/>
  <c r="S68" i="1"/>
  <c r="K68" i="1"/>
  <c r="CC68" i="1"/>
  <c r="BU68" i="1"/>
  <c r="AW68" i="1"/>
  <c r="Q68" i="1"/>
  <c r="BN68" i="1"/>
  <c r="BF68" i="1"/>
  <c r="AX68" i="1"/>
  <c r="AP68" i="1"/>
  <c r="AH68" i="1"/>
  <c r="Z68" i="1"/>
  <c r="R68" i="1"/>
  <c r="J68" i="1"/>
  <c r="CB68" i="1"/>
  <c r="L18" i="4" l="1"/>
  <c r="P95" i="1"/>
  <c r="P12" i="3" s="1"/>
  <c r="Q18" i="4" s="1"/>
  <c r="U18" i="4"/>
  <c r="I22" i="4"/>
  <c r="V95" i="1"/>
  <c r="V12" i="3" s="1"/>
  <c r="V18" i="4" s="1"/>
  <c r="S95" i="1"/>
  <c r="S12" i="3" s="1"/>
  <c r="T18" i="4" s="1"/>
  <c r="O95" i="1"/>
  <c r="O12" i="3" s="1"/>
  <c r="O18" i="4" s="1"/>
  <c r="L22" i="4"/>
  <c r="I18" i="4"/>
  <c r="H18" i="4"/>
  <c r="R18" i="4"/>
  <c r="M22" i="4"/>
  <c r="P22" i="4"/>
  <c r="G19" i="3"/>
  <c r="G21" i="4" s="1"/>
  <c r="U22" i="4"/>
  <c r="R22" i="4"/>
  <c r="T22" i="4"/>
  <c r="K22" i="4"/>
  <c r="S22" i="4"/>
  <c r="G18" i="4"/>
  <c r="J22" i="4"/>
  <c r="J103" i="1"/>
  <c r="I19" i="3"/>
  <c r="I21" i="4" s="1"/>
  <c r="K18" i="4"/>
  <c r="Q22" i="4"/>
  <c r="O22" i="4"/>
  <c r="M18" i="4"/>
  <c r="J18" i="4"/>
  <c r="N18" i="4"/>
  <c r="G77" i="1"/>
  <c r="H75" i="1" s="1"/>
  <c r="H77" i="1" s="1"/>
  <c r="I75" i="1" s="1"/>
  <c r="I77" i="1" s="1"/>
  <c r="J75" i="1" s="1"/>
  <c r="J77" i="1" s="1"/>
  <c r="K75" i="1" s="1"/>
  <c r="K77" i="1" s="1"/>
  <c r="L75" i="1" s="1"/>
  <c r="L77" i="1" s="1"/>
  <c r="M75" i="1" s="1"/>
  <c r="M77" i="1" s="1"/>
  <c r="N75" i="1" s="1"/>
  <c r="N77" i="1" s="1"/>
  <c r="O75" i="1" s="1"/>
  <c r="O77" i="1" s="1"/>
  <c r="P75" i="1" s="1"/>
  <c r="P77" i="1" s="1"/>
  <c r="Q75" i="1" s="1"/>
  <c r="Q77" i="1" s="1"/>
  <c r="R75" i="1" s="1"/>
  <c r="R77" i="1" s="1"/>
  <c r="S75" i="1" s="1"/>
  <c r="S77" i="1" s="1"/>
  <c r="T75" i="1" s="1"/>
  <c r="T77" i="1" s="1"/>
  <c r="U75" i="1" s="1"/>
  <c r="U77" i="1" s="1"/>
  <c r="V75" i="1" s="1"/>
  <c r="V77" i="1" s="1"/>
  <c r="W75" i="1" s="1"/>
  <c r="W77" i="1" s="1"/>
  <c r="X75" i="1" s="1"/>
  <c r="X77" i="1" s="1"/>
  <c r="Y75" i="1" s="1"/>
  <c r="Y77" i="1" s="1"/>
  <c r="Z75" i="1" s="1"/>
  <c r="Z77" i="1" s="1"/>
  <c r="AA75" i="1" s="1"/>
  <c r="AA77" i="1" s="1"/>
  <c r="AB75" i="1" s="1"/>
  <c r="AB77" i="1" s="1"/>
  <c r="AC75" i="1" s="1"/>
  <c r="AC77" i="1" s="1"/>
  <c r="AD75" i="1" s="1"/>
  <c r="AD77" i="1" s="1"/>
  <c r="AE75" i="1" s="1"/>
  <c r="AE77" i="1" s="1"/>
  <c r="AF75" i="1" s="1"/>
  <c r="AF77" i="1" s="1"/>
  <c r="AG75" i="1" s="1"/>
  <c r="AG77" i="1" s="1"/>
  <c r="AH75" i="1" s="1"/>
  <c r="AH77" i="1" s="1"/>
  <c r="AI75" i="1" s="1"/>
  <c r="AI77" i="1" s="1"/>
  <c r="AJ75" i="1" s="1"/>
  <c r="AJ77" i="1" s="1"/>
  <c r="AK75" i="1" s="1"/>
  <c r="AK77" i="1" s="1"/>
  <c r="AL75" i="1" s="1"/>
  <c r="AL77" i="1" s="1"/>
  <c r="AM75" i="1" s="1"/>
  <c r="AM77" i="1" s="1"/>
  <c r="AN75" i="1" s="1"/>
  <c r="AN77" i="1" s="1"/>
  <c r="AO75" i="1" s="1"/>
  <c r="AO77" i="1" s="1"/>
  <c r="AP75" i="1" s="1"/>
  <c r="AP77" i="1" s="1"/>
  <c r="AQ75" i="1" s="1"/>
  <c r="AQ77" i="1" s="1"/>
  <c r="AR75" i="1" s="1"/>
  <c r="AR77" i="1" s="1"/>
  <c r="AS75" i="1" s="1"/>
  <c r="AS77" i="1" s="1"/>
  <c r="AT75" i="1" s="1"/>
  <c r="AT77" i="1" s="1"/>
  <c r="AU75" i="1" s="1"/>
  <c r="AU77" i="1" s="1"/>
  <c r="AV75" i="1" s="1"/>
  <c r="AV77" i="1" s="1"/>
  <c r="AW75" i="1" s="1"/>
  <c r="AW77" i="1" s="1"/>
  <c r="AX75" i="1" s="1"/>
  <c r="AX77" i="1" s="1"/>
  <c r="AY75" i="1" s="1"/>
  <c r="AY77" i="1" s="1"/>
  <c r="AZ75" i="1" s="1"/>
  <c r="AZ77" i="1" s="1"/>
  <c r="BA75" i="1" s="1"/>
  <c r="BA77" i="1" s="1"/>
  <c r="BB75" i="1" s="1"/>
  <c r="BB77" i="1" s="1"/>
  <c r="BC75" i="1" s="1"/>
  <c r="BC77" i="1" s="1"/>
  <c r="BD75" i="1" s="1"/>
  <c r="BD77" i="1" s="1"/>
  <c r="BE75" i="1" s="1"/>
  <c r="BE77" i="1" s="1"/>
  <c r="BF75" i="1" s="1"/>
  <c r="BF77" i="1" s="1"/>
  <c r="BG75" i="1" s="1"/>
  <c r="BG77" i="1" s="1"/>
  <c r="BH75" i="1" s="1"/>
  <c r="BH77" i="1" s="1"/>
  <c r="BI75" i="1" s="1"/>
  <c r="BI77" i="1" s="1"/>
  <c r="BJ75" i="1" s="1"/>
  <c r="BJ77" i="1" s="1"/>
  <c r="BK75" i="1" s="1"/>
  <c r="BK77" i="1" s="1"/>
  <c r="BL75" i="1" s="1"/>
  <c r="BL77" i="1" s="1"/>
  <c r="BM75" i="1" s="1"/>
  <c r="BM77" i="1" s="1"/>
  <c r="BN75" i="1" s="1"/>
  <c r="BN77" i="1" s="1"/>
  <c r="BO75" i="1" s="1"/>
  <c r="BO77" i="1" s="1"/>
  <c r="BP75" i="1" s="1"/>
  <c r="BP77" i="1" s="1"/>
  <c r="BQ75" i="1" s="1"/>
  <c r="BQ77" i="1" s="1"/>
  <c r="BR75" i="1" s="1"/>
  <c r="BR77" i="1" s="1"/>
  <c r="BS75" i="1" s="1"/>
  <c r="BS77" i="1" s="1"/>
  <c r="BT75" i="1" s="1"/>
  <c r="BT77" i="1" s="1"/>
  <c r="BU75" i="1" s="1"/>
  <c r="BU77" i="1" s="1"/>
  <c r="BV75" i="1" s="1"/>
  <c r="BV77" i="1" s="1"/>
  <c r="BW75" i="1" s="1"/>
  <c r="BW77" i="1" s="1"/>
  <c r="BX75" i="1" s="1"/>
  <c r="BX77" i="1" s="1"/>
  <c r="BY75" i="1" s="1"/>
  <c r="BY77" i="1" s="1"/>
  <c r="BZ75" i="1" s="1"/>
  <c r="BZ77" i="1" s="1"/>
  <c r="CA75" i="1" s="1"/>
  <c r="O70" i="1"/>
  <c r="W70" i="1"/>
  <c r="AE70" i="1"/>
  <c r="AE85" i="1" s="1"/>
  <c r="AM70" i="1"/>
  <c r="AM85" i="1" s="1"/>
  <c r="AU70" i="1"/>
  <c r="AU85" i="1" s="1"/>
  <c r="BC70" i="1"/>
  <c r="BC85" i="1" s="1"/>
  <c r="BK70" i="1"/>
  <c r="BK85" i="1" s="1"/>
  <c r="BS70" i="1"/>
  <c r="BS85" i="1" s="1"/>
  <c r="G70" i="1"/>
  <c r="AT70" i="1"/>
  <c r="AT85" i="1" s="1"/>
  <c r="H70" i="1"/>
  <c r="P70" i="1"/>
  <c r="X70" i="1"/>
  <c r="AF70" i="1"/>
  <c r="AF85" i="1" s="1"/>
  <c r="AN70" i="1"/>
  <c r="AN85" i="1" s="1"/>
  <c r="AV70" i="1"/>
  <c r="AV85" i="1" s="1"/>
  <c r="BD70" i="1"/>
  <c r="BD85" i="1" s="1"/>
  <c r="BL70" i="1"/>
  <c r="BL85" i="1" s="1"/>
  <c r="BT70" i="1"/>
  <c r="BT85" i="1" s="1"/>
  <c r="AL70" i="1"/>
  <c r="AL85" i="1" s="1"/>
  <c r="I70" i="1"/>
  <c r="Q70" i="1"/>
  <c r="Y70" i="1"/>
  <c r="AG70" i="1"/>
  <c r="AG85" i="1" s="1"/>
  <c r="AO70" i="1"/>
  <c r="AO85" i="1" s="1"/>
  <c r="AW70" i="1"/>
  <c r="AW85" i="1" s="1"/>
  <c r="BE70" i="1"/>
  <c r="BE85" i="1" s="1"/>
  <c r="BM70" i="1"/>
  <c r="BM85" i="1" s="1"/>
  <c r="BU70" i="1"/>
  <c r="BU85" i="1" s="1"/>
  <c r="BJ70" i="1"/>
  <c r="BJ85" i="1" s="1"/>
  <c r="J70" i="1"/>
  <c r="R70" i="1"/>
  <c r="Z70" i="1"/>
  <c r="AH70" i="1"/>
  <c r="AH85" i="1" s="1"/>
  <c r="AP70" i="1"/>
  <c r="AP85" i="1" s="1"/>
  <c r="AX70" i="1"/>
  <c r="AX85" i="1" s="1"/>
  <c r="BF70" i="1"/>
  <c r="BF85" i="1" s="1"/>
  <c r="BN70" i="1"/>
  <c r="BN85" i="1" s="1"/>
  <c r="BV70" i="1"/>
  <c r="BV85" i="1" s="1"/>
  <c r="F70" i="1"/>
  <c r="F71" i="1" s="1"/>
  <c r="G69" i="1" s="1"/>
  <c r="BB70" i="1"/>
  <c r="BB85" i="1" s="1"/>
  <c r="K70" i="1"/>
  <c r="S70" i="1"/>
  <c r="AA70" i="1"/>
  <c r="AA85" i="1" s="1"/>
  <c r="AI70" i="1"/>
  <c r="AI85" i="1" s="1"/>
  <c r="AQ70" i="1"/>
  <c r="AQ85" i="1" s="1"/>
  <c r="AY70" i="1"/>
  <c r="AY85" i="1" s="1"/>
  <c r="BG70" i="1"/>
  <c r="BG85" i="1" s="1"/>
  <c r="BO70" i="1"/>
  <c r="BO85" i="1" s="1"/>
  <c r="BW70" i="1"/>
  <c r="BW85" i="1" s="1"/>
  <c r="L70" i="1"/>
  <c r="T70" i="1"/>
  <c r="AB70" i="1"/>
  <c r="AB85" i="1" s="1"/>
  <c r="AJ70" i="1"/>
  <c r="AJ85" i="1" s="1"/>
  <c r="AR70" i="1"/>
  <c r="AR85" i="1" s="1"/>
  <c r="AZ70" i="1"/>
  <c r="AZ85" i="1" s="1"/>
  <c r="BH70" i="1"/>
  <c r="BH85" i="1" s="1"/>
  <c r="BP70" i="1"/>
  <c r="BP85" i="1" s="1"/>
  <c r="BX70" i="1"/>
  <c r="BX85" i="1" s="1"/>
  <c r="M70" i="1"/>
  <c r="U70" i="1"/>
  <c r="AC70" i="1"/>
  <c r="AC85" i="1" s="1"/>
  <c r="AK70" i="1"/>
  <c r="AK85" i="1" s="1"/>
  <c r="AS70" i="1"/>
  <c r="AS85" i="1" s="1"/>
  <c r="BA70" i="1"/>
  <c r="BA85" i="1" s="1"/>
  <c r="BI70" i="1"/>
  <c r="BI85" i="1" s="1"/>
  <c r="BQ70" i="1"/>
  <c r="BQ85" i="1" s="1"/>
  <c r="BY70" i="1"/>
  <c r="BY85" i="1" s="1"/>
  <c r="N70" i="1"/>
  <c r="V70" i="1"/>
  <c r="AD70" i="1"/>
  <c r="AD85" i="1" s="1"/>
  <c r="BR70" i="1"/>
  <c r="BR85" i="1" s="1"/>
  <c r="BZ70" i="1"/>
  <c r="BZ85" i="1" s="1"/>
  <c r="S18" i="4" l="1"/>
  <c r="P18" i="4"/>
  <c r="H21" i="4"/>
  <c r="K103" i="1"/>
  <c r="J19" i="3"/>
  <c r="J21" i="4" s="1"/>
  <c r="CA77" i="1"/>
  <c r="CA84" i="1"/>
  <c r="G71" i="1"/>
  <c r="H69" i="1" s="1"/>
  <c r="H71" i="1" s="1"/>
  <c r="I69" i="1" s="1"/>
  <c r="I71" i="1" s="1"/>
  <c r="J69" i="1" s="1"/>
  <c r="J71" i="1" s="1"/>
  <c r="K69" i="1" s="1"/>
  <c r="K71" i="1" s="1"/>
  <c r="L69" i="1" s="1"/>
  <c r="L71" i="1" s="1"/>
  <c r="M69" i="1" s="1"/>
  <c r="M71" i="1" s="1"/>
  <c r="N69" i="1" s="1"/>
  <c r="N71" i="1" s="1"/>
  <c r="O69" i="1" s="1"/>
  <c r="O71" i="1" s="1"/>
  <c r="P69" i="1" s="1"/>
  <c r="P71" i="1" s="1"/>
  <c r="Q69" i="1" s="1"/>
  <c r="Q71" i="1" s="1"/>
  <c r="R69" i="1" s="1"/>
  <c r="R71" i="1" s="1"/>
  <c r="S69" i="1" s="1"/>
  <c r="S71" i="1" s="1"/>
  <c r="T69" i="1" s="1"/>
  <c r="T71" i="1" s="1"/>
  <c r="U69" i="1" s="1"/>
  <c r="U71" i="1" s="1"/>
  <c r="V69" i="1" s="1"/>
  <c r="V71" i="1" s="1"/>
  <c r="W69" i="1" s="1"/>
  <c r="W71" i="1" s="1"/>
  <c r="X69" i="1" s="1"/>
  <c r="X71" i="1" s="1"/>
  <c r="Y69" i="1" s="1"/>
  <c r="Y71" i="1" s="1"/>
  <c r="Z69" i="1" s="1"/>
  <c r="Z71" i="1" s="1"/>
  <c r="AA69" i="1" s="1"/>
  <c r="L103" i="1" l="1"/>
  <c r="K19" i="3"/>
  <c r="K21" i="4" s="1"/>
  <c r="CB75" i="1"/>
  <c r="CA86" i="1"/>
  <c r="AA71" i="1"/>
  <c r="AA84" i="1"/>
  <c r="M103" i="1" l="1"/>
  <c r="L19" i="3"/>
  <c r="L21" i="4" s="1"/>
  <c r="CB77" i="1"/>
  <c r="CB84" i="1"/>
  <c r="AB69" i="1"/>
  <c r="AA86" i="1"/>
  <c r="N103" i="1" l="1"/>
  <c r="M19" i="3"/>
  <c r="M21" i="4" s="1"/>
  <c r="CC75" i="1"/>
  <c r="CB86" i="1"/>
  <c r="AB71" i="1"/>
  <c r="AB84" i="1"/>
  <c r="O103" i="1" l="1"/>
  <c r="N19" i="3"/>
  <c r="N21" i="4" s="1"/>
  <c r="CC77" i="1"/>
  <c r="CC84" i="1"/>
  <c r="AC69" i="1"/>
  <c r="AB86" i="1"/>
  <c r="P103" i="1" l="1"/>
  <c r="O19" i="3"/>
  <c r="O21" i="4" s="1"/>
  <c r="CD75" i="1"/>
  <c r="CC86" i="1"/>
  <c r="AC71" i="1"/>
  <c r="AC84" i="1"/>
  <c r="Q103" i="1" l="1"/>
  <c r="P19" i="3"/>
  <c r="P21" i="4" s="1"/>
  <c r="CD77" i="1"/>
  <c r="CD84" i="1"/>
  <c r="AD69" i="1"/>
  <c r="AC86" i="1"/>
  <c r="R103" i="1" l="1"/>
  <c r="S103" i="1" s="1"/>
  <c r="T103" i="1" s="1"/>
  <c r="U103" i="1" s="1"/>
  <c r="V103" i="1" s="1"/>
  <c r="Q19" i="3"/>
  <c r="CE75" i="1"/>
  <c r="CD86" i="1"/>
  <c r="AD71" i="1"/>
  <c r="AD84" i="1"/>
  <c r="Q21" i="4" l="1"/>
  <c r="R19" i="3"/>
  <c r="CE77" i="1"/>
  <c r="CE84" i="1"/>
  <c r="AE69" i="1"/>
  <c r="AD86" i="1"/>
  <c r="S19" i="3" l="1"/>
  <c r="R21" i="4"/>
  <c r="CF75" i="1"/>
  <c r="CE86" i="1"/>
  <c r="AE71" i="1"/>
  <c r="AE84" i="1"/>
  <c r="T21" i="4" l="1"/>
  <c r="S21" i="4"/>
  <c r="CF77" i="1"/>
  <c r="CF84" i="1"/>
  <c r="AF69" i="1"/>
  <c r="AE86" i="1"/>
  <c r="CG75" i="1" l="1"/>
  <c r="CF86" i="1"/>
  <c r="AF71" i="1"/>
  <c r="AF84" i="1"/>
  <c r="CG77" i="1" l="1"/>
  <c r="CG84" i="1"/>
  <c r="AG69" i="1"/>
  <c r="AF86" i="1"/>
  <c r="CH75" i="1" l="1"/>
  <c r="CG86" i="1"/>
  <c r="AG71" i="1"/>
  <c r="AG84" i="1"/>
  <c r="CH77" i="1" l="1"/>
  <c r="CH84" i="1"/>
  <c r="AH69" i="1"/>
  <c r="AG86" i="1"/>
  <c r="CI75" i="1" l="1"/>
  <c r="CH86" i="1"/>
  <c r="AH71" i="1"/>
  <c r="AH84" i="1"/>
  <c r="CI77" i="1" l="1"/>
  <c r="CI84" i="1"/>
  <c r="AI69" i="1"/>
  <c r="AH86" i="1"/>
  <c r="CJ75" i="1" l="1"/>
  <c r="CI86" i="1"/>
  <c r="AI71" i="1"/>
  <c r="AI84" i="1"/>
  <c r="CJ77" i="1" l="1"/>
  <c r="CJ84" i="1"/>
  <c r="AJ69" i="1"/>
  <c r="AI86" i="1"/>
  <c r="CK75" i="1" l="1"/>
  <c r="CJ86" i="1"/>
  <c r="AJ71" i="1"/>
  <c r="AJ84" i="1"/>
  <c r="CK77" i="1" l="1"/>
  <c r="CK84" i="1"/>
  <c r="AK69" i="1"/>
  <c r="AJ86" i="1"/>
  <c r="CL75" i="1" l="1"/>
  <c r="CK86" i="1"/>
  <c r="AK71" i="1"/>
  <c r="AK84" i="1"/>
  <c r="CL77" i="1" l="1"/>
  <c r="CL84" i="1"/>
  <c r="AL69" i="1"/>
  <c r="AK86" i="1"/>
  <c r="CM75" i="1" l="1"/>
  <c r="CL86" i="1"/>
  <c r="AL71" i="1"/>
  <c r="AL84" i="1"/>
  <c r="CM77" i="1" l="1"/>
  <c r="CM84" i="1"/>
  <c r="AM69" i="1"/>
  <c r="AL86" i="1"/>
  <c r="CN75" i="1" l="1"/>
  <c r="CM86" i="1"/>
  <c r="AM71" i="1"/>
  <c r="AM84" i="1"/>
  <c r="CN77" i="1" l="1"/>
  <c r="CN84" i="1"/>
  <c r="AN69" i="1"/>
  <c r="AM86" i="1"/>
  <c r="CO75" i="1" l="1"/>
  <c r="CN86" i="1"/>
  <c r="AN71" i="1"/>
  <c r="AN84" i="1"/>
  <c r="CO77" i="1" l="1"/>
  <c r="CO84" i="1"/>
  <c r="AO69" i="1"/>
  <c r="AN86" i="1"/>
  <c r="CP75" i="1" l="1"/>
  <c r="CO86" i="1"/>
  <c r="AO71" i="1"/>
  <c r="AO84" i="1"/>
  <c r="CP77" i="1" l="1"/>
  <c r="CP84" i="1"/>
  <c r="AP69" i="1"/>
  <c r="AO86" i="1"/>
  <c r="CQ75" i="1" l="1"/>
  <c r="CP86" i="1"/>
  <c r="AP71" i="1"/>
  <c r="AP84" i="1"/>
  <c r="CQ77" i="1" l="1"/>
  <c r="CQ84" i="1"/>
  <c r="AQ69" i="1"/>
  <c r="AP86" i="1"/>
  <c r="CR75" i="1" l="1"/>
  <c r="CQ86" i="1"/>
  <c r="AQ71" i="1"/>
  <c r="AQ84" i="1"/>
  <c r="CR77" i="1" l="1"/>
  <c r="CR84" i="1"/>
  <c r="AR69" i="1"/>
  <c r="AQ86" i="1"/>
  <c r="CS75" i="1" l="1"/>
  <c r="CR86" i="1"/>
  <c r="AR71" i="1"/>
  <c r="AR84" i="1"/>
  <c r="CS77" i="1" l="1"/>
  <c r="CS84" i="1"/>
  <c r="AS69" i="1"/>
  <c r="AR86" i="1"/>
  <c r="CT75" i="1" l="1"/>
  <c r="CS86" i="1"/>
  <c r="AS71" i="1"/>
  <c r="AS84" i="1"/>
  <c r="CT77" i="1" l="1"/>
  <c r="CT84" i="1"/>
  <c r="AT69" i="1"/>
  <c r="AS86" i="1"/>
  <c r="CU75" i="1" l="1"/>
  <c r="CT86" i="1"/>
  <c r="AT71" i="1"/>
  <c r="AT84" i="1"/>
  <c r="CU77" i="1" l="1"/>
  <c r="CU84" i="1"/>
  <c r="AU69" i="1"/>
  <c r="AT86" i="1"/>
  <c r="CV75" i="1" l="1"/>
  <c r="CU86" i="1"/>
  <c r="AU71" i="1"/>
  <c r="AU84" i="1"/>
  <c r="CV77" i="1" l="1"/>
  <c r="CV84" i="1"/>
  <c r="AV69" i="1"/>
  <c r="AU86" i="1"/>
  <c r="CW75" i="1" l="1"/>
  <c r="CV86" i="1"/>
  <c r="AV71" i="1"/>
  <c r="AV84" i="1"/>
  <c r="CW77" i="1" l="1"/>
  <c r="CW84" i="1"/>
  <c r="AW69" i="1"/>
  <c r="AV86" i="1"/>
  <c r="CX75" i="1" l="1"/>
  <c r="CW86" i="1"/>
  <c r="AW71" i="1"/>
  <c r="AW84" i="1"/>
  <c r="CX77" i="1" l="1"/>
  <c r="CX84" i="1"/>
  <c r="AX69" i="1"/>
  <c r="AW86" i="1"/>
  <c r="CY75" i="1" l="1"/>
  <c r="CX86" i="1"/>
  <c r="AX71" i="1"/>
  <c r="AX84" i="1"/>
  <c r="CY77" i="1" l="1"/>
  <c r="CY84" i="1"/>
  <c r="AY69" i="1"/>
  <c r="AX86" i="1"/>
  <c r="CZ75" i="1" l="1"/>
  <c r="CY86" i="1"/>
  <c r="AY71" i="1"/>
  <c r="AY84" i="1"/>
  <c r="CZ77" i="1" l="1"/>
  <c r="CZ84" i="1"/>
  <c r="AZ69" i="1"/>
  <c r="AY86" i="1"/>
  <c r="DA75" i="1" l="1"/>
  <c r="CZ86" i="1"/>
  <c r="AZ71" i="1"/>
  <c r="AZ84" i="1"/>
  <c r="DA77" i="1" l="1"/>
  <c r="DA84" i="1"/>
  <c r="BA69" i="1"/>
  <c r="AZ86" i="1"/>
  <c r="DB75" i="1" l="1"/>
  <c r="DA86" i="1"/>
  <c r="BA71" i="1"/>
  <c r="BA84" i="1"/>
  <c r="DB77" i="1" l="1"/>
  <c r="DB84" i="1"/>
  <c r="BB69" i="1"/>
  <c r="BA86" i="1"/>
  <c r="DC75" i="1" l="1"/>
  <c r="DB86" i="1"/>
  <c r="BB71" i="1"/>
  <c r="BB84" i="1"/>
  <c r="DC77" i="1" l="1"/>
  <c r="DC84" i="1"/>
  <c r="BC69" i="1"/>
  <c r="BB86" i="1"/>
  <c r="DD75" i="1" l="1"/>
  <c r="DC86" i="1"/>
  <c r="BC71" i="1"/>
  <c r="BC84" i="1"/>
  <c r="DD77" i="1" l="1"/>
  <c r="DD84" i="1"/>
  <c r="BD69" i="1"/>
  <c r="BC86" i="1"/>
  <c r="DE75" i="1" l="1"/>
  <c r="DD86" i="1"/>
  <c r="BD71" i="1"/>
  <c r="BD84" i="1"/>
  <c r="DE77" i="1" l="1"/>
  <c r="DE84" i="1"/>
  <c r="BE69" i="1"/>
  <c r="BD86" i="1"/>
  <c r="DF75" i="1" l="1"/>
  <c r="DE86" i="1"/>
  <c r="BE71" i="1"/>
  <c r="BE84" i="1"/>
  <c r="DF77" i="1" l="1"/>
  <c r="DF84" i="1"/>
  <c r="BF69" i="1"/>
  <c r="BE86" i="1"/>
  <c r="DG75" i="1" l="1"/>
  <c r="DF86" i="1"/>
  <c r="BF71" i="1"/>
  <c r="BF84" i="1"/>
  <c r="DG77" i="1" l="1"/>
  <c r="DG84" i="1"/>
  <c r="BG69" i="1"/>
  <c r="BF86" i="1"/>
  <c r="DH75" i="1" l="1"/>
  <c r="DG86" i="1"/>
  <c r="BG71" i="1"/>
  <c r="BG84" i="1"/>
  <c r="DH77" i="1" l="1"/>
  <c r="DH84" i="1"/>
  <c r="BH69" i="1"/>
  <c r="BG86" i="1"/>
  <c r="DI75" i="1" l="1"/>
  <c r="DH86" i="1"/>
  <c r="BH71" i="1"/>
  <c r="BH84" i="1"/>
  <c r="DI77" i="1" l="1"/>
  <c r="DI84" i="1"/>
  <c r="BI69" i="1"/>
  <c r="BH86" i="1"/>
  <c r="DJ75" i="1" l="1"/>
  <c r="DI86" i="1"/>
  <c r="BI71" i="1"/>
  <c r="BI84" i="1"/>
  <c r="DJ77" i="1" l="1"/>
  <c r="DJ84" i="1"/>
  <c r="BJ69" i="1"/>
  <c r="BI86" i="1"/>
  <c r="DK75" i="1" l="1"/>
  <c r="DJ86" i="1"/>
  <c r="BJ71" i="1"/>
  <c r="BJ84" i="1"/>
  <c r="DK77" i="1" l="1"/>
  <c r="DK84" i="1"/>
  <c r="BK69" i="1"/>
  <c r="BJ86" i="1"/>
  <c r="DL75" i="1" l="1"/>
  <c r="DK86" i="1"/>
  <c r="BK71" i="1"/>
  <c r="BK84" i="1"/>
  <c r="DL77" i="1" l="1"/>
  <c r="DL84" i="1"/>
  <c r="BL69" i="1"/>
  <c r="BK86" i="1"/>
  <c r="DM75" i="1" l="1"/>
  <c r="DL86" i="1"/>
  <c r="BL71" i="1"/>
  <c r="BL84" i="1"/>
  <c r="DM77" i="1" l="1"/>
  <c r="DM84" i="1"/>
  <c r="BM69" i="1"/>
  <c r="BL86" i="1"/>
  <c r="DN75" i="1" l="1"/>
  <c r="DM86" i="1"/>
  <c r="BM71" i="1"/>
  <c r="BM84" i="1"/>
  <c r="DN77" i="1" l="1"/>
  <c r="DN84" i="1"/>
  <c r="BN69" i="1"/>
  <c r="BM86" i="1"/>
  <c r="DO75" i="1" l="1"/>
  <c r="DN86" i="1"/>
  <c r="BN71" i="1"/>
  <c r="BN84" i="1"/>
  <c r="DO77" i="1" l="1"/>
  <c r="DO84" i="1"/>
  <c r="BO69" i="1"/>
  <c r="BN86" i="1"/>
  <c r="DP75" i="1" l="1"/>
  <c r="DO86" i="1"/>
  <c r="BO71" i="1"/>
  <c r="BO84" i="1"/>
  <c r="DP77" i="1" l="1"/>
  <c r="DP84" i="1"/>
  <c r="BP69" i="1"/>
  <c r="BO86" i="1"/>
  <c r="DQ75" i="1" l="1"/>
  <c r="DP86" i="1"/>
  <c r="BP71" i="1"/>
  <c r="BP84" i="1"/>
  <c r="DQ77" i="1" l="1"/>
  <c r="DQ84" i="1"/>
  <c r="BQ69" i="1"/>
  <c r="BP86" i="1"/>
  <c r="DR75" i="1" l="1"/>
  <c r="DQ86" i="1"/>
  <c r="BQ71" i="1"/>
  <c r="BQ84" i="1"/>
  <c r="DR77" i="1" l="1"/>
  <c r="DR84" i="1"/>
  <c r="BR69" i="1"/>
  <c r="BQ86" i="1"/>
  <c r="DS75" i="1" l="1"/>
  <c r="DR86" i="1"/>
  <c r="BR71" i="1"/>
  <c r="BR84" i="1"/>
  <c r="DS77" i="1" l="1"/>
  <c r="DS84" i="1"/>
  <c r="BS69" i="1"/>
  <c r="BR86" i="1"/>
  <c r="DT75" i="1" l="1"/>
  <c r="DS86" i="1"/>
  <c r="BS71" i="1"/>
  <c r="BS84" i="1"/>
  <c r="DT77" i="1" l="1"/>
  <c r="DT84" i="1"/>
  <c r="BT69" i="1"/>
  <c r="BS86" i="1"/>
  <c r="DU75" i="1" l="1"/>
  <c r="DT86" i="1"/>
  <c r="BT71" i="1"/>
  <c r="BT84" i="1"/>
  <c r="DU77" i="1" l="1"/>
  <c r="DU84" i="1"/>
  <c r="BU69" i="1"/>
  <c r="BT86" i="1"/>
  <c r="DV75" i="1" l="1"/>
  <c r="DU86" i="1"/>
  <c r="BU71" i="1"/>
  <c r="BU84" i="1"/>
  <c r="DV77" i="1" l="1"/>
  <c r="DV86" i="1" s="1"/>
  <c r="DV84" i="1"/>
  <c r="BV69" i="1"/>
  <c r="BU86" i="1"/>
  <c r="BV71" i="1" l="1"/>
  <c r="BV84" i="1"/>
  <c r="BW69" i="1" l="1"/>
  <c r="BV86" i="1"/>
  <c r="BW71" i="1" l="1"/>
  <c r="BW84" i="1"/>
  <c r="BX69" i="1" l="1"/>
  <c r="BW86" i="1"/>
  <c r="BX71" i="1" l="1"/>
  <c r="BX84" i="1"/>
  <c r="BY69" i="1" l="1"/>
  <c r="BX86" i="1"/>
  <c r="BY71" i="1" l="1"/>
  <c r="BY84" i="1"/>
  <c r="BZ69" i="1" l="1"/>
  <c r="BY86" i="1"/>
  <c r="BZ71" i="1" l="1"/>
  <c r="BZ86" i="1" s="1"/>
  <c r="BZ84" i="1"/>
  <c r="D56" i="1" l="1"/>
  <c r="D53" i="1" s="1"/>
  <c r="D48" i="1"/>
  <c r="E30" i="1"/>
  <c r="F30" i="1"/>
  <c r="F31" i="1" s="1"/>
  <c r="F28" i="1" s="1"/>
  <c r="G30" i="1"/>
  <c r="G31" i="1" s="1"/>
  <c r="G28" i="1" s="1"/>
  <c r="H30" i="1"/>
  <c r="H31" i="1" s="1"/>
  <c r="H28" i="1" s="1"/>
  <c r="I30" i="1"/>
  <c r="I31" i="1" s="1"/>
  <c r="I28" i="1" s="1"/>
  <c r="J30" i="1"/>
  <c r="J31" i="1" s="1"/>
  <c r="J28" i="1" s="1"/>
  <c r="K30" i="1"/>
  <c r="K31" i="1" s="1"/>
  <c r="K28" i="1" s="1"/>
  <c r="L30" i="1"/>
  <c r="L31" i="1" s="1"/>
  <c r="L28" i="1" s="1"/>
  <c r="M30" i="1"/>
  <c r="M31" i="1" s="1"/>
  <c r="M28" i="1" s="1"/>
  <c r="N30" i="1"/>
  <c r="N31" i="1" s="1"/>
  <c r="N28" i="1" s="1"/>
  <c r="N49" i="1" s="1"/>
  <c r="O30" i="1"/>
  <c r="O31" i="1" s="1"/>
  <c r="O28" i="1" s="1"/>
  <c r="P30" i="1"/>
  <c r="P31" i="1" s="1"/>
  <c r="P28" i="1" s="1"/>
  <c r="Q30" i="1"/>
  <c r="Q31" i="1" s="1"/>
  <c r="Q28" i="1" s="1"/>
  <c r="R30" i="1"/>
  <c r="R31" i="1" s="1"/>
  <c r="R28" i="1" s="1"/>
  <c r="S30" i="1"/>
  <c r="S31" i="1" s="1"/>
  <c r="S28" i="1" s="1"/>
  <c r="T30" i="1"/>
  <c r="T31" i="1" s="1"/>
  <c r="T28" i="1" s="1"/>
  <c r="C30" i="1"/>
  <c r="A30" i="1"/>
  <c r="F34" i="1"/>
  <c r="F27" i="1"/>
  <c r="Q49" i="1" l="1"/>
  <c r="Q36" i="1"/>
  <c r="S49" i="1"/>
  <c r="S36" i="1"/>
  <c r="K49" i="1"/>
  <c r="K36" i="1"/>
  <c r="O49" i="1"/>
  <c r="O36" i="1"/>
  <c r="J49" i="1"/>
  <c r="J36" i="1"/>
  <c r="M49" i="1"/>
  <c r="M36" i="1"/>
  <c r="P49" i="1"/>
  <c r="P36" i="1"/>
  <c r="L49" i="1"/>
  <c r="L36" i="1"/>
  <c r="I49" i="1"/>
  <c r="I36" i="1"/>
  <c r="H49" i="1"/>
  <c r="H36" i="1"/>
  <c r="G49" i="1"/>
  <c r="G36" i="1"/>
  <c r="T49" i="1"/>
  <c r="T36" i="1"/>
  <c r="F36" i="1"/>
  <c r="F25" i="1" s="1"/>
  <c r="F45" i="1"/>
  <c r="R36" i="1"/>
  <c r="N36" i="1"/>
  <c r="M55" i="1"/>
  <c r="S55" i="1"/>
  <c r="U55" i="1"/>
  <c r="R55" i="1"/>
  <c r="T55" i="1"/>
  <c r="V55" i="1"/>
  <c r="W55" i="1"/>
  <c r="X55" i="1"/>
  <c r="Y55" i="1"/>
  <c r="Z55" i="1"/>
  <c r="L55" i="1"/>
  <c r="H55" i="1"/>
  <c r="K55" i="1"/>
  <c r="J55" i="1"/>
  <c r="Q55" i="1"/>
  <c r="I55" i="1"/>
  <c r="P55" i="1"/>
  <c r="O55" i="1"/>
  <c r="G55" i="1"/>
  <c r="N55" i="1"/>
  <c r="F55" i="1"/>
  <c r="F24" i="1"/>
  <c r="F23" i="1" l="1"/>
  <c r="F92" i="1" s="1"/>
  <c r="F9" i="3" s="1"/>
  <c r="F40" i="1"/>
  <c r="F57" i="1"/>
  <c r="F85" i="1" s="1"/>
  <c r="F5" i="2" l="1"/>
  <c r="F6" i="2"/>
  <c r="F93" i="1"/>
  <c r="F10" i="3" s="1"/>
  <c r="F98" i="1"/>
  <c r="F97" i="1" s="1"/>
  <c r="F16" i="3" s="1"/>
  <c r="F13" i="4" s="1"/>
  <c r="F12" i="4"/>
  <c r="F58" i="1"/>
  <c r="S63" i="1"/>
  <c r="R63" i="1"/>
  <c r="R99" i="1" s="1"/>
  <c r="F8" i="2" l="1"/>
  <c r="F9" i="2" s="1"/>
  <c r="F10" i="2" s="1"/>
  <c r="F8" i="4" s="1"/>
  <c r="F11" i="4"/>
  <c r="V63" i="1"/>
  <c r="V99" i="1" s="1"/>
  <c r="S99" i="1"/>
  <c r="G56" i="1"/>
  <c r="F86" i="1"/>
  <c r="T63" i="1"/>
  <c r="T99" i="1" s="1"/>
  <c r="U63" i="1"/>
  <c r="U99" i="1" s="1"/>
  <c r="R60" i="1"/>
  <c r="R51" i="1" s="1"/>
  <c r="R7" i="2" s="1"/>
  <c r="S60" i="1"/>
  <c r="S51" i="1" s="1"/>
  <c r="S7" i="2" s="1"/>
  <c r="T60" i="1"/>
  <c r="T51" i="1" s="1"/>
  <c r="T7" i="2" s="1"/>
  <c r="V60" i="1"/>
  <c r="V51" i="1" s="1"/>
  <c r="V7" i="2" s="1"/>
  <c r="G60" i="1"/>
  <c r="G51" i="1" s="1"/>
  <c r="G7" i="2" s="1"/>
  <c r="H60" i="1"/>
  <c r="H51" i="1" s="1"/>
  <c r="H7" i="2" s="1"/>
  <c r="I60" i="1"/>
  <c r="I51" i="1" s="1"/>
  <c r="I7" i="2" s="1"/>
  <c r="J60" i="1"/>
  <c r="J51" i="1" s="1"/>
  <c r="J7" i="2" s="1"/>
  <c r="K60" i="1"/>
  <c r="K51" i="1" s="1"/>
  <c r="K7" i="2" s="1"/>
  <c r="L60" i="1"/>
  <c r="L51" i="1" s="1"/>
  <c r="L7" i="2" s="1"/>
  <c r="M60" i="1"/>
  <c r="M51" i="1" s="1"/>
  <c r="M7" i="2" s="1"/>
  <c r="N60" i="1"/>
  <c r="N51" i="1" s="1"/>
  <c r="N7" i="2" s="1"/>
  <c r="O60" i="1"/>
  <c r="O51" i="1" s="1"/>
  <c r="O7" i="2" s="1"/>
  <c r="Q60" i="1"/>
  <c r="Q51" i="1" s="1"/>
  <c r="Q7" i="2" s="1"/>
  <c r="U21" i="1"/>
  <c r="F25" i="4" l="1"/>
  <c r="F28" i="4" s="1"/>
  <c r="F8" i="3" s="1"/>
  <c r="F11" i="3" s="1"/>
  <c r="F13" i="3" s="1"/>
  <c r="F12" i="2"/>
  <c r="F22" i="3" s="1"/>
  <c r="F24" i="3" s="1"/>
  <c r="V21" i="1"/>
  <c r="V30" i="1" s="1"/>
  <c r="V31" i="1" s="1"/>
  <c r="V28" i="1" s="1"/>
  <c r="V36" i="1" s="1"/>
  <c r="U30" i="1"/>
  <c r="U31" i="1" s="1"/>
  <c r="U28" i="1" s="1"/>
  <c r="G57" i="1"/>
  <c r="G85" i="1" s="1"/>
  <c r="G84" i="1"/>
  <c r="U60" i="1"/>
  <c r="U51" i="1" s="1"/>
  <c r="U7" i="2" s="1"/>
  <c r="S18" i="1"/>
  <c r="R18" i="1"/>
  <c r="G18" i="1"/>
  <c r="G19" i="1" s="1"/>
  <c r="H18" i="1"/>
  <c r="I18" i="1"/>
  <c r="J18" i="1"/>
  <c r="K18" i="1"/>
  <c r="L18" i="1"/>
  <c r="M18" i="1"/>
  <c r="N18" i="1"/>
  <c r="O18" i="1"/>
  <c r="P18" i="1"/>
  <c r="Q18" i="1"/>
  <c r="F18" i="1"/>
  <c r="F26" i="3" l="1"/>
  <c r="G27" i="4"/>
  <c r="G27" i="1"/>
  <c r="G24" i="1" s="1"/>
  <c r="G34" i="1"/>
  <c r="G25" i="1" s="1"/>
  <c r="G45" i="1"/>
  <c r="U49" i="1"/>
  <c r="V49" i="1" s="1"/>
  <c r="U36" i="1"/>
  <c r="G58" i="1"/>
  <c r="H19" i="1"/>
  <c r="H34" i="1" s="1"/>
  <c r="H25" i="1" s="1"/>
  <c r="G23" i="1" l="1"/>
  <c r="H45" i="1"/>
  <c r="G40" i="1"/>
  <c r="H56" i="1"/>
  <c r="G86" i="1"/>
  <c r="I19" i="1"/>
  <c r="H27" i="1"/>
  <c r="H24" i="1" s="1"/>
  <c r="H23" i="1" s="1"/>
  <c r="G92" i="1" l="1"/>
  <c r="G9" i="3" s="1"/>
  <c r="G12" i="4" s="1"/>
  <c r="G5" i="2"/>
  <c r="H40" i="1"/>
  <c r="G6" i="2"/>
  <c r="G98" i="1"/>
  <c r="G97" i="1" s="1"/>
  <c r="G16" i="3" s="1"/>
  <c r="G13" i="4" s="1"/>
  <c r="G93" i="1"/>
  <c r="G10" i="3" s="1"/>
  <c r="I34" i="1"/>
  <c r="I25" i="1" s="1"/>
  <c r="J19" i="1"/>
  <c r="J34" i="1" s="1"/>
  <c r="J25" i="1" s="1"/>
  <c r="I45" i="1"/>
  <c r="H92" i="1"/>
  <c r="H9" i="3" s="1"/>
  <c r="H5" i="2"/>
  <c r="H57" i="1"/>
  <c r="H85" i="1" s="1"/>
  <c r="H84" i="1"/>
  <c r="I27" i="1"/>
  <c r="I24" i="1" s="1"/>
  <c r="J45" i="1" l="1"/>
  <c r="G8" i="2"/>
  <c r="G9" i="2" s="1"/>
  <c r="G10" i="2" s="1"/>
  <c r="G12" i="2" s="1"/>
  <c r="G22" i="3" s="1"/>
  <c r="I23" i="1"/>
  <c r="I92" i="1" s="1"/>
  <c r="I9" i="3" s="1"/>
  <c r="I12" i="4" s="1"/>
  <c r="G11" i="4"/>
  <c r="H6" i="2"/>
  <c r="H8" i="2" s="1"/>
  <c r="H9" i="2" s="1"/>
  <c r="H10" i="2" s="1"/>
  <c r="H12" i="2" s="1"/>
  <c r="H98" i="1"/>
  <c r="H97" i="1" s="1"/>
  <c r="H16" i="3" s="1"/>
  <c r="H13" i="4" s="1"/>
  <c r="H93" i="1"/>
  <c r="H10" i="3" s="1"/>
  <c r="I40" i="1"/>
  <c r="H12" i="4"/>
  <c r="H58" i="1"/>
  <c r="I56" i="1" s="1"/>
  <c r="K19" i="1"/>
  <c r="J27" i="1"/>
  <c r="J24" i="1" s="1"/>
  <c r="J23" i="1" s="1"/>
  <c r="I5" i="2" l="1"/>
  <c r="H22" i="3"/>
  <c r="H24" i="3" s="1"/>
  <c r="G8" i="4"/>
  <c r="G25" i="4" s="1"/>
  <c r="J40" i="1"/>
  <c r="H8" i="4"/>
  <c r="G24" i="3"/>
  <c r="K27" i="1"/>
  <c r="K24" i="1" s="1"/>
  <c r="K34" i="1"/>
  <c r="K25" i="1" s="1"/>
  <c r="I93" i="1"/>
  <c r="I10" i="3" s="1"/>
  <c r="I6" i="2"/>
  <c r="I98" i="1"/>
  <c r="I97" i="1" s="1"/>
  <c r="I16" i="3" s="1"/>
  <c r="I13" i="4" s="1"/>
  <c r="K45" i="1"/>
  <c r="H11" i="4"/>
  <c r="J5" i="2"/>
  <c r="J92" i="1"/>
  <c r="J9" i="3" s="1"/>
  <c r="J12" i="4" s="1"/>
  <c r="H86" i="1"/>
  <c r="I57" i="1"/>
  <c r="I85" i="1" s="1"/>
  <c r="I84" i="1"/>
  <c r="L19" i="1"/>
  <c r="I8" i="2" l="1"/>
  <c r="I9" i="2" s="1"/>
  <c r="I10" i="2" s="1"/>
  <c r="I12" i="2" s="1"/>
  <c r="I22" i="3" s="1"/>
  <c r="I24" i="3" s="1"/>
  <c r="H25" i="4"/>
  <c r="L45" i="1"/>
  <c r="K23" i="1"/>
  <c r="K92" i="1" s="1"/>
  <c r="K9" i="3" s="1"/>
  <c r="K12" i="4" s="1"/>
  <c r="L27" i="1"/>
  <c r="L24" i="1" s="1"/>
  <c r="L34" i="1"/>
  <c r="L25" i="1" s="1"/>
  <c r="I11" i="4"/>
  <c r="J93" i="1"/>
  <c r="J10" i="3" s="1"/>
  <c r="J11" i="4" s="1"/>
  <c r="J98" i="1"/>
  <c r="J97" i="1" s="1"/>
  <c r="J16" i="3" s="1"/>
  <c r="J13" i="4" s="1"/>
  <c r="J6" i="2"/>
  <c r="J8" i="2" s="1"/>
  <c r="K40" i="1"/>
  <c r="I58" i="1"/>
  <c r="M19" i="1"/>
  <c r="I8" i="4" l="1"/>
  <c r="I25" i="4" s="1"/>
  <c r="K5" i="2"/>
  <c r="L23" i="1"/>
  <c r="L92" i="1" s="1"/>
  <c r="L9" i="3" s="1"/>
  <c r="L12" i="4" s="1"/>
  <c r="J9" i="2"/>
  <c r="J10" i="2" s="1"/>
  <c r="J12" i="2" s="1"/>
  <c r="J22" i="3" s="1"/>
  <c r="M27" i="1"/>
  <c r="M24" i="1" s="1"/>
  <c r="M34" i="1"/>
  <c r="M25" i="1" s="1"/>
  <c r="K98" i="1"/>
  <c r="K97" i="1" s="1"/>
  <c r="K16" i="3" s="1"/>
  <c r="K13" i="4" s="1"/>
  <c r="K93" i="1"/>
  <c r="K10" i="3" s="1"/>
  <c r="K11" i="4" s="1"/>
  <c r="K6" i="2"/>
  <c r="L40" i="1"/>
  <c r="M45" i="1"/>
  <c r="L5" i="2"/>
  <c r="J56" i="1"/>
  <c r="I86" i="1"/>
  <c r="N19" i="1"/>
  <c r="K8" i="2" l="1"/>
  <c r="K9" i="2" s="1"/>
  <c r="K10" i="2" s="1"/>
  <c r="K8" i="4" s="1"/>
  <c r="K25" i="4" s="1"/>
  <c r="M23" i="1"/>
  <c r="M5" i="2" s="1"/>
  <c r="M40" i="1"/>
  <c r="J8" i="4"/>
  <c r="J25" i="4" s="1"/>
  <c r="L98" i="1"/>
  <c r="L97" i="1" s="1"/>
  <c r="L16" i="3" s="1"/>
  <c r="L13" i="4" s="1"/>
  <c r="L93" i="1"/>
  <c r="L10" i="3" s="1"/>
  <c r="L11" i="4" s="1"/>
  <c r="L6" i="2"/>
  <c r="L8" i="2" s="1"/>
  <c r="L9" i="2" s="1"/>
  <c r="L10" i="2" s="1"/>
  <c r="L8" i="4" s="1"/>
  <c r="N27" i="1"/>
  <c r="N24" i="1" s="1"/>
  <c r="N34" i="1"/>
  <c r="N25" i="1" s="1"/>
  <c r="N45" i="1"/>
  <c r="J24" i="3"/>
  <c r="J57" i="1"/>
  <c r="J85" i="1" s="1"/>
  <c r="J84" i="1"/>
  <c r="O19" i="1"/>
  <c r="K12" i="2" l="1"/>
  <c r="K22" i="3" s="1"/>
  <c r="M92" i="1"/>
  <c r="M9" i="3" s="1"/>
  <c r="M12" i="4" s="1"/>
  <c r="L25" i="4"/>
  <c r="O45" i="1"/>
  <c r="O27" i="1"/>
  <c r="O24" i="1" s="1"/>
  <c r="O34" i="1"/>
  <c r="O25" i="1" s="1"/>
  <c r="L12" i="2"/>
  <c r="N23" i="1"/>
  <c r="N92" i="1" s="1"/>
  <c r="N9" i="3" s="1"/>
  <c r="M98" i="1"/>
  <c r="M97" i="1" s="1"/>
  <c r="M16" i="3" s="1"/>
  <c r="M13" i="4" s="1"/>
  <c r="M93" i="1"/>
  <c r="M10" i="3" s="1"/>
  <c r="M6" i="2"/>
  <c r="M8" i="2" s="1"/>
  <c r="M9" i="2" s="1"/>
  <c r="M10" i="2" s="1"/>
  <c r="M8" i="4" s="1"/>
  <c r="N40" i="1"/>
  <c r="J58" i="1"/>
  <c r="P19" i="1"/>
  <c r="L22" i="3" l="1"/>
  <c r="L24" i="3" s="1"/>
  <c r="K24" i="3"/>
  <c r="N5" i="2"/>
  <c r="P45" i="1"/>
  <c r="M12" i="2"/>
  <c r="O23" i="1"/>
  <c r="O5" i="2" s="1"/>
  <c r="N6" i="2"/>
  <c r="N98" i="1"/>
  <c r="N97" i="1" s="1"/>
  <c r="N16" i="3" s="1"/>
  <c r="N13" i="4" s="1"/>
  <c r="N93" i="1"/>
  <c r="N10" i="3" s="1"/>
  <c r="N11" i="4" s="1"/>
  <c r="M11" i="4"/>
  <c r="M25" i="4" s="1"/>
  <c r="P27" i="1"/>
  <c r="P24" i="1" s="1"/>
  <c r="P34" i="1"/>
  <c r="P25" i="1" s="1"/>
  <c r="O40" i="1"/>
  <c r="N12" i="4"/>
  <c r="K56" i="1"/>
  <c r="J86" i="1"/>
  <c r="Q19" i="1"/>
  <c r="N8" i="2" l="1"/>
  <c r="N9" i="2" s="1"/>
  <c r="N10" i="2" s="1"/>
  <c r="N12" i="2" s="1"/>
  <c r="M22" i="3"/>
  <c r="O92" i="1"/>
  <c r="O9" i="3" s="1"/>
  <c r="O12" i="4" s="1"/>
  <c r="Q27" i="1"/>
  <c r="Q24" i="1" s="1"/>
  <c r="Q34" i="1"/>
  <c r="Q25" i="1" s="1"/>
  <c r="Q45" i="1"/>
  <c r="P23" i="1"/>
  <c r="P5" i="2" s="1"/>
  <c r="O6" i="2"/>
  <c r="O8" i="2" s="1"/>
  <c r="O9" i="2" s="1"/>
  <c r="O10" i="2" s="1"/>
  <c r="O12" i="2" s="1"/>
  <c r="O98" i="1"/>
  <c r="O97" i="1" s="1"/>
  <c r="O16" i="3" s="1"/>
  <c r="O13" i="4" s="1"/>
  <c r="O93" i="1"/>
  <c r="O10" i="3" s="1"/>
  <c r="P40" i="1"/>
  <c r="K57" i="1"/>
  <c r="K85" i="1" s="1"/>
  <c r="K84" i="1"/>
  <c r="R19" i="1"/>
  <c r="N8" i="4" l="1"/>
  <c r="N25" i="4" s="1"/>
  <c r="N22" i="3"/>
  <c r="O22" i="3" s="1"/>
  <c r="P92" i="1"/>
  <c r="P9" i="3" s="1"/>
  <c r="M24" i="3"/>
  <c r="Q23" i="1"/>
  <c r="Q92" i="1" s="1"/>
  <c r="Q9" i="3" s="1"/>
  <c r="Q40" i="1"/>
  <c r="O8" i="4"/>
  <c r="P6" i="2"/>
  <c r="P8" i="2" s="1"/>
  <c r="P9" i="2" s="1"/>
  <c r="P10" i="2" s="1"/>
  <c r="P98" i="1"/>
  <c r="P97" i="1" s="1"/>
  <c r="P16" i="3" s="1"/>
  <c r="P13" i="4" s="1"/>
  <c r="P93" i="1"/>
  <c r="P10" i="3" s="1"/>
  <c r="P11" i="4" s="1"/>
  <c r="R34" i="1"/>
  <c r="R25" i="1" s="1"/>
  <c r="R27" i="1"/>
  <c r="R24" i="1" s="1"/>
  <c r="R45" i="1"/>
  <c r="O11" i="4"/>
  <c r="P12" i="4"/>
  <c r="K58" i="1"/>
  <c r="K86" i="1" s="1"/>
  <c r="S19" i="1"/>
  <c r="N24" i="3" l="1"/>
  <c r="Q5" i="2"/>
  <c r="S45" i="1"/>
  <c r="P8" i="4"/>
  <c r="P25" i="4" s="1"/>
  <c r="P12" i="2"/>
  <c r="P22" i="3" s="1"/>
  <c r="L56" i="1"/>
  <c r="L84" i="1" s="1"/>
  <c r="O25" i="4"/>
  <c r="R23" i="1"/>
  <c r="R92" i="1" s="1"/>
  <c r="R9" i="3" s="1"/>
  <c r="R40" i="1"/>
  <c r="S34" i="1"/>
  <c r="S25" i="1" s="1"/>
  <c r="S27" i="1"/>
  <c r="S24" i="1" s="1"/>
  <c r="Q93" i="1"/>
  <c r="Q10" i="3" s="1"/>
  <c r="Q11" i="4" s="1"/>
  <c r="Q6" i="2"/>
  <c r="Q8" i="2" s="1"/>
  <c r="Q9" i="2" s="1"/>
  <c r="Q10" i="2" s="1"/>
  <c r="Q98" i="1"/>
  <c r="Q97" i="1" s="1"/>
  <c r="Q16" i="3" s="1"/>
  <c r="Q13" i="4" s="1"/>
  <c r="O24" i="3"/>
  <c r="Q12" i="4"/>
  <c r="L57" i="1"/>
  <c r="L85" i="1" s="1"/>
  <c r="T19" i="1"/>
  <c r="T45" i="1" s="1"/>
  <c r="R5" i="2" l="1"/>
  <c r="S23" i="1"/>
  <c r="S92" i="1" s="1"/>
  <c r="S9" i="3" s="1"/>
  <c r="S12" i="4" s="1"/>
  <c r="Q12" i="2"/>
  <c r="Q22" i="3" s="1"/>
  <c r="Q8" i="4"/>
  <c r="C8" i="5" s="1"/>
  <c r="R93" i="1"/>
  <c r="R10" i="3" s="1"/>
  <c r="R11" i="4" s="1"/>
  <c r="R6" i="2"/>
  <c r="R8" i="2" s="1"/>
  <c r="R9" i="2" s="1"/>
  <c r="R10" i="2" s="1"/>
  <c r="R12" i="2" s="1"/>
  <c r="R98" i="1"/>
  <c r="R97" i="1" s="1"/>
  <c r="R16" i="3" s="1"/>
  <c r="T34" i="1"/>
  <c r="T25" i="1" s="1"/>
  <c r="T27" i="1"/>
  <c r="T24" i="1" s="1"/>
  <c r="S40" i="1"/>
  <c r="T40" i="1"/>
  <c r="P24" i="3"/>
  <c r="R12" i="4"/>
  <c r="L58" i="1"/>
  <c r="U19" i="1"/>
  <c r="S5" i="2" l="1"/>
  <c r="R8" i="4"/>
  <c r="Q25" i="4"/>
  <c r="T23" i="1"/>
  <c r="T92" i="1" s="1"/>
  <c r="T9" i="3" s="1"/>
  <c r="U34" i="1"/>
  <c r="U25" i="1" s="1"/>
  <c r="U27" i="1"/>
  <c r="U24" i="1" s="1"/>
  <c r="U45" i="1"/>
  <c r="R13" i="4"/>
  <c r="T98" i="1"/>
  <c r="T97" i="1" s="1"/>
  <c r="T16" i="3" s="1"/>
  <c r="T93" i="1"/>
  <c r="T10" i="3" s="1"/>
  <c r="T6" i="2"/>
  <c r="S93" i="1"/>
  <c r="S10" i="3" s="1"/>
  <c r="S6" i="2"/>
  <c r="S98" i="1"/>
  <c r="S97" i="1" s="1"/>
  <c r="S16" i="3" s="1"/>
  <c r="S13" i="4" s="1"/>
  <c r="Q24" i="3"/>
  <c r="R22" i="3"/>
  <c r="C10" i="5"/>
  <c r="M56" i="1"/>
  <c r="L86" i="1"/>
  <c r="V19" i="1"/>
  <c r="S8" i="2" l="1"/>
  <c r="S9" i="2" s="1"/>
  <c r="S10" i="2" s="1"/>
  <c r="S12" i="2" s="1"/>
  <c r="S22" i="3" s="1"/>
  <c r="R25" i="4"/>
  <c r="T13" i="4"/>
  <c r="U40" i="1"/>
  <c r="U93" i="1" s="1"/>
  <c r="U10" i="3" s="1"/>
  <c r="T5" i="2"/>
  <c r="T8" i="2" s="1"/>
  <c r="T9" i="2" s="1"/>
  <c r="T10" i="2" s="1"/>
  <c r="T12" i="2" s="1"/>
  <c r="T11" i="4"/>
  <c r="U23" i="1"/>
  <c r="U5" i="2" s="1"/>
  <c r="S11" i="4"/>
  <c r="V34" i="1"/>
  <c r="V25" i="1" s="1"/>
  <c r="V27" i="1"/>
  <c r="V24" i="1" s="1"/>
  <c r="V45" i="1"/>
  <c r="R24" i="3"/>
  <c r="U92" i="1"/>
  <c r="U9" i="3" s="1"/>
  <c r="U12" i="4" s="1"/>
  <c r="T12" i="4"/>
  <c r="M57" i="1"/>
  <c r="M85" i="1" s="1"/>
  <c r="M84" i="1"/>
  <c r="S8" i="4" l="1"/>
  <c r="S25" i="4" s="1"/>
  <c r="U6" i="2"/>
  <c r="U8" i="2" s="1"/>
  <c r="U9" i="2" s="1"/>
  <c r="U10" i="2" s="1"/>
  <c r="U98" i="1"/>
  <c r="U97" i="1" s="1"/>
  <c r="U16" i="3" s="1"/>
  <c r="U13" i="4" s="1"/>
  <c r="T8" i="4"/>
  <c r="E8" i="5" s="1"/>
  <c r="E10" i="5" s="1"/>
  <c r="V23" i="1"/>
  <c r="U11" i="4"/>
  <c r="V40" i="1"/>
  <c r="T22" i="3"/>
  <c r="S24" i="3"/>
  <c r="M58" i="1"/>
  <c r="D8" i="5" l="1"/>
  <c r="D10" i="5" s="1"/>
  <c r="U8" i="4"/>
  <c r="U25" i="4" s="1"/>
  <c r="U12" i="2"/>
  <c r="U22" i="3" s="1"/>
  <c r="T25" i="4"/>
  <c r="V92" i="1"/>
  <c r="V9" i="3" s="1"/>
  <c r="V12" i="4" s="1"/>
  <c r="V5" i="2"/>
  <c r="V6" i="2"/>
  <c r="V98" i="1"/>
  <c r="V97" i="1" s="1"/>
  <c r="V16" i="3" s="1"/>
  <c r="V13" i="4" s="1"/>
  <c r="V93" i="1"/>
  <c r="V10" i="3" s="1"/>
  <c r="V11" i="4" s="1"/>
  <c r="T24" i="3"/>
  <c r="N56" i="1"/>
  <c r="M86" i="1"/>
  <c r="F8" i="5" l="1"/>
  <c r="F10" i="5" s="1"/>
  <c r="V8" i="2"/>
  <c r="V9" i="2" s="1"/>
  <c r="V10" i="2" s="1"/>
  <c r="V8" i="4" s="1"/>
  <c r="G8" i="5" s="1"/>
  <c r="U24" i="3"/>
  <c r="N84" i="1"/>
  <c r="N57" i="1"/>
  <c r="C20" i="5" l="1" a="1"/>
  <c r="C20" i="5" s="1"/>
  <c r="V11" i="2"/>
  <c r="V23" i="4" s="1"/>
  <c r="V25" i="4" s="1"/>
  <c r="G10" i="5"/>
  <c r="C12" i="5" s="1"/>
  <c r="H8" i="5"/>
  <c r="G9" i="5" s="1"/>
  <c r="N58" i="1"/>
  <c r="N85" i="1"/>
  <c r="V12" i="2" l="1"/>
  <c r="V22" i="3" s="1"/>
  <c r="O56" i="1"/>
  <c r="N86" i="1"/>
  <c r="V24" i="3" l="1"/>
  <c r="O57" i="1"/>
  <c r="O85" i="1" s="1"/>
  <c r="O84" i="1"/>
  <c r="O58" i="1" l="1"/>
  <c r="P56" i="1" l="1"/>
  <c r="O86" i="1"/>
  <c r="P57" i="1" l="1"/>
  <c r="P85" i="1" s="1"/>
  <c r="P84" i="1"/>
  <c r="P58" i="1" l="1"/>
  <c r="Q56" i="1" l="1"/>
  <c r="P86" i="1"/>
  <c r="Q57" i="1" l="1"/>
  <c r="Q85" i="1" s="1"/>
  <c r="Q84" i="1"/>
  <c r="Q58" i="1" l="1"/>
  <c r="Q86" i="1" s="1"/>
  <c r="R56" i="1" l="1"/>
  <c r="R84" i="1" s="1"/>
  <c r="R57" i="1"/>
  <c r="R58" i="1" l="1"/>
  <c r="R85" i="1"/>
  <c r="S56" i="1" l="1"/>
  <c r="R86" i="1"/>
  <c r="S57" i="1" l="1"/>
  <c r="S84" i="1"/>
  <c r="S58" i="1" l="1"/>
  <c r="S85" i="1"/>
  <c r="T56" i="1" l="1"/>
  <c r="S86" i="1"/>
  <c r="T57" i="1" l="1"/>
  <c r="T84" i="1"/>
  <c r="T58" i="1" l="1"/>
  <c r="T85" i="1"/>
  <c r="U56" i="1" l="1"/>
  <c r="T86" i="1"/>
  <c r="U57" i="1" l="1"/>
  <c r="U84" i="1"/>
  <c r="U58" i="1" l="1"/>
  <c r="U85" i="1"/>
  <c r="V56" i="1" l="1"/>
  <c r="U86" i="1"/>
  <c r="V57" i="1" l="1"/>
  <c r="V84" i="1"/>
  <c r="V58" i="1" l="1"/>
  <c r="V85" i="1"/>
  <c r="W56" i="1" l="1"/>
  <c r="V86" i="1"/>
  <c r="W57" i="1" l="1"/>
  <c r="W85" i="1" s="1"/>
  <c r="W84" i="1"/>
  <c r="W58" i="1" l="1"/>
  <c r="X56" i="1" l="1"/>
  <c r="W86" i="1"/>
  <c r="X57" i="1" l="1"/>
  <c r="X84" i="1"/>
  <c r="X58" i="1" l="1"/>
  <c r="X85" i="1"/>
  <c r="Y56" i="1" l="1"/>
  <c r="X86" i="1"/>
  <c r="Y57" i="1" l="1"/>
  <c r="Y84" i="1"/>
  <c r="Y58" i="1" l="1"/>
  <c r="Y85" i="1"/>
  <c r="Z56" i="1" l="1"/>
  <c r="Y86" i="1"/>
  <c r="Z57" i="1" l="1"/>
  <c r="Z84" i="1"/>
  <c r="Z58" i="1" l="1"/>
  <c r="Z86" i="1" s="1"/>
  <c r="Z85" i="1"/>
  <c r="G28" i="4" l="1"/>
  <c r="H27" i="4" l="1"/>
  <c r="H28" i="4" s="1"/>
  <c r="G8" i="3"/>
  <c r="G11" i="3" s="1"/>
  <c r="G13" i="3" s="1"/>
  <c r="G26" i="3" s="1"/>
  <c r="I27" i="4" l="1"/>
  <c r="I28" i="4" s="1"/>
  <c r="H8" i="3"/>
  <c r="H11" i="3" s="1"/>
  <c r="H13" i="3" s="1"/>
  <c r="H26" i="3" s="1"/>
  <c r="J27" i="4" l="1"/>
  <c r="J28" i="4" s="1"/>
  <c r="I8" i="3"/>
  <c r="I11" i="3" s="1"/>
  <c r="I13" i="3" s="1"/>
  <c r="I26" i="3" s="1"/>
  <c r="K27" i="4" l="1"/>
  <c r="K28" i="4" s="1"/>
  <c r="J8" i="3"/>
  <c r="J11" i="3" s="1"/>
  <c r="J13" i="3" s="1"/>
  <c r="J26" i="3" s="1"/>
  <c r="L27" i="4" l="1"/>
  <c r="L28" i="4" s="1"/>
  <c r="K8" i="3"/>
  <c r="K11" i="3" s="1"/>
  <c r="K13" i="3" s="1"/>
  <c r="K26" i="3" s="1"/>
  <c r="M27" i="4" l="1"/>
  <c r="M28" i="4" s="1"/>
  <c r="L8" i="3"/>
  <c r="L11" i="3" s="1"/>
  <c r="L13" i="3" s="1"/>
  <c r="L26" i="3" s="1"/>
  <c r="N27" i="4" l="1"/>
  <c r="N28" i="4" s="1"/>
  <c r="M8" i="3"/>
  <c r="M11" i="3" s="1"/>
  <c r="M13" i="3" s="1"/>
  <c r="M26" i="3" s="1"/>
  <c r="O27" i="4" l="1"/>
  <c r="O28" i="4" s="1"/>
  <c r="N8" i="3"/>
  <c r="N11" i="3" s="1"/>
  <c r="N13" i="3" s="1"/>
  <c r="N26" i="3" s="1"/>
  <c r="P27" i="4" l="1"/>
  <c r="P28" i="4" s="1"/>
  <c r="O8" i="3"/>
  <c r="O11" i="3" s="1"/>
  <c r="O13" i="3" s="1"/>
  <c r="O26" i="3" s="1"/>
  <c r="Q27" i="4" l="1"/>
  <c r="Q28" i="4" s="1"/>
  <c r="P8" i="3"/>
  <c r="P11" i="3" s="1"/>
  <c r="P13" i="3" s="1"/>
  <c r="P26" i="3" s="1"/>
  <c r="R27" i="4" l="1"/>
  <c r="R28" i="4" s="1"/>
  <c r="Q8" i="3"/>
  <c r="Q11" i="3" s="1"/>
  <c r="Q13" i="3" s="1"/>
  <c r="Q26" i="3" s="1"/>
  <c r="S27" i="4" l="1"/>
  <c r="S28" i="4" s="1"/>
  <c r="R8" i="3"/>
  <c r="R11" i="3" s="1"/>
  <c r="R13" i="3" s="1"/>
  <c r="R26" i="3" s="1"/>
  <c r="T27" i="4" l="1"/>
  <c r="T28" i="4" s="1"/>
  <c r="S8" i="3"/>
  <c r="S11" i="3" s="1"/>
  <c r="S13" i="3" s="1"/>
  <c r="S26" i="3" s="1"/>
  <c r="U27" i="4" l="1"/>
  <c r="U28" i="4" s="1"/>
  <c r="T8" i="3"/>
  <c r="T11" i="3" s="1"/>
  <c r="T13" i="3" s="1"/>
  <c r="T26" i="3" s="1"/>
  <c r="V27" i="4" l="1"/>
  <c r="V28" i="4" s="1"/>
  <c r="V8" i="3" s="1"/>
  <c r="V11" i="3" s="1"/>
  <c r="V13" i="3" s="1"/>
  <c r="V26" i="3" s="1"/>
  <c r="U8" i="3"/>
  <c r="U11" i="3" s="1"/>
  <c r="U13" i="3" s="1"/>
  <c r="U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<sst xmlns="http://schemas.openxmlformats.org/spreadsheetml/2006/main" count="338" uniqueCount="215">
  <si>
    <t>Title</t>
  </si>
  <si>
    <t>Description</t>
  </si>
  <si>
    <t>Forecast basis</t>
  </si>
  <si>
    <t>Static Value</t>
  </si>
  <si>
    <t>Months</t>
  </si>
  <si>
    <t>Variable</t>
  </si>
  <si>
    <t>Years</t>
  </si>
  <si>
    <t>First 6m</t>
  </si>
  <si>
    <t>last 6m</t>
  </si>
  <si>
    <t>12m</t>
  </si>
  <si>
    <t>Inflation in Respective Year/no. of period</t>
  </si>
  <si>
    <t>Sales</t>
  </si>
  <si>
    <t>PxQ (Price per slot x No.of slots played)</t>
  </si>
  <si>
    <t>Price</t>
  </si>
  <si>
    <t>Competitive Pricing</t>
  </si>
  <si>
    <t>Quantity</t>
  </si>
  <si>
    <t>No.of slots available per day</t>
  </si>
  <si>
    <t>930-630 =&gt; 1 hour break</t>
  </si>
  <si>
    <t>% No. of slots played in a day</t>
  </si>
  <si>
    <t>20 min slot</t>
  </si>
  <si>
    <t>Rent Expense</t>
  </si>
  <si>
    <t>electricity cost</t>
  </si>
  <si>
    <t xml:space="preserve">Gatekeeper cum record booker cum accessories keeper </t>
  </si>
  <si>
    <t xml:space="preserve">machine operator cum machine keeper </t>
  </si>
  <si>
    <t>monthly salary</t>
  </si>
  <si>
    <t>RBM</t>
  </si>
  <si>
    <t>Monthly</t>
  </si>
  <si>
    <t>Quarterly</t>
  </si>
  <si>
    <t>Indoor Bowling Machines in Nets at IBA for Cricket loving Batsmen.</t>
  </si>
  <si>
    <t>Revenue</t>
  </si>
  <si>
    <t>Expenses</t>
  </si>
  <si>
    <t>Assets</t>
  </si>
  <si>
    <t>Liabilities &amp; Equities</t>
  </si>
  <si>
    <t>operational plan</t>
  </si>
  <si>
    <t>marketing plan</t>
  </si>
  <si>
    <t>Fee charged for a slot (20 mins of Batting), Fee charged for Batting equipment (if used)</t>
  </si>
  <si>
    <t>Rent, Salaries, Depreciation, maintenance expense, Electricity, marketing</t>
  </si>
  <si>
    <t>FnF Funding, Angel Investors, savings</t>
  </si>
  <si>
    <t xml:space="preserve">22x4 area near Cricket ground, continous 20 min slots  with one hour rest for employees, walk-in booking, for both Male and female students, 6 days week (Monday-Saturday), 930 am to 630 pm (with one hour break), Inventory management
2 staff members, Maintenance schedules, </t>
  </si>
  <si>
    <t>Posters, brchures, WoM, OSA Email, Collab with IBA Sports Society</t>
  </si>
  <si>
    <t>Inflation</t>
  </si>
  <si>
    <t>on p.a basis</t>
  </si>
  <si>
    <t>inflation per period</t>
  </si>
  <si>
    <t>on per period basis</t>
  </si>
  <si>
    <t>inflation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</si>
  <si>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</si>
  <si>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</si>
  <si>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</si>
  <si>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</si>
  <si>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</si>
  <si>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</si>
  <si>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</si>
  <si>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</si>
  <si>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</si>
  <si>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</si>
  <si>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</si>
  <si>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</si>
  <si>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operational days</t>
  </si>
  <si>
    <t>Price charged for 20 min slot</t>
  </si>
  <si>
    <t>Fee Charged for a slot</t>
  </si>
  <si>
    <t>Fee charged for batting equipment used</t>
  </si>
  <si>
    <t>No. of slots equipment used x charges for equipment per slot</t>
  </si>
  <si>
    <t>No. of Slots available per day *operational days* % of slots played in a day</t>
  </si>
  <si>
    <t>Pshycological approach based on survey (Surveyed audience includes Undergrad, grad, postgrads, phd students too.)</t>
  </si>
  <si>
    <t>Charged price per slot</t>
  </si>
  <si>
    <t xml:space="preserve">percentage of customer who are willing to use provided equipments </t>
  </si>
  <si>
    <t>Based on Survey</t>
  </si>
  <si>
    <t>No. of slots available per period</t>
  </si>
  <si>
    <t xml:space="preserve">No. of customer who are willing to use provided equipments </t>
  </si>
  <si>
    <t>Variable cost</t>
  </si>
  <si>
    <t>All expenses that change proportionally to No.of slots played</t>
  </si>
  <si>
    <t>For Slots  Played</t>
  </si>
  <si>
    <t>Electricity cost per session</t>
  </si>
  <si>
    <t>Price per KW per minute * 20 minutes * no slots played</t>
  </si>
  <si>
    <t>Maintenance i.e cleaning per session</t>
  </si>
  <si>
    <t>Cost per session x No. of slots played</t>
  </si>
  <si>
    <t>For Equipments provided</t>
  </si>
  <si>
    <t>depreciation of equipments</t>
  </si>
  <si>
    <t>Fixed Costs</t>
  </si>
  <si>
    <t>Price per Kwh</t>
  </si>
  <si>
    <t>As Per KE Tariff</t>
  </si>
  <si>
    <t>Bowling machine intake</t>
  </si>
  <si>
    <t>As per Description</t>
  </si>
  <si>
    <t>power consumption per hour</t>
  </si>
  <si>
    <t>power consumption per slot (in Kwh)</t>
  </si>
  <si>
    <t>KwH = Unit</t>
  </si>
  <si>
    <t>rate</t>
  </si>
  <si>
    <t>method</t>
  </si>
  <si>
    <t>Useful Life</t>
  </si>
  <si>
    <t>Salvage %</t>
  </si>
  <si>
    <t>Age</t>
  </si>
  <si>
    <t>Is Useful Life left</t>
  </si>
  <si>
    <t>period</t>
  </si>
  <si>
    <t>Cost</t>
  </si>
  <si>
    <t>opening bal</t>
  </si>
  <si>
    <t>Depr Exp</t>
  </si>
  <si>
    <t>Closing Bal</t>
  </si>
  <si>
    <t>For Slots Played</t>
  </si>
  <si>
    <t>Bowling machine, Nets Structure, Batting accessories</t>
  </si>
  <si>
    <t>depreciation of Machine</t>
  </si>
  <si>
    <t>SLM</t>
  </si>
  <si>
    <t>depreciation of Net Structure</t>
  </si>
  <si>
    <t>Salary per slot--only paid for slots played</t>
  </si>
  <si>
    <t>Operator Salary</t>
  </si>
  <si>
    <t>Gatekeeper fixed monthly salary</t>
  </si>
  <si>
    <t>Marketing Expense</t>
  </si>
  <si>
    <t>Printing and emailing costs of Brochures and cards etc</t>
  </si>
  <si>
    <t>variable values=&gt;</t>
  </si>
  <si>
    <t>description</t>
  </si>
  <si>
    <t>forecast basis</t>
  </si>
  <si>
    <t>static values</t>
  </si>
  <si>
    <t>6m-first</t>
  </si>
  <si>
    <t>6m-second</t>
  </si>
  <si>
    <t xml:space="preserve">Title </t>
  </si>
  <si>
    <t>Variable Cost</t>
  </si>
  <si>
    <t>Fixed Cost</t>
  </si>
  <si>
    <t>Gross Profit / EBT</t>
  </si>
  <si>
    <t>Tax</t>
  </si>
  <si>
    <t>As per Income tax ordinance,2001 ---&gt;Small company</t>
  </si>
  <si>
    <t>Net Profit</t>
  </si>
  <si>
    <t>Dividends</t>
  </si>
  <si>
    <t>No dividends for first four year</t>
  </si>
  <si>
    <t>Addition to Retained Earnings</t>
  </si>
  <si>
    <t>All Assets Schedule</t>
  </si>
  <si>
    <t>Opening Balance</t>
  </si>
  <si>
    <t>Depreciation</t>
  </si>
  <si>
    <t>Closing Balance</t>
  </si>
  <si>
    <t>Row to use</t>
  </si>
  <si>
    <t>Cash</t>
  </si>
  <si>
    <t>from CFS</t>
  </si>
  <si>
    <t>Inventory</t>
  </si>
  <si>
    <t>Fixed Assets</t>
  </si>
  <si>
    <t>Angel Investors</t>
  </si>
  <si>
    <t>1% of sales is credit for month</t>
  </si>
  <si>
    <t>Inventory Turnover</t>
  </si>
  <si>
    <t>Current Asset</t>
  </si>
  <si>
    <t>Total Assets</t>
  </si>
  <si>
    <t>accounts</t>
  </si>
  <si>
    <t>salaries</t>
  </si>
  <si>
    <t>1 month salary exceptfor daily wage</t>
  </si>
  <si>
    <t>rent</t>
  </si>
  <si>
    <t>1 month</t>
  </si>
  <si>
    <t>1 month worth of CGS (CGS=VC)</t>
  </si>
  <si>
    <t>AFN</t>
  </si>
  <si>
    <t>Savings</t>
  </si>
  <si>
    <t>Payables</t>
  </si>
  <si>
    <t>FnF</t>
  </si>
  <si>
    <t>Owner's Equity</t>
  </si>
  <si>
    <t>Retained Earnings</t>
  </si>
  <si>
    <t>Total Liabilities &amp; Equities</t>
  </si>
  <si>
    <t>Grant from IBA Shark tank after winning competition</t>
  </si>
  <si>
    <t>Equal principal Repayment for 2 years to repay 200000</t>
  </si>
  <si>
    <t>CFO</t>
  </si>
  <si>
    <t>NI</t>
  </si>
  <si>
    <t>changes in NWC</t>
  </si>
  <si>
    <t>changes in inventory</t>
  </si>
  <si>
    <t>changes in AR</t>
  </si>
  <si>
    <t>changes AP</t>
  </si>
  <si>
    <t>CFI</t>
  </si>
  <si>
    <t>changes in PPE</t>
  </si>
  <si>
    <t>CFF</t>
  </si>
  <si>
    <t>changes in debt</t>
  </si>
  <si>
    <t>changes in equity</t>
  </si>
  <si>
    <t>dividends paid</t>
  </si>
  <si>
    <t>Net changes in CFS</t>
  </si>
  <si>
    <t>opening cash</t>
  </si>
  <si>
    <t>ending cash</t>
  </si>
  <si>
    <t>check</t>
  </si>
  <si>
    <t>Debt:</t>
  </si>
  <si>
    <t>AFN (to have cash buffer against expenses)</t>
  </si>
  <si>
    <t>Discount rate</t>
  </si>
  <si>
    <t>Sustainable growth rate</t>
  </si>
  <si>
    <t>Constant growth / stable growth /terminal period</t>
  </si>
  <si>
    <t>FCFE</t>
  </si>
  <si>
    <t>Terminal Value</t>
  </si>
  <si>
    <t>DCF</t>
  </si>
  <si>
    <t>Value</t>
  </si>
  <si>
    <t>Coefficient of Variation</t>
  </si>
  <si>
    <t>Semi Annually</t>
  </si>
  <si>
    <t>Annually</t>
  </si>
  <si>
    <t>Note</t>
  </si>
  <si>
    <t>Estimating Discount rate</t>
  </si>
  <si>
    <t>Cost of equity</t>
  </si>
  <si>
    <t>Risk free rate= 12
Beta = 1.2
Market risk premium = 5</t>
  </si>
  <si>
    <t>Economic Growth rate as per Fiscal year</t>
  </si>
  <si>
    <t>Cost of debt</t>
  </si>
  <si>
    <t>Batting Paradise</t>
  </si>
  <si>
    <t>Startup Model</t>
  </si>
  <si>
    <t>Available at https://www.statista.com/statistics/383760/inflation-rate-in-pakistan/ and Trading Economis Pakistan</t>
  </si>
  <si>
    <t>Total Revenue from all Revenue Streams</t>
  </si>
  <si>
    <t>Fee per slot + Charges for Accessories Use</t>
  </si>
  <si>
    <t>`</t>
  </si>
  <si>
    <t>All costs that occur irrespective of no. slots played</t>
  </si>
  <si>
    <t>Accumulated Depreciation</t>
  </si>
  <si>
    <t>Accounts Recievable</t>
  </si>
  <si>
    <t>Owners Equity</t>
  </si>
  <si>
    <t>Equity:</t>
  </si>
  <si>
    <t>As Estimated</t>
  </si>
  <si>
    <t xml:space="preserve">Rent charged under CED </t>
  </si>
  <si>
    <t>Increase semianually</t>
  </si>
  <si>
    <t>Maintenance Cost per session</t>
  </si>
  <si>
    <t>Maintenance cost</t>
  </si>
  <si>
    <t>Practical Value</t>
  </si>
  <si>
    <t>Increases Annualy by</t>
  </si>
  <si>
    <t>Cost projected for  only first 3 promotional months</t>
  </si>
  <si>
    <t>No costs incurred for debt - ( still taking low cost of debt due AFN)</t>
  </si>
  <si>
    <t>Wacc Possible Estimate</t>
  </si>
  <si>
    <t>Since wacc is near 19.2 so Discount Rate is better to be Bit Above</t>
  </si>
  <si>
    <t>The Coefficient of Variation shows that my Startup is at lower risk.</t>
  </si>
  <si>
    <t>Academic calendar on IBA website</t>
  </si>
  <si>
    <r>
      <rPr>
        <b/>
        <sz val="48"/>
        <color theme="1"/>
        <rFont val="Bahnschrift SemiBold"/>
        <family val="2"/>
      </rPr>
      <t>Batting Paradise</t>
    </r>
    <r>
      <rPr>
        <b/>
        <sz val="26"/>
        <color theme="1"/>
        <rFont val="Bahnschrift SemiBold"/>
        <family val="2"/>
      </rPr>
      <t xml:space="preserve">
StartUp Model</t>
    </r>
  </si>
  <si>
    <r>
      <rPr>
        <b/>
        <sz val="26"/>
        <color theme="1"/>
        <rFont val="Aptos Narrow"/>
        <family val="2"/>
        <scheme val="minor"/>
      </rPr>
      <t>Valuation</t>
    </r>
    <r>
      <rPr>
        <b/>
        <sz val="18"/>
        <color theme="1"/>
        <rFont val="Aptos Narrow"/>
        <family val="2"/>
        <scheme val="minor"/>
      </rPr>
      <t xml:space="preserve"> (based on Five Year Projections)</t>
    </r>
  </si>
  <si>
    <t>2026 (Half 1)</t>
  </si>
  <si>
    <t>2027 (Half 2)</t>
  </si>
  <si>
    <t xml:space="preserve">Addition to Retained Earnings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</si>
</sst>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-* #,##0_-;\-* #,##0_-;_-* &quot;-&quot;??_-;_-@_-"/>
    <numFmt numFmtId="166" formatCode="0.000%"/>
    <numFmt numFmtId="167" formatCode="[$PKR]\ #,##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 Black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Bahnschrift SemiBold"/>
      <family val="2"/>
    </font>
    <font>
      <b/>
      <sz val="14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4"/>
      <color theme="1"/>
      <name val="Arial Rounded MT Bold"/>
      <family val="2"/>
    </font>
    <font>
      <sz val="20"/>
      <color theme="1"/>
      <name val="Arial Rounded MT Bold"/>
      <family val="2"/>
    </font>
    <font>
      <b/>
      <sz val="48"/>
      <color theme="1"/>
      <name val="Bahnschrift SemiBold"/>
      <family val="2"/>
    </font>
    <font>
      <b/>
      <sz val="18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4" fillId="0" borderId="0" xfId="0" applyFont="1" applyAlignment="1">
      <alignment wrapText="1"/>
    </xf>
    <xf numFmtId="165" fontId="0" fillId="0" borderId="0" xfId="2" applyNumberFormat="1" applyFont="1"/>
    <xf numFmtId="0" fontId="4" fillId="0" borderId="0" xfId="0" applyFont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10" fontId="0" fillId="0" borderId="3" xfId="0" applyNumberFormat="1" applyBorder="1"/>
    <xf numFmtId="10" fontId="0" fillId="0" borderId="4" xfId="0" applyNumberFormat="1" applyBorder="1"/>
    <xf numFmtId="0" fontId="0" fillId="0" borderId="5" xfId="0" applyBorder="1"/>
    <xf numFmtId="164" fontId="0" fillId="0" borderId="0" xfId="1" applyNumberFormat="1" applyFont="1" applyBorder="1"/>
    <xf numFmtId="10" fontId="0" fillId="0" borderId="0" xfId="0" applyNumberFormat="1"/>
    <xf numFmtId="10" fontId="0" fillId="0" borderId="6" xfId="0" applyNumberFormat="1" applyBorder="1"/>
    <xf numFmtId="0" fontId="0" fillId="0" borderId="8" xfId="0" applyBorder="1" applyAlignment="1">
      <alignment wrapText="1"/>
    </xf>
    <xf numFmtId="0" fontId="0" fillId="0" borderId="8" xfId="0" applyBorder="1"/>
    <xf numFmtId="9" fontId="0" fillId="0" borderId="8" xfId="0" applyNumberFormat="1" applyBorder="1"/>
    <xf numFmtId="164" fontId="0" fillId="0" borderId="8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9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4" fillId="2" borderId="10" xfId="0" applyFon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/>
    <xf numFmtId="0" fontId="0" fillId="0" borderId="4" xfId="0" applyBorder="1" applyAlignment="1">
      <alignment wrapText="1"/>
    </xf>
    <xf numFmtId="0" fontId="4" fillId="0" borderId="13" xfId="0" applyFont="1" applyBorder="1" applyAlignment="1">
      <alignment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0" xfId="0" applyFill="1" applyAlignment="1">
      <alignment wrapText="1"/>
    </xf>
    <xf numFmtId="0" fontId="4" fillId="0" borderId="12" xfId="0" applyFont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0" borderId="3" xfId="0" applyFont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166" fontId="0" fillId="0" borderId="1" xfId="0" applyNumberFormat="1" applyBorder="1"/>
    <xf numFmtId="165" fontId="0" fillId="0" borderId="1" xfId="2" applyNumberFormat="1" applyFont="1" applyBorder="1"/>
    <xf numFmtId="0" fontId="4" fillId="8" borderId="0" xfId="0" applyFont="1" applyFill="1" applyAlignment="1">
      <alignment wrapText="1"/>
    </xf>
    <xf numFmtId="165" fontId="0" fillId="0" borderId="10" xfId="2" applyNumberFormat="1" applyFont="1" applyBorder="1"/>
    <xf numFmtId="165" fontId="0" fillId="0" borderId="12" xfId="2" applyNumberFormat="1" applyFont="1" applyBorder="1"/>
    <xf numFmtId="165" fontId="4" fillId="9" borderId="0" xfId="2" applyNumberFormat="1" applyFont="1" applyFill="1" applyAlignment="1">
      <alignment wrapText="1"/>
    </xf>
    <xf numFmtId="0" fontId="4" fillId="0" borderId="7" xfId="0" applyFont="1" applyBorder="1"/>
    <xf numFmtId="9" fontId="4" fillId="5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9" fontId="4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8" fillId="0" borderId="5" xfId="0" applyFont="1" applyBorder="1" applyAlignment="1">
      <alignment wrapText="1"/>
    </xf>
    <xf numFmtId="0" fontId="8" fillId="0" borderId="7" xfId="0" applyFont="1" applyBorder="1" applyAlignment="1">
      <alignment wrapText="1"/>
    </xf>
    <xf numFmtId="9" fontId="0" fillId="4" borderId="3" xfId="1" applyFont="1" applyFill="1" applyBorder="1"/>
    <xf numFmtId="0" fontId="8" fillId="0" borderId="14" xfId="0" applyFont="1" applyBorder="1" applyAlignment="1">
      <alignment wrapText="1"/>
    </xf>
    <xf numFmtId="0" fontId="4" fillId="0" borderId="4" xfId="0" applyFont="1" applyBorder="1"/>
    <xf numFmtId="166" fontId="0" fillId="0" borderId="9" xfId="0" applyNumberFormat="1" applyBorder="1"/>
    <xf numFmtId="0" fontId="4" fillId="6" borderId="14" xfId="0" applyFont="1" applyFill="1" applyBorder="1" applyAlignment="1">
      <alignment wrapText="1"/>
    </xf>
    <xf numFmtId="0" fontId="4" fillId="6" borderId="14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0" borderId="0" xfId="0" applyFont="1" applyAlignment="1">
      <alignment horizontal="center"/>
    </xf>
    <xf numFmtId="0" fontId="0" fillId="0" borderId="19" xfId="0" applyBorder="1"/>
    <xf numFmtId="0" fontId="2" fillId="0" borderId="18" xfId="0" applyFont="1" applyBorder="1"/>
    <xf numFmtId="0" fontId="4" fillId="0" borderId="18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3" borderId="24" xfId="0" applyFont="1" applyFill="1" applyBorder="1"/>
    <xf numFmtId="0" fontId="4" fillId="3" borderId="25" xfId="0" applyFont="1" applyFill="1" applyBorder="1"/>
    <xf numFmtId="0" fontId="4" fillId="3" borderId="26" xfId="0" applyFont="1" applyFill="1" applyBorder="1"/>
    <xf numFmtId="0" fontId="4" fillId="3" borderId="27" xfId="0" applyFont="1" applyFill="1" applyBorder="1"/>
    <xf numFmtId="165" fontId="0" fillId="0" borderId="29" xfId="2" applyNumberFormat="1" applyFont="1" applyBorder="1"/>
    <xf numFmtId="0" fontId="0" fillId="0" borderId="0" xfId="0" applyBorder="1"/>
    <xf numFmtId="165" fontId="0" fillId="0" borderId="0" xfId="2" applyNumberFormat="1" applyFont="1" applyBorder="1"/>
    <xf numFmtId="165" fontId="0" fillId="0" borderId="19" xfId="2" applyNumberFormat="1" applyFont="1" applyBorder="1"/>
    <xf numFmtId="0" fontId="9" fillId="7" borderId="30" xfId="0" applyFont="1" applyFill="1" applyBorder="1"/>
    <xf numFmtId="167" fontId="10" fillId="7" borderId="31" xfId="0" applyNumberFormat="1" applyFont="1" applyFill="1" applyBorder="1"/>
    <xf numFmtId="165" fontId="0" fillId="0" borderId="21" xfId="2" applyNumberFormat="1" applyFont="1" applyBorder="1"/>
    <xf numFmtId="165" fontId="0" fillId="0" borderId="22" xfId="2" applyNumberFormat="1" applyFont="1" applyBorder="1"/>
    <xf numFmtId="0" fontId="14" fillId="3" borderId="28" xfId="0" applyFont="1" applyFill="1" applyBorder="1"/>
    <xf numFmtId="0" fontId="5" fillId="2" borderId="15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12" fillId="7" borderId="33" xfId="0" applyFont="1" applyFill="1" applyBorder="1" applyAlignment="1">
      <alignment horizontal="center"/>
    </xf>
    <xf numFmtId="0" fontId="12" fillId="7" borderId="32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4" fillId="3" borderId="23" xfId="0" applyFont="1" applyFill="1" applyBorder="1"/>
    <xf numFmtId="0" fontId="4" fillId="7" borderId="0" xfId="0" applyFont="1" applyFill="1"/>
    <xf numFmtId="0" fontId="0" fillId="3" borderId="0" xfId="0" applyFill="1"/>
    <xf numFmtId="0" fontId="0" fillId="6" borderId="0" xfId="0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PnL!$N$21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PnL!$O$21:$AE$21</c:f>
              <c:numCache>
                <c:formatCode>General</c:formatCode>
                <c:ptCount val="17"/>
                <c:pt idx="0">
                  <c:v>-30964.799999999999</c:v>
                </c:pt>
                <c:pt idx="1">
                  <c:v>44855.199999999997</c:v>
                </c:pt>
                <c:pt idx="2">
                  <c:v>59776</c:v>
                </c:pt>
                <c:pt idx="3">
                  <c:v>53544.800000000003</c:v>
                </c:pt>
                <c:pt idx="4">
                  <c:v>66145.600000000006</c:v>
                </c:pt>
                <c:pt idx="5">
                  <c:v>28034.400000000001</c:v>
                </c:pt>
                <c:pt idx="6">
                  <c:v>52751.199999999997</c:v>
                </c:pt>
                <c:pt idx="7">
                  <c:v>25519.200000000001</c:v>
                </c:pt>
                <c:pt idx="8">
                  <c:v>60741.599999999999</c:v>
                </c:pt>
                <c:pt idx="9">
                  <c:v>51644</c:v>
                </c:pt>
                <c:pt idx="10">
                  <c:v>64776.800000000003</c:v>
                </c:pt>
                <c:pt idx="11">
                  <c:v>37733.599999999999</c:v>
                </c:pt>
                <c:pt idx="12">
                  <c:v>237761.6</c:v>
                </c:pt>
                <c:pt idx="13">
                  <c:v>263865.59999999998</c:v>
                </c:pt>
                <c:pt idx="14">
                  <c:v>262106.4</c:v>
                </c:pt>
                <c:pt idx="15">
                  <c:v>293324</c:v>
                </c:pt>
                <c:pt idx="16">
                  <c:v>367088.8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8-4792-8693-121D36D5CA4D}"/>
            </c:ext>
          </c:extLst>
        </c:ser>
        <c:ser>
          <c:idx val="1"/>
          <c:order val="1"/>
          <c:tx>
            <c:strRef>
              <c:f>PnL!$N$22</c:f>
              <c:strCache>
                <c:ptCount val="1"/>
                <c:pt idx="0">
                  <c:v>Addition to Retained Earnings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PnL!$O$22:$AE$22</c:f>
              <c:numCache>
                <c:formatCode>General</c:formatCode>
                <c:ptCount val="17"/>
                <c:pt idx="0">
                  <c:v>-30964.799999999999</c:v>
                </c:pt>
                <c:pt idx="1">
                  <c:v>44855.199999999997</c:v>
                </c:pt>
                <c:pt idx="2">
                  <c:v>59776</c:v>
                </c:pt>
                <c:pt idx="3">
                  <c:v>53544.800000000003</c:v>
                </c:pt>
                <c:pt idx="4">
                  <c:v>66145.600000000006</c:v>
                </c:pt>
                <c:pt idx="5">
                  <c:v>28034.400000000001</c:v>
                </c:pt>
                <c:pt idx="6">
                  <c:v>52751.199999999997</c:v>
                </c:pt>
                <c:pt idx="7">
                  <c:v>25519.200000000001</c:v>
                </c:pt>
                <c:pt idx="8">
                  <c:v>60741.599999999999</c:v>
                </c:pt>
                <c:pt idx="9">
                  <c:v>51644</c:v>
                </c:pt>
                <c:pt idx="10">
                  <c:v>64776.800000000003</c:v>
                </c:pt>
                <c:pt idx="11">
                  <c:v>37733.599999999999</c:v>
                </c:pt>
                <c:pt idx="12">
                  <c:v>237761.6</c:v>
                </c:pt>
                <c:pt idx="13">
                  <c:v>263865.59999999998</c:v>
                </c:pt>
                <c:pt idx="14">
                  <c:v>262106.4</c:v>
                </c:pt>
                <c:pt idx="15">
                  <c:v>293324</c:v>
                </c:pt>
                <c:pt idx="16">
                  <c:v>275316.59999999998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78-4792-8693-121D36D5C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94031"/>
        <c:axId val="158992591"/>
        <c:axId val="2118313039"/>
      </c:line3DChart>
      <c:catAx>
        <c:axId val="158994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2591"/>
        <c:crosses val="autoZero"/>
        <c:auto val="1"/>
        <c:lblAlgn val="ctr"/>
        <c:lblOffset val="100"/>
        <c:noMultiLvlLbl val="0"/>
      </c:catAx>
      <c:valAx>
        <c:axId val="15899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031"/>
        <c:crosses val="autoZero"/>
        <c:crossBetween val="between"/>
      </c:valAx>
      <c:serAx>
        <c:axId val="21183130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259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PnL!$N$21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PnL!$O$21:$AE$21</c:f>
              <c:numCache>
                <c:formatCode>General</c:formatCode>
                <c:ptCount val="17"/>
                <c:pt idx="0">
                  <c:v>-30964.799999999999</c:v>
                </c:pt>
                <c:pt idx="1">
                  <c:v>44855.199999999997</c:v>
                </c:pt>
                <c:pt idx="2">
                  <c:v>59776</c:v>
                </c:pt>
                <c:pt idx="3">
                  <c:v>53544.800000000003</c:v>
                </c:pt>
                <c:pt idx="4">
                  <c:v>66145.600000000006</c:v>
                </c:pt>
                <c:pt idx="5">
                  <c:v>28034.400000000001</c:v>
                </c:pt>
                <c:pt idx="6">
                  <c:v>52751.199999999997</c:v>
                </c:pt>
                <c:pt idx="7">
                  <c:v>25519.200000000001</c:v>
                </c:pt>
                <c:pt idx="8">
                  <c:v>60741.599999999999</c:v>
                </c:pt>
                <c:pt idx="9">
                  <c:v>51644</c:v>
                </c:pt>
                <c:pt idx="10">
                  <c:v>64776.800000000003</c:v>
                </c:pt>
                <c:pt idx="11">
                  <c:v>37733.599999999999</c:v>
                </c:pt>
                <c:pt idx="12">
                  <c:v>237761.6</c:v>
                </c:pt>
                <c:pt idx="13">
                  <c:v>263865.59999999998</c:v>
                </c:pt>
                <c:pt idx="14">
                  <c:v>262106.4</c:v>
                </c:pt>
                <c:pt idx="15">
                  <c:v>293324</c:v>
                </c:pt>
                <c:pt idx="16">
                  <c:v>367088.8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9-462E-A1DF-D8AEE570AB46}"/>
            </c:ext>
          </c:extLst>
        </c:ser>
        <c:ser>
          <c:idx val="1"/>
          <c:order val="1"/>
          <c:tx>
            <c:strRef>
              <c:f>PnL!$N$22</c:f>
              <c:strCache>
                <c:ptCount val="1"/>
                <c:pt idx="0">
                  <c:v>Addition to Retained Earnings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PnL!$O$22:$AE$22</c:f>
              <c:numCache>
                <c:formatCode>General</c:formatCode>
                <c:ptCount val="17"/>
                <c:pt idx="0">
                  <c:v>-30964.799999999999</c:v>
                </c:pt>
                <c:pt idx="1">
                  <c:v>44855.199999999997</c:v>
                </c:pt>
                <c:pt idx="2">
                  <c:v>59776</c:v>
                </c:pt>
                <c:pt idx="3">
                  <c:v>53544.800000000003</c:v>
                </c:pt>
                <c:pt idx="4">
                  <c:v>66145.600000000006</c:v>
                </c:pt>
                <c:pt idx="5">
                  <c:v>28034.400000000001</c:v>
                </c:pt>
                <c:pt idx="6">
                  <c:v>52751.199999999997</c:v>
                </c:pt>
                <c:pt idx="7">
                  <c:v>25519.200000000001</c:v>
                </c:pt>
                <c:pt idx="8">
                  <c:v>60741.599999999999</c:v>
                </c:pt>
                <c:pt idx="9">
                  <c:v>51644</c:v>
                </c:pt>
                <c:pt idx="10">
                  <c:v>64776.800000000003</c:v>
                </c:pt>
                <c:pt idx="11">
                  <c:v>37733.599999999999</c:v>
                </c:pt>
                <c:pt idx="12">
                  <c:v>237761.6</c:v>
                </c:pt>
                <c:pt idx="13">
                  <c:v>263865.59999999998</c:v>
                </c:pt>
                <c:pt idx="14">
                  <c:v>262106.4</c:v>
                </c:pt>
                <c:pt idx="15">
                  <c:v>293324</c:v>
                </c:pt>
                <c:pt idx="16">
                  <c:v>275316.59999999998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9-462E-A1DF-D8AEE570A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94031"/>
        <c:axId val="158992591"/>
        <c:axId val="2118313039"/>
      </c:line3DChart>
      <c:catAx>
        <c:axId val="158994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2591"/>
        <c:crosses val="autoZero"/>
        <c:auto val="1"/>
        <c:lblAlgn val="ctr"/>
        <c:lblOffset val="100"/>
        <c:noMultiLvlLbl val="0"/>
      </c:catAx>
      <c:valAx>
        <c:axId val="15899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031"/>
        <c:crosses val="autoZero"/>
        <c:crossBetween val="between"/>
      </c:valAx>
      <c:serAx>
        <c:axId val="21183130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5899259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211666</xdr:colOff>
      <xdr:row>11</xdr:row>
      <xdr:rowOff>423334</xdr:rowOff>
    </xdr:from>
    <xdr:to>
      <xdr:col>26</xdr:col>
      <xdr:colOff>585107</xdr:colOff>
      <xdr:row>44</xdr:row>
      <xdr:rowOff>63803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C07853-B2B3-3263-9D81-440B5DF9B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476251</xdr:colOff>
      <xdr:row>3</xdr:row>
      <xdr:rowOff>85482</xdr:rowOff>
    </xdr:from>
    <xdr:to>
      <xdr:col>21</xdr:col>
      <xdr:colOff>464038</xdr:colOff>
      <xdr:row>18</xdr:row>
      <xdr:rowOff>207596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5DE7F2-0D00-4DAF-80E9-F645469C74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1E99-C673-4CD4-B743-2F46DA7C96AC}">
  <dimension ref="A1:EC112"/>
  <sheetViews>
    <sheetView tabSelected="1" topLeftCell="A52" zoomScale="49" zoomScaleNormal="98" workbookViewId="0">
      <selection activeCell="A3" sqref="A3"/>
    </sheetView>
  </sheetViews>
  <sheetFormatPr defaultRowHeight="14.5" x14ac:dyDescent="0.35"/>
  <cols>
    <col min="1" max="1" width="16" customWidth="1"/>
    <col min="2" max="2" width="28.6328125" customWidth="1"/>
    <col min="3" max="3" width="15.1796875" customWidth="1"/>
    <col min="4" max="4" width="12.453125" customWidth="1"/>
    <col min="6" max="6" width="18.1796875" customWidth="1"/>
    <col min="7" max="16" width="22.1796875" bestFit="1" customWidth="1"/>
    <col min="17" max="17" width="22.26953125" bestFit="1" customWidth="1"/>
    <col min="18" max="18" width="13.36328125" customWidth="1"/>
    <col min="19" max="19" width="12.7265625" customWidth="1"/>
    <col min="20" max="20" width="12.36328125" customWidth="1"/>
    <col min="21" max="22" width="12" bestFit="1" customWidth="1"/>
  </cols>
  <sheetData>
    <row r="1" spans="1:22" ht="32" x14ac:dyDescent="0.6">
      <c r="A1" s="102" t="s">
        <v>186</v>
      </c>
      <c r="B1" s="103"/>
      <c r="C1" s="103"/>
      <c r="D1" s="92"/>
      <c r="E1" s="93"/>
    </row>
    <row r="2" spans="1:22" ht="18.5" x14ac:dyDescent="0.45">
      <c r="A2" s="94"/>
      <c r="B2" s="95" t="s">
        <v>187</v>
      </c>
      <c r="E2" s="96"/>
    </row>
    <row r="3" spans="1:22" ht="17" x14ac:dyDescent="0.5">
      <c r="A3" s="97" t="s">
        <v>28</v>
      </c>
      <c r="E3" s="96"/>
    </row>
    <row r="4" spans="1:22" ht="43.5" x14ac:dyDescent="0.35">
      <c r="A4" s="98" t="s">
        <v>29</v>
      </c>
      <c r="B4" s="1" t="s">
        <v>35</v>
      </c>
      <c r="E4" s="96"/>
    </row>
    <row r="5" spans="1:22" ht="43.5" x14ac:dyDescent="0.35">
      <c r="A5" s="98" t="s">
        <v>30</v>
      </c>
      <c r="B5" s="1" t="s">
        <v>36</v>
      </c>
      <c r="E5" s="96"/>
    </row>
    <row r="6" spans="1:22" ht="33.5" customHeight="1" x14ac:dyDescent="0.35">
      <c r="A6" s="98" t="s">
        <v>31</v>
      </c>
      <c r="B6" s="1" t="s">
        <v>98</v>
      </c>
      <c r="E6" s="96"/>
    </row>
    <row r="7" spans="1:22" ht="29" x14ac:dyDescent="0.35">
      <c r="A7" s="98" t="s">
        <v>32</v>
      </c>
      <c r="B7" s="1" t="s">
        <v>37</v>
      </c>
      <c r="E7" s="96"/>
    </row>
    <row r="8" spans="1:22" ht="145" x14ac:dyDescent="0.35">
      <c r="A8" s="98" t="s">
        <v>33</v>
      </c>
      <c r="B8" s="1" t="s">
        <v>38</v>
      </c>
      <c r="E8" s="96"/>
    </row>
    <row r="9" spans="1:22" ht="43.5" x14ac:dyDescent="0.35">
      <c r="A9" s="98" t="s">
        <v>34</v>
      </c>
      <c r="B9" s="1" t="s">
        <v>39</v>
      </c>
      <c r="E9" s="96"/>
    </row>
    <row r="10" spans="1:22" ht="15" thickBot="1" x14ac:dyDescent="0.4">
      <c r="A10" s="99"/>
      <c r="B10" s="100"/>
      <c r="C10" s="100"/>
      <c r="D10" s="100"/>
      <c r="E10" s="101"/>
    </row>
    <row r="12" spans="1:22" x14ac:dyDescent="0.35">
      <c r="F12">
        <v>2025</v>
      </c>
    </row>
    <row r="13" spans="1:22" x14ac:dyDescent="0.35"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51</v>
      </c>
      <c r="M13" t="s">
        <v>52</v>
      </c>
      <c r="N13" t="s">
        <v>53</v>
      </c>
      <c r="O13" t="s">
        <v>54</v>
      </c>
      <c r="P13" t="s">
        <v>55</v>
      </c>
      <c r="Q13" t="s">
        <v>56</v>
      </c>
    </row>
    <row r="14" spans="1:22" x14ac:dyDescent="0.35">
      <c r="D14" t="s">
        <v>5</v>
      </c>
      <c r="E14" t="s">
        <v>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3</v>
      </c>
      <c r="U14">
        <v>4</v>
      </c>
      <c r="V14">
        <v>5</v>
      </c>
    </row>
    <row r="15" spans="1:22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1</v>
      </c>
      <c r="G15">
        <v>2</v>
      </c>
      <c r="H15">
        <v>3</v>
      </c>
      <c r="I15">
        <v>4</v>
      </c>
      <c r="J15">
        <v>5</v>
      </c>
      <c r="K15">
        <v>6</v>
      </c>
      <c r="L15">
        <v>7</v>
      </c>
      <c r="M15">
        <v>8</v>
      </c>
      <c r="N15">
        <v>9</v>
      </c>
      <c r="O15">
        <v>10</v>
      </c>
      <c r="P15">
        <v>11</v>
      </c>
      <c r="Q15">
        <v>12</v>
      </c>
      <c r="R15" t="s">
        <v>7</v>
      </c>
      <c r="S15" t="s">
        <v>8</v>
      </c>
      <c r="T15" t="s">
        <v>9</v>
      </c>
      <c r="U15" t="s">
        <v>9</v>
      </c>
      <c r="V15" t="s">
        <v>9</v>
      </c>
    </row>
    <row r="17" spans="1:22" ht="116" x14ac:dyDescent="0.35">
      <c r="A17" s="10" t="s">
        <v>40</v>
      </c>
      <c r="B17" s="11" t="s">
        <v>41</v>
      </c>
      <c r="C17" s="11" t="s">
        <v>188</v>
      </c>
      <c r="D17" s="12"/>
      <c r="E17" s="12"/>
      <c r="F17" s="13">
        <v>0.1</v>
      </c>
      <c r="G17" s="13">
        <v>0.1</v>
      </c>
      <c r="H17" s="13">
        <v>0.1</v>
      </c>
      <c r="I17" s="13">
        <v>0.1</v>
      </c>
      <c r="J17" s="13">
        <v>0.1</v>
      </c>
      <c r="K17" s="13">
        <v>0.1</v>
      </c>
      <c r="L17" s="13">
        <v>0.1</v>
      </c>
      <c r="M17" s="13">
        <v>0.1</v>
      </c>
      <c r="N17" s="13">
        <v>0.1</v>
      </c>
      <c r="O17" s="13">
        <v>0.1</v>
      </c>
      <c r="P17" s="13">
        <v>0.1</v>
      </c>
      <c r="Q17" s="13">
        <v>0.1</v>
      </c>
      <c r="R17" s="13">
        <v>0.08</v>
      </c>
      <c r="S17" s="13">
        <v>0.08</v>
      </c>
      <c r="T17" s="13">
        <v>7.5700000000000003E-2</v>
      </c>
      <c r="U17" s="13">
        <v>6.5000000000000002E-2</v>
      </c>
      <c r="V17" s="14">
        <v>6.4899999999999999E-2</v>
      </c>
    </row>
    <row r="18" spans="1:22" ht="43.5" x14ac:dyDescent="0.35">
      <c r="A18" s="15" t="s">
        <v>42</v>
      </c>
      <c r="B18" s="1" t="s">
        <v>43</v>
      </c>
      <c r="C18" s="1" t="s">
        <v>10</v>
      </c>
      <c r="F18" s="16">
        <f>F17/12</f>
        <v>8.3333333333333332E-3</v>
      </c>
      <c r="G18" s="16">
        <f t="shared" ref="G18:Q18" si="0">G17/12</f>
        <v>8.3333333333333332E-3</v>
      </c>
      <c r="H18" s="16">
        <f t="shared" si="0"/>
        <v>8.3333333333333332E-3</v>
      </c>
      <c r="I18" s="16">
        <f t="shared" si="0"/>
        <v>8.3333333333333332E-3</v>
      </c>
      <c r="J18" s="16">
        <f t="shared" si="0"/>
        <v>8.3333333333333332E-3</v>
      </c>
      <c r="K18" s="16">
        <f t="shared" si="0"/>
        <v>8.3333333333333332E-3</v>
      </c>
      <c r="L18" s="16">
        <f t="shared" si="0"/>
        <v>8.3333333333333332E-3</v>
      </c>
      <c r="M18" s="16">
        <f t="shared" si="0"/>
        <v>8.3333333333333332E-3</v>
      </c>
      <c r="N18" s="16">
        <f t="shared" si="0"/>
        <v>8.3333333333333332E-3</v>
      </c>
      <c r="O18" s="16">
        <f t="shared" si="0"/>
        <v>8.3333333333333332E-3</v>
      </c>
      <c r="P18" s="16">
        <f t="shared" si="0"/>
        <v>8.3333333333333332E-3</v>
      </c>
      <c r="Q18" s="16">
        <f t="shared" si="0"/>
        <v>8.3333333333333332E-3</v>
      </c>
      <c r="R18" s="16">
        <f>R17/2</f>
        <v>0.04</v>
      </c>
      <c r="S18" s="16">
        <f>S17/2</f>
        <v>0.04</v>
      </c>
      <c r="T18" s="17">
        <v>7.5700000000000003E-2</v>
      </c>
      <c r="U18" s="17">
        <v>6.5000000000000002E-2</v>
      </c>
      <c r="V18" s="18">
        <v>6.4899999999999999E-2</v>
      </c>
    </row>
    <row r="19" spans="1:22" x14ac:dyDescent="0.35">
      <c r="A19" s="79" t="s">
        <v>44</v>
      </c>
      <c r="B19" s="19"/>
      <c r="C19" s="19"/>
      <c r="D19" s="20"/>
      <c r="E19" s="20"/>
      <c r="F19" s="21">
        <v>1</v>
      </c>
      <c r="G19" s="22">
        <f>F19*(1+G18)</f>
        <v>1.0083333333333333</v>
      </c>
      <c r="H19" s="22">
        <f t="shared" ref="H19:Q19" si="1">G19*(1+H18)</f>
        <v>1.0167361111111111</v>
      </c>
      <c r="I19" s="22">
        <f t="shared" si="1"/>
        <v>1.0252089120370369</v>
      </c>
      <c r="J19" s="22">
        <f>I19*(1+J18)</f>
        <v>1.0337523196373455</v>
      </c>
      <c r="K19" s="22">
        <f t="shared" si="1"/>
        <v>1.0423669223009899</v>
      </c>
      <c r="L19" s="22">
        <f t="shared" si="1"/>
        <v>1.0510533133201647</v>
      </c>
      <c r="M19" s="22">
        <f t="shared" si="1"/>
        <v>1.0598120909311661</v>
      </c>
      <c r="N19" s="22">
        <f t="shared" si="1"/>
        <v>1.0686438583555924</v>
      </c>
      <c r="O19" s="22">
        <f t="shared" si="1"/>
        <v>1.0775492238418889</v>
      </c>
      <c r="P19" s="22">
        <f t="shared" si="1"/>
        <v>1.086528800707238</v>
      </c>
      <c r="Q19" s="23">
        <f t="shared" si="1"/>
        <v>1.0955832073797982</v>
      </c>
      <c r="R19" s="23">
        <f t="shared" ref="R19" si="2">Q19*(1+R18)</f>
        <v>1.1394065356749901</v>
      </c>
      <c r="S19" s="23">
        <f t="shared" ref="S19" si="3">R19*(1+S18)</f>
        <v>1.1849827971019897</v>
      </c>
      <c r="T19" s="23">
        <f t="shared" ref="T19" si="4">S19*(1+T18)</f>
        <v>1.2746859948426104</v>
      </c>
      <c r="U19" s="23">
        <f t="shared" ref="U19" si="5">T19*(1+U18)</f>
        <v>1.35754058450738</v>
      </c>
      <c r="V19" s="24">
        <f t="shared" ref="V19" si="6">U19*(1+V18)</f>
        <v>1.4456449684419088</v>
      </c>
    </row>
    <row r="20" spans="1:22" x14ac:dyDescent="0.35">
      <c r="B20" s="1"/>
      <c r="C20" s="1"/>
    </row>
    <row r="21" spans="1:22" ht="43.5" x14ac:dyDescent="0.35">
      <c r="A21" t="s">
        <v>57</v>
      </c>
      <c r="B21" s="1"/>
      <c r="C21" s="1" t="s">
        <v>209</v>
      </c>
      <c r="F21">
        <v>10</v>
      </c>
      <c r="G21">
        <v>23</v>
      </c>
      <c r="H21">
        <v>26</v>
      </c>
      <c r="I21">
        <v>23</v>
      </c>
      <c r="J21">
        <v>26</v>
      </c>
      <c r="K21">
        <v>17</v>
      </c>
      <c r="L21" s="3">
        <v>23</v>
      </c>
      <c r="M21">
        <v>16</v>
      </c>
      <c r="N21">
        <v>24</v>
      </c>
      <c r="O21">
        <v>22</v>
      </c>
      <c r="P21">
        <v>25</v>
      </c>
      <c r="Q21">
        <v>19</v>
      </c>
      <c r="R21">
        <v>123</v>
      </c>
      <c r="S21">
        <v>128</v>
      </c>
      <c r="T21">
        <v>215</v>
      </c>
      <c r="U21">
        <f>T21</f>
        <v>215</v>
      </c>
      <c r="V21">
        <f>U21</f>
        <v>215</v>
      </c>
    </row>
    <row r="23" spans="1:22" ht="43.5" x14ac:dyDescent="0.35">
      <c r="A23" s="28" t="s">
        <v>11</v>
      </c>
      <c r="B23" s="29" t="s">
        <v>189</v>
      </c>
      <c r="C23" s="29" t="s">
        <v>190</v>
      </c>
      <c r="D23" s="30"/>
      <c r="E23" s="30"/>
      <c r="F23" s="30">
        <f>SUM(F24:F25)</f>
        <v>64260</v>
      </c>
      <c r="G23" s="30">
        <f t="shared" ref="G23:U23" si="7">SUM(G24:G25)</f>
        <v>147870</v>
      </c>
      <c r="H23" s="30">
        <f t="shared" si="7"/>
        <v>167220</v>
      </c>
      <c r="I23" s="30">
        <f t="shared" si="7"/>
        <v>152840</v>
      </c>
      <c r="J23" s="30">
        <f t="shared" si="7"/>
        <v>172840</v>
      </c>
      <c r="K23" s="30">
        <f t="shared" si="7"/>
        <v>112840</v>
      </c>
      <c r="L23" s="30">
        <f t="shared" si="7"/>
        <v>154705</v>
      </c>
      <c r="M23" s="30">
        <f t="shared" si="7"/>
        <v>111180</v>
      </c>
      <c r="N23" s="30">
        <f t="shared" si="7"/>
        <v>166435</v>
      </c>
      <c r="O23" s="30">
        <f t="shared" si="7"/>
        <v>152580</v>
      </c>
      <c r="P23" s="30">
        <f t="shared" si="7"/>
        <v>173475</v>
      </c>
      <c r="Q23" s="30">
        <f t="shared" si="7"/>
        <v>131740</v>
      </c>
      <c r="R23" s="30">
        <f t="shared" si="7"/>
        <v>916680</v>
      </c>
      <c r="S23" s="30">
        <f t="shared" si="7"/>
        <v>981590</v>
      </c>
      <c r="T23" s="30">
        <f t="shared" si="7"/>
        <v>1741500</v>
      </c>
      <c r="U23" s="30">
        <f t="shared" si="7"/>
        <v>1869210</v>
      </c>
      <c r="V23" s="31">
        <f>SUM(V24:V25)</f>
        <v>2008530</v>
      </c>
    </row>
    <row r="24" spans="1:22" ht="43.5" x14ac:dyDescent="0.35">
      <c r="A24" s="35" t="s">
        <v>59</v>
      </c>
      <c r="B24" s="36"/>
      <c r="C24" s="36" t="s">
        <v>12</v>
      </c>
      <c r="D24" s="37"/>
      <c r="E24" s="37"/>
      <c r="F24" s="37">
        <f t="shared" ref="F24:U24" si="8">F27*F28</f>
        <v>56160</v>
      </c>
      <c r="G24" s="37">
        <f t="shared" si="8"/>
        <v>129220</v>
      </c>
      <c r="H24" s="37">
        <f t="shared" si="8"/>
        <v>146120</v>
      </c>
      <c r="I24" s="37">
        <f t="shared" si="8"/>
        <v>134190</v>
      </c>
      <c r="J24" s="37">
        <f t="shared" si="8"/>
        <v>151740</v>
      </c>
      <c r="K24" s="37">
        <f t="shared" si="8"/>
        <v>99090</v>
      </c>
      <c r="L24" s="37">
        <f t="shared" si="8"/>
        <v>134190</v>
      </c>
      <c r="M24" s="37">
        <f t="shared" si="8"/>
        <v>96880</v>
      </c>
      <c r="N24" s="37">
        <f t="shared" si="8"/>
        <v>145040</v>
      </c>
      <c r="O24" s="37">
        <f t="shared" si="8"/>
        <v>133000</v>
      </c>
      <c r="P24" s="37">
        <f t="shared" si="8"/>
        <v>151200</v>
      </c>
      <c r="Q24" s="37">
        <f t="shared" si="8"/>
        <v>114800</v>
      </c>
      <c r="R24" s="37">
        <f t="shared" si="8"/>
        <v>797100</v>
      </c>
      <c r="S24" s="37">
        <f t="shared" si="8"/>
        <v>857150</v>
      </c>
      <c r="T24" s="37">
        <f t="shared" si="8"/>
        <v>1532520</v>
      </c>
      <c r="U24" s="37">
        <f t="shared" si="8"/>
        <v>1625400</v>
      </c>
      <c r="V24" s="38">
        <f>V27*V28</f>
        <v>1764720</v>
      </c>
    </row>
    <row r="25" spans="1:22" ht="73" customHeight="1" x14ac:dyDescent="0.35">
      <c r="A25" s="39" t="s">
        <v>60</v>
      </c>
      <c r="B25" s="40"/>
      <c r="C25" s="41" t="s">
        <v>61</v>
      </c>
      <c r="D25" s="40"/>
      <c r="E25" s="40"/>
      <c r="F25" s="40">
        <f t="shared" ref="F25:V25" si="9">F34*F36</f>
        <v>8100</v>
      </c>
      <c r="G25" s="40">
        <f t="shared" si="9"/>
        <v>18650</v>
      </c>
      <c r="H25" s="40">
        <f t="shared" si="9"/>
        <v>21100</v>
      </c>
      <c r="I25" s="40">
        <f t="shared" si="9"/>
        <v>18650</v>
      </c>
      <c r="J25" s="40">
        <f t="shared" si="9"/>
        <v>21100</v>
      </c>
      <c r="K25" s="40">
        <f t="shared" si="9"/>
        <v>13750</v>
      </c>
      <c r="L25" s="40">
        <f t="shared" si="9"/>
        <v>20515</v>
      </c>
      <c r="M25" s="40">
        <f t="shared" si="9"/>
        <v>14300</v>
      </c>
      <c r="N25" s="40">
        <f t="shared" si="9"/>
        <v>21395</v>
      </c>
      <c r="O25" s="40">
        <f t="shared" si="9"/>
        <v>19580</v>
      </c>
      <c r="P25" s="40">
        <f t="shared" si="9"/>
        <v>22275</v>
      </c>
      <c r="Q25" s="40">
        <f t="shared" si="9"/>
        <v>16940</v>
      </c>
      <c r="R25" s="40">
        <f t="shared" si="9"/>
        <v>119580</v>
      </c>
      <c r="S25" s="40">
        <f t="shared" si="9"/>
        <v>124440</v>
      </c>
      <c r="T25" s="40">
        <f t="shared" si="9"/>
        <v>208980</v>
      </c>
      <c r="U25" s="40">
        <f t="shared" si="9"/>
        <v>243810</v>
      </c>
      <c r="V25" s="42">
        <f t="shared" si="9"/>
        <v>243810</v>
      </c>
    </row>
    <row r="26" spans="1:22" ht="29" x14ac:dyDescent="0.35">
      <c r="A26" s="48" t="s">
        <v>59</v>
      </c>
      <c r="B26" s="12"/>
      <c r="C26" s="33"/>
    </row>
    <row r="27" spans="1:22" ht="29" x14ac:dyDescent="0.35">
      <c r="A27" s="43" t="s">
        <v>13</v>
      </c>
      <c r="B27" s="1" t="s">
        <v>58</v>
      </c>
      <c r="C27" s="44" t="s">
        <v>14</v>
      </c>
      <c r="D27" s="4">
        <v>260</v>
      </c>
      <c r="F27">
        <f>ROUND($D$27*F19,-1)</f>
        <v>260</v>
      </c>
      <c r="G27">
        <f t="shared" ref="G27:J27" si="10">ROUND($F$27*G19,-1)</f>
        <v>260</v>
      </c>
      <c r="H27">
        <f t="shared" si="10"/>
        <v>260</v>
      </c>
      <c r="I27">
        <f t="shared" si="10"/>
        <v>270</v>
      </c>
      <c r="J27">
        <f t="shared" si="10"/>
        <v>270</v>
      </c>
      <c r="K27">
        <f>ROUND($D$27*K19,-1)</f>
        <v>270</v>
      </c>
      <c r="L27">
        <f t="shared" ref="L27:Q27" si="11">ROUND($D$27*L19,-1)</f>
        <v>270</v>
      </c>
      <c r="M27">
        <f t="shared" si="11"/>
        <v>280</v>
      </c>
      <c r="N27">
        <f t="shared" si="11"/>
        <v>280</v>
      </c>
      <c r="O27">
        <f t="shared" si="11"/>
        <v>280</v>
      </c>
      <c r="P27">
        <f t="shared" si="11"/>
        <v>280</v>
      </c>
      <c r="Q27">
        <f t="shared" si="11"/>
        <v>280</v>
      </c>
      <c r="R27">
        <f>ROUND(ROUND(($F$27*R19)*6,-1)/6,-1)</f>
        <v>300</v>
      </c>
      <c r="S27">
        <f>ROUND(ROUND(($F$27*S19)*6,-1)/6,-1)</f>
        <v>310</v>
      </c>
      <c r="T27">
        <f>ROUND(ROUND(($F$27*T19)*12,-1)/12,-1)</f>
        <v>330</v>
      </c>
      <c r="U27">
        <f t="shared" ref="U27:V27" si="12">ROUND(ROUND(($F$27*U19)*12,-1)/12,-1)</f>
        <v>350</v>
      </c>
      <c r="V27">
        <f t="shared" si="12"/>
        <v>380</v>
      </c>
    </row>
    <row r="28" spans="1:22" ht="72.5" x14ac:dyDescent="0.35">
      <c r="A28" s="43" t="s">
        <v>15</v>
      </c>
      <c r="B28" s="1"/>
      <c r="C28" s="44" t="s">
        <v>62</v>
      </c>
      <c r="F28">
        <f>ROUND(F31*$D$32,0)</f>
        <v>216</v>
      </c>
      <c r="G28">
        <f t="shared" ref="G28:V28" si="13">ROUND(G31*$D$32,0)</f>
        <v>497</v>
      </c>
      <c r="H28">
        <f t="shared" si="13"/>
        <v>562</v>
      </c>
      <c r="I28">
        <f t="shared" si="13"/>
        <v>497</v>
      </c>
      <c r="J28">
        <f>ROUND(J31*$D$32,0)</f>
        <v>562</v>
      </c>
      <c r="K28">
        <f t="shared" si="13"/>
        <v>367</v>
      </c>
      <c r="L28">
        <f>ROUND(L31*$D$32,0)</f>
        <v>497</v>
      </c>
      <c r="M28">
        <f t="shared" si="13"/>
        <v>346</v>
      </c>
      <c r="N28">
        <f>ROUND(N31*$D$32,0)</f>
        <v>518</v>
      </c>
      <c r="O28">
        <f t="shared" si="13"/>
        <v>475</v>
      </c>
      <c r="P28">
        <f>ROUND(P31*$D$32,0)</f>
        <v>540</v>
      </c>
      <c r="Q28">
        <f t="shared" si="13"/>
        <v>410</v>
      </c>
      <c r="R28">
        <f>ROUND(R31*$D$32,0)</f>
        <v>2657</v>
      </c>
      <c r="S28">
        <f t="shared" si="13"/>
        <v>2765</v>
      </c>
      <c r="T28">
        <f t="shared" si="13"/>
        <v>4644</v>
      </c>
      <c r="U28">
        <f t="shared" si="13"/>
        <v>4644</v>
      </c>
      <c r="V28">
        <f t="shared" si="13"/>
        <v>4644</v>
      </c>
    </row>
    <row r="29" spans="1:22" ht="29" x14ac:dyDescent="0.35">
      <c r="A29" s="43" t="s">
        <v>16</v>
      </c>
      <c r="B29" s="1" t="s">
        <v>17</v>
      </c>
      <c r="C29" s="44" t="s">
        <v>19</v>
      </c>
      <c r="D29">
        <v>24</v>
      </c>
    </row>
    <row r="30" spans="1:22" ht="43.5" x14ac:dyDescent="0.35">
      <c r="A30" s="43" t="str">
        <f>A21</f>
        <v>operational days</v>
      </c>
      <c r="B30" s="1"/>
      <c r="C30" s="44" t="str">
        <f t="shared" ref="C30:V30" si="14">C21</f>
        <v>Academic calendar on IBA website</v>
      </c>
      <c r="D30" s="1"/>
      <c r="E30" s="1">
        <f t="shared" si="14"/>
        <v>0</v>
      </c>
      <c r="F30" s="1">
        <f t="shared" si="14"/>
        <v>10</v>
      </c>
      <c r="G30" s="1">
        <f t="shared" si="14"/>
        <v>23</v>
      </c>
      <c r="H30" s="1">
        <f t="shared" si="14"/>
        <v>26</v>
      </c>
      <c r="I30" s="1">
        <f t="shared" si="14"/>
        <v>23</v>
      </c>
      <c r="J30" s="1">
        <f t="shared" si="14"/>
        <v>26</v>
      </c>
      <c r="K30" s="1">
        <f t="shared" si="14"/>
        <v>17</v>
      </c>
      <c r="L30" s="1">
        <f t="shared" si="14"/>
        <v>23</v>
      </c>
      <c r="M30" s="1">
        <f t="shared" si="14"/>
        <v>16</v>
      </c>
      <c r="N30" s="1">
        <f t="shared" si="14"/>
        <v>24</v>
      </c>
      <c r="O30" s="1">
        <f t="shared" si="14"/>
        <v>22</v>
      </c>
      <c r="P30" s="1">
        <f t="shared" si="14"/>
        <v>25</v>
      </c>
      <c r="Q30" s="1">
        <f t="shared" si="14"/>
        <v>19</v>
      </c>
      <c r="R30" s="1">
        <f t="shared" si="14"/>
        <v>123</v>
      </c>
      <c r="S30" s="1">
        <f t="shared" si="14"/>
        <v>128</v>
      </c>
      <c r="T30" s="1">
        <f t="shared" si="14"/>
        <v>215</v>
      </c>
      <c r="U30" s="1">
        <f t="shared" si="14"/>
        <v>215</v>
      </c>
      <c r="V30" s="1">
        <f t="shared" si="14"/>
        <v>215</v>
      </c>
    </row>
    <row r="31" spans="1:22" ht="43.5" x14ac:dyDescent="0.35">
      <c r="A31" s="43" t="s">
        <v>67</v>
      </c>
      <c r="C31" s="45"/>
      <c r="F31">
        <f>$D$29*F30</f>
        <v>240</v>
      </c>
      <c r="G31">
        <f t="shared" ref="G31:V31" si="15">$D$29*G30</f>
        <v>552</v>
      </c>
      <c r="H31">
        <f t="shared" si="15"/>
        <v>624</v>
      </c>
      <c r="I31">
        <f t="shared" si="15"/>
        <v>552</v>
      </c>
      <c r="J31">
        <f t="shared" si="15"/>
        <v>624</v>
      </c>
      <c r="K31">
        <f t="shared" si="15"/>
        <v>408</v>
      </c>
      <c r="L31">
        <f t="shared" si="15"/>
        <v>552</v>
      </c>
      <c r="M31">
        <f t="shared" si="15"/>
        <v>384</v>
      </c>
      <c r="N31">
        <f t="shared" si="15"/>
        <v>576</v>
      </c>
      <c r="O31">
        <f t="shared" si="15"/>
        <v>528</v>
      </c>
      <c r="P31">
        <f t="shared" si="15"/>
        <v>600</v>
      </c>
      <c r="Q31">
        <f t="shared" si="15"/>
        <v>456</v>
      </c>
      <c r="R31">
        <f>$D$29*R30</f>
        <v>2952</v>
      </c>
      <c r="S31">
        <f t="shared" si="15"/>
        <v>3072</v>
      </c>
      <c r="T31">
        <f t="shared" si="15"/>
        <v>5160</v>
      </c>
      <c r="U31">
        <f t="shared" si="15"/>
        <v>5160</v>
      </c>
      <c r="V31">
        <f t="shared" si="15"/>
        <v>5160</v>
      </c>
    </row>
    <row r="32" spans="1:22" ht="130.5" x14ac:dyDescent="0.35">
      <c r="A32" s="46" t="s">
        <v>18</v>
      </c>
      <c r="B32" s="19"/>
      <c r="C32" s="47" t="s">
        <v>63</v>
      </c>
      <c r="D32" s="2">
        <v>0.9</v>
      </c>
    </row>
    <row r="33" spans="1:22" x14ac:dyDescent="0.35">
      <c r="A33" s="49" t="s">
        <v>60</v>
      </c>
      <c r="B33" s="12"/>
      <c r="C33" s="33"/>
    </row>
    <row r="34" spans="1:22" ht="29" x14ac:dyDescent="0.35">
      <c r="A34" s="43" t="s">
        <v>64</v>
      </c>
      <c r="C34" s="44" t="s">
        <v>14</v>
      </c>
      <c r="D34">
        <v>50</v>
      </c>
      <c r="F34">
        <f t="shared" ref="F34:Q34" si="16">IF(OR(($D$34*F19)&lt;52.5, ($D$34*F19)&gt;57.5), ROUND($D$34*F19, -1), CEILING($D$34*F19, 5))</f>
        <v>50</v>
      </c>
      <c r="G34">
        <f t="shared" si="16"/>
        <v>50</v>
      </c>
      <c r="H34">
        <f t="shared" si="16"/>
        <v>50</v>
      </c>
      <c r="I34">
        <f t="shared" si="16"/>
        <v>50</v>
      </c>
      <c r="J34">
        <f t="shared" si="16"/>
        <v>50</v>
      </c>
      <c r="K34">
        <f t="shared" si="16"/>
        <v>50</v>
      </c>
      <c r="L34">
        <f t="shared" si="16"/>
        <v>55</v>
      </c>
      <c r="M34">
        <f t="shared" si="16"/>
        <v>55</v>
      </c>
      <c r="N34">
        <f t="shared" si="16"/>
        <v>55</v>
      </c>
      <c r="O34">
        <f t="shared" si="16"/>
        <v>55</v>
      </c>
      <c r="P34">
        <f t="shared" si="16"/>
        <v>55</v>
      </c>
      <c r="Q34">
        <f t="shared" si="16"/>
        <v>55</v>
      </c>
      <c r="R34">
        <f>IF(OR(($D$34*R19)&lt;52.5,($D$34*R19)&gt;57.5),ROUND(ROUND(($D$34*R19)*6,-1)/6,-1),CEILING(CEILING(($D$34*R19)*6,5)/6,5))</f>
        <v>60</v>
      </c>
      <c r="S34">
        <f>IF(OR(($D$34*S19)&lt;52.5,($D$34*S19)&gt;57.5),ROUND(ROUND(($D$34*S19)*6,-1)/6,-1),CEILING(CEILING(($D$34*S19)*6,5)/6,5))</f>
        <v>60</v>
      </c>
      <c r="T34">
        <f>IF(OR(($D$34*T19)&lt;52.5,($D$34*T19)&gt;57.5),ROUND(ROUND(($D$34*T19)*12,-1)/12,-1),CEILING(CEILING(($D$34*T19)*12,5)/12,5))</f>
        <v>60</v>
      </c>
      <c r="U34">
        <f t="shared" ref="U34:V34" si="17">IF(OR(($D$34*U19)&lt;52.5,($D$34*U19)&gt;57.5),ROUND(ROUND(($D$34*U19)*12,-1)/12,-1),CEILING(CEILING(($D$34*U19)*12,5)/12,5))</f>
        <v>70</v>
      </c>
      <c r="V34">
        <f t="shared" si="17"/>
        <v>70</v>
      </c>
    </row>
    <row r="35" spans="1:22" ht="72.5" x14ac:dyDescent="0.35">
      <c r="A35" s="43" t="s">
        <v>65</v>
      </c>
      <c r="C35" s="44" t="s">
        <v>66</v>
      </c>
      <c r="D35" s="2">
        <v>0.75</v>
      </c>
    </row>
    <row r="36" spans="1:22" ht="58" x14ac:dyDescent="0.35">
      <c r="A36" s="46" t="s">
        <v>68</v>
      </c>
      <c r="B36" s="20"/>
      <c r="C36" s="34"/>
      <c r="F36">
        <f>ROUND(F28*$D$35,0)</f>
        <v>162</v>
      </c>
      <c r="G36">
        <f t="shared" ref="G36:V36" si="18">ROUND(G28*$D$35,0)</f>
        <v>373</v>
      </c>
      <c r="H36">
        <f t="shared" si="18"/>
        <v>422</v>
      </c>
      <c r="I36">
        <f t="shared" si="18"/>
        <v>373</v>
      </c>
      <c r="J36">
        <f t="shared" si="18"/>
        <v>422</v>
      </c>
      <c r="K36">
        <f t="shared" si="18"/>
        <v>275</v>
      </c>
      <c r="L36">
        <f t="shared" si="18"/>
        <v>373</v>
      </c>
      <c r="M36">
        <f t="shared" si="18"/>
        <v>260</v>
      </c>
      <c r="N36">
        <f t="shared" si="18"/>
        <v>389</v>
      </c>
      <c r="O36">
        <f t="shared" si="18"/>
        <v>356</v>
      </c>
      <c r="P36">
        <f t="shared" si="18"/>
        <v>405</v>
      </c>
      <c r="Q36">
        <f t="shared" si="18"/>
        <v>308</v>
      </c>
      <c r="R36">
        <f>ROUND(R28*$D$35,0)</f>
        <v>1993</v>
      </c>
      <c r="S36">
        <f t="shared" si="18"/>
        <v>2074</v>
      </c>
      <c r="T36">
        <f t="shared" si="18"/>
        <v>3483</v>
      </c>
      <c r="U36">
        <f t="shared" si="18"/>
        <v>3483</v>
      </c>
      <c r="V36">
        <f t="shared" si="18"/>
        <v>3483</v>
      </c>
    </row>
    <row r="40" spans="1:22" ht="43.5" x14ac:dyDescent="0.35">
      <c r="A40" s="50" t="s">
        <v>69</v>
      </c>
      <c r="B40" s="51" t="s">
        <v>70</v>
      </c>
      <c r="C40" s="51"/>
      <c r="D40" s="52"/>
      <c r="E40" s="52"/>
      <c r="F40" s="52">
        <f>ROUND(SUM(F42,F45,F49),0)</f>
        <v>16416</v>
      </c>
      <c r="G40" s="52">
        <f t="shared" ref="G40:V40" si="19">ROUND(SUM(G42,G45,G49),0)</f>
        <v>34418</v>
      </c>
      <c r="H40" s="52">
        <f t="shared" si="19"/>
        <v>38618</v>
      </c>
      <c r="I40" s="52">
        <f t="shared" si="19"/>
        <v>34528</v>
      </c>
      <c r="J40" s="52">
        <f t="shared" si="19"/>
        <v>38778</v>
      </c>
      <c r="K40" s="52">
        <f t="shared" si="19"/>
        <v>26418</v>
      </c>
      <c r="L40" s="52">
        <f t="shared" si="19"/>
        <v>34888</v>
      </c>
      <c r="M40" s="52">
        <f t="shared" si="19"/>
        <v>25404</v>
      </c>
      <c r="N40" s="52">
        <f t="shared" si="19"/>
        <v>36632</v>
      </c>
      <c r="O40" s="52">
        <f t="shared" si="19"/>
        <v>34150</v>
      </c>
      <c r="P40" s="52">
        <f t="shared" si="19"/>
        <v>38630</v>
      </c>
      <c r="Q40" s="52">
        <f t="shared" si="19"/>
        <v>30700</v>
      </c>
      <c r="R40" s="52">
        <f t="shared" si="19"/>
        <v>280567</v>
      </c>
      <c r="S40" s="52">
        <f t="shared" si="19"/>
        <v>296373</v>
      </c>
      <c r="T40" s="52">
        <f t="shared" si="19"/>
        <v>668524</v>
      </c>
      <c r="U40" s="52">
        <f t="shared" si="19"/>
        <v>720951</v>
      </c>
      <c r="V40" s="53">
        <f t="shared" si="19"/>
        <v>727318</v>
      </c>
    </row>
    <row r="41" spans="1:22" x14ac:dyDescent="0.35">
      <c r="A41" s="48" t="s">
        <v>71</v>
      </c>
      <c r="B41" s="11"/>
      <c r="C41" s="54"/>
    </row>
    <row r="42" spans="1:22" ht="43.5" x14ac:dyDescent="0.35">
      <c r="A42" s="84" t="s">
        <v>201</v>
      </c>
      <c r="B42" s="1" t="s">
        <v>74</v>
      </c>
      <c r="C42" s="44" t="s">
        <v>75</v>
      </c>
      <c r="D42" s="1"/>
      <c r="F42">
        <f>$D$43*F28</f>
        <v>864</v>
      </c>
      <c r="G42">
        <f t="shared" ref="G42:Q42" si="20">$D$43*G28</f>
        <v>1988</v>
      </c>
      <c r="H42">
        <f t="shared" si="20"/>
        <v>2248</v>
      </c>
      <c r="I42">
        <f t="shared" si="20"/>
        <v>1988</v>
      </c>
      <c r="J42">
        <f t="shared" si="20"/>
        <v>2248</v>
      </c>
      <c r="K42">
        <f t="shared" si="20"/>
        <v>1468</v>
      </c>
      <c r="L42">
        <f t="shared" si="20"/>
        <v>1988</v>
      </c>
      <c r="M42">
        <f t="shared" si="20"/>
        <v>1384</v>
      </c>
      <c r="N42">
        <f t="shared" si="20"/>
        <v>2072</v>
      </c>
      <c r="O42">
        <f t="shared" si="20"/>
        <v>1900</v>
      </c>
      <c r="P42">
        <f t="shared" si="20"/>
        <v>2160</v>
      </c>
      <c r="Q42">
        <f t="shared" si="20"/>
        <v>1640</v>
      </c>
      <c r="R42">
        <f>$D$43*R28*(1+$D$44)</f>
        <v>10946.84</v>
      </c>
      <c r="S42">
        <f>$D$43*S28*(1+$D$44)</f>
        <v>11391.800000000001</v>
      </c>
      <c r="T42">
        <f>$D$43*T28*(1+$D$44)</f>
        <v>19133.28</v>
      </c>
      <c r="U42">
        <f>$D$43*U28*(1+$D$44)</f>
        <v>19133.28</v>
      </c>
      <c r="V42">
        <f>$D$43*V28*(1+$D$44)</f>
        <v>19133.28</v>
      </c>
    </row>
    <row r="43" spans="1:22" ht="29" x14ac:dyDescent="0.35">
      <c r="A43" s="43" t="s">
        <v>200</v>
      </c>
      <c r="B43" s="1"/>
      <c r="C43" s="44" t="s">
        <v>202</v>
      </c>
      <c r="D43" s="1">
        <v>4</v>
      </c>
    </row>
    <row r="44" spans="1:22" ht="29" x14ac:dyDescent="0.35">
      <c r="A44" s="43"/>
      <c r="B44" s="1"/>
      <c r="C44" s="44" t="s">
        <v>203</v>
      </c>
      <c r="D44" s="83">
        <v>0.03</v>
      </c>
    </row>
    <row r="45" spans="1:22" ht="58" x14ac:dyDescent="0.35">
      <c r="A45" s="84" t="s">
        <v>21</v>
      </c>
      <c r="B45" s="1" t="s">
        <v>72</v>
      </c>
      <c r="C45" s="44" t="s">
        <v>73</v>
      </c>
      <c r="F45">
        <f>(($D$46*$D$48)/D47)*F28</f>
        <v>2592</v>
      </c>
      <c r="G45">
        <f t="shared" ref="G45:Q45" si="21">ROUND(F45*G19,-1)</f>
        <v>2610</v>
      </c>
      <c r="H45">
        <f t="shared" si="21"/>
        <v>2650</v>
      </c>
      <c r="I45">
        <f t="shared" si="21"/>
        <v>2720</v>
      </c>
      <c r="J45">
        <f t="shared" si="21"/>
        <v>2810</v>
      </c>
      <c r="K45">
        <f t="shared" si="21"/>
        <v>2930</v>
      </c>
      <c r="L45">
        <f t="shared" si="21"/>
        <v>3080</v>
      </c>
      <c r="M45">
        <f t="shared" si="21"/>
        <v>3260</v>
      </c>
      <c r="N45">
        <f t="shared" si="21"/>
        <v>3480</v>
      </c>
      <c r="O45">
        <f t="shared" si="21"/>
        <v>3750</v>
      </c>
      <c r="P45">
        <f t="shared" si="21"/>
        <v>4070</v>
      </c>
      <c r="Q45">
        <f t="shared" si="21"/>
        <v>4460</v>
      </c>
      <c r="R45">
        <f>R19*Q45*6</f>
        <v>30490.518894662731</v>
      </c>
      <c r="S45">
        <f>S19*R45</f>
        <v>36130.740364888508</v>
      </c>
      <c r="T45">
        <f>S45*2*T19</f>
        <v>92110.697452835928</v>
      </c>
      <c r="U45">
        <f>S45*2*U19</f>
        <v>98097.892787270262</v>
      </c>
      <c r="V45">
        <f>S45*2*V19</f>
        <v>104464.4460291641</v>
      </c>
    </row>
    <row r="46" spans="1:22" x14ac:dyDescent="0.35">
      <c r="A46" s="43" t="s">
        <v>79</v>
      </c>
      <c r="B46" s="1" t="s">
        <v>85</v>
      </c>
      <c r="C46" s="45" t="s">
        <v>80</v>
      </c>
      <c r="D46">
        <v>36</v>
      </c>
    </row>
    <row r="47" spans="1:22" ht="29" x14ac:dyDescent="0.35">
      <c r="A47" s="43" t="s">
        <v>81</v>
      </c>
      <c r="B47" s="1" t="s">
        <v>83</v>
      </c>
      <c r="C47" s="44" t="s">
        <v>82</v>
      </c>
      <c r="D47">
        <v>0.75</v>
      </c>
    </row>
    <row r="48" spans="1:22" ht="29" x14ac:dyDescent="0.35">
      <c r="A48" s="15"/>
      <c r="B48" s="1" t="s">
        <v>84</v>
      </c>
      <c r="C48" s="45"/>
      <c r="D48">
        <f>0.75/3</f>
        <v>0.25</v>
      </c>
    </row>
    <row r="49" spans="1:67" ht="43.5" x14ac:dyDescent="0.35">
      <c r="A49" s="85" t="s">
        <v>103</v>
      </c>
      <c r="B49" s="19" t="s">
        <v>23</v>
      </c>
      <c r="C49" s="47" t="s">
        <v>102</v>
      </c>
      <c r="D49">
        <v>60</v>
      </c>
      <c r="F49">
        <f t="shared" ref="F49:Q49" si="22">$D$49*F28</f>
        <v>12960</v>
      </c>
      <c r="G49">
        <f t="shared" si="22"/>
        <v>29820</v>
      </c>
      <c r="H49">
        <f t="shared" si="22"/>
        <v>33720</v>
      </c>
      <c r="I49">
        <f t="shared" si="22"/>
        <v>29820</v>
      </c>
      <c r="J49">
        <f t="shared" si="22"/>
        <v>33720</v>
      </c>
      <c r="K49">
        <f t="shared" si="22"/>
        <v>22020</v>
      </c>
      <c r="L49">
        <f t="shared" si="22"/>
        <v>29820</v>
      </c>
      <c r="M49">
        <f t="shared" si="22"/>
        <v>20760</v>
      </c>
      <c r="N49">
        <f t="shared" si="22"/>
        <v>31080</v>
      </c>
      <c r="O49">
        <f t="shared" si="22"/>
        <v>28500</v>
      </c>
      <c r="P49">
        <f t="shared" si="22"/>
        <v>32400</v>
      </c>
      <c r="Q49">
        <f t="shared" si="22"/>
        <v>24600</v>
      </c>
      <c r="R49">
        <f>90*R28</f>
        <v>239130</v>
      </c>
      <c r="S49">
        <f>90*S28</f>
        <v>248850</v>
      </c>
      <c r="T49">
        <f>120*T28</f>
        <v>557280</v>
      </c>
      <c r="U49">
        <f>130*U28</f>
        <v>603720</v>
      </c>
      <c r="V49">
        <f>U49</f>
        <v>603720</v>
      </c>
    </row>
    <row r="51" spans="1:67" ht="29" x14ac:dyDescent="0.35">
      <c r="A51" s="50" t="s">
        <v>78</v>
      </c>
      <c r="B51" s="51" t="s">
        <v>192</v>
      </c>
      <c r="C51" s="52"/>
      <c r="D51" s="52"/>
      <c r="E51" s="52"/>
      <c r="F51" s="52">
        <f>ROUND(SUM(F52,F60,F79),0)</f>
        <v>86550</v>
      </c>
      <c r="G51" s="52">
        <f t="shared" ref="G51:V51" si="23">ROUND(SUM(G52,G60,G79),0)</f>
        <v>57383</v>
      </c>
      <c r="H51" s="52">
        <f t="shared" si="23"/>
        <v>53882</v>
      </c>
      <c r="I51" s="52">
        <f t="shared" si="23"/>
        <v>51381</v>
      </c>
      <c r="J51" s="52">
        <f t="shared" si="23"/>
        <v>51380</v>
      </c>
      <c r="K51" s="52">
        <f t="shared" si="23"/>
        <v>51379</v>
      </c>
      <c r="L51" s="52">
        <f t="shared" si="23"/>
        <v>53878</v>
      </c>
      <c r="M51" s="52">
        <f t="shared" si="23"/>
        <v>53877</v>
      </c>
      <c r="N51" s="52">
        <f t="shared" si="23"/>
        <v>53876</v>
      </c>
      <c r="O51" s="52">
        <f t="shared" si="23"/>
        <v>53875</v>
      </c>
      <c r="P51" s="52">
        <f t="shared" si="23"/>
        <v>53874</v>
      </c>
      <c r="Q51" s="52">
        <f t="shared" si="23"/>
        <v>53873</v>
      </c>
      <c r="R51" s="52">
        <f t="shared" si="23"/>
        <v>338911</v>
      </c>
      <c r="S51" s="52">
        <f t="shared" si="23"/>
        <v>355385</v>
      </c>
      <c r="T51" s="52">
        <f t="shared" si="23"/>
        <v>745343</v>
      </c>
      <c r="U51" s="52">
        <f t="shared" si="23"/>
        <v>781604</v>
      </c>
      <c r="V51" s="53">
        <f t="shared" si="23"/>
        <v>822351</v>
      </c>
    </row>
    <row r="52" spans="1:67" ht="29" x14ac:dyDescent="0.35">
      <c r="A52" s="55" t="s">
        <v>76</v>
      </c>
      <c r="F52">
        <f>F53</f>
        <v>133.33333333333334</v>
      </c>
      <c r="G52">
        <f t="shared" ref="G52:V52" si="24">G53</f>
        <v>131.11111111111111</v>
      </c>
      <c r="H52">
        <f t="shared" si="24"/>
        <v>128.92592592592592</v>
      </c>
      <c r="I52">
        <f t="shared" si="24"/>
        <v>126.77716049382715</v>
      </c>
      <c r="J52">
        <f t="shared" si="24"/>
        <v>124.66420781893004</v>
      </c>
      <c r="K52">
        <f t="shared" si="24"/>
        <v>122.58647102194787</v>
      </c>
      <c r="L52">
        <f t="shared" si="24"/>
        <v>120.54336317158209</v>
      </c>
      <c r="M52">
        <f t="shared" si="24"/>
        <v>118.53430711872238</v>
      </c>
      <c r="N52">
        <f t="shared" si="24"/>
        <v>116.55873533341034</v>
      </c>
      <c r="O52">
        <f t="shared" si="24"/>
        <v>114.61608974452017</v>
      </c>
      <c r="P52">
        <f t="shared" si="24"/>
        <v>112.7058215821115</v>
      </c>
      <c r="Q52">
        <f t="shared" si="24"/>
        <v>110.82739122240964</v>
      </c>
      <c r="R52">
        <f t="shared" si="24"/>
        <v>648</v>
      </c>
      <c r="S52">
        <f t="shared" si="24"/>
        <v>583.20000000000005</v>
      </c>
      <c r="T52">
        <f t="shared" si="24"/>
        <v>1024</v>
      </c>
      <c r="U52">
        <f t="shared" si="24"/>
        <v>819.2</v>
      </c>
      <c r="V52">
        <f t="shared" si="24"/>
        <v>3276.8</v>
      </c>
    </row>
    <row r="53" spans="1:67" ht="29" x14ac:dyDescent="0.35">
      <c r="A53" s="87" t="s">
        <v>77</v>
      </c>
      <c r="B53" s="57"/>
      <c r="C53" s="57" t="s">
        <v>86</v>
      </c>
      <c r="D53" s="86">
        <f>(1-D54)/D56</f>
        <v>0.2</v>
      </c>
      <c r="E53" s="56"/>
      <c r="F53" s="57">
        <v>133.33333333333334</v>
      </c>
      <c r="G53" s="57">
        <v>131.11111111111111</v>
      </c>
      <c r="H53" s="57">
        <v>128.92592592592592</v>
      </c>
      <c r="I53" s="57">
        <v>126.77716049382715</v>
      </c>
      <c r="J53" s="57">
        <v>124.66420781893004</v>
      </c>
      <c r="K53" s="57">
        <v>122.58647102194787</v>
      </c>
      <c r="L53" s="57">
        <v>120.54336317158209</v>
      </c>
      <c r="M53" s="57">
        <v>118.53430711872238</v>
      </c>
      <c r="N53" s="57">
        <v>116.55873533341034</v>
      </c>
      <c r="O53" s="57">
        <v>114.61608974452017</v>
      </c>
      <c r="P53" s="57">
        <v>112.7058215821115</v>
      </c>
      <c r="Q53" s="57">
        <v>110.82739122240964</v>
      </c>
      <c r="R53" s="57">
        <v>648</v>
      </c>
      <c r="S53" s="57">
        <v>583.20000000000005</v>
      </c>
      <c r="T53" s="57">
        <v>1024</v>
      </c>
      <c r="U53" s="57">
        <v>819.2</v>
      </c>
      <c r="V53" s="58">
        <v>3276.8</v>
      </c>
    </row>
    <row r="54" spans="1:67" x14ac:dyDescent="0.35">
      <c r="A54" s="57" t="s">
        <v>87</v>
      </c>
      <c r="B54" s="57" t="s">
        <v>25</v>
      </c>
      <c r="C54" s="57" t="s">
        <v>89</v>
      </c>
      <c r="D54" s="57">
        <v>0</v>
      </c>
      <c r="E54" s="59" t="s">
        <v>92</v>
      </c>
      <c r="F54" s="60">
        <v>1</v>
      </c>
      <c r="G54" s="60">
        <v>2</v>
      </c>
      <c r="H54" s="60">
        <v>3</v>
      </c>
      <c r="I54" s="60">
        <v>4</v>
      </c>
      <c r="J54" s="60">
        <v>5</v>
      </c>
      <c r="K54" s="60">
        <v>6</v>
      </c>
      <c r="L54" s="60">
        <v>7</v>
      </c>
      <c r="M54" s="60">
        <v>8</v>
      </c>
      <c r="N54" s="60">
        <v>9</v>
      </c>
      <c r="O54" s="60">
        <v>10</v>
      </c>
      <c r="P54" s="60">
        <v>11</v>
      </c>
      <c r="Q54" s="60">
        <v>12</v>
      </c>
      <c r="R54" s="60">
        <v>13</v>
      </c>
      <c r="S54" s="60">
        <v>14</v>
      </c>
      <c r="T54" s="60">
        <v>15</v>
      </c>
      <c r="U54" s="60">
        <v>16</v>
      </c>
      <c r="V54" s="61">
        <v>17</v>
      </c>
      <c r="W54">
        <v>18</v>
      </c>
      <c r="X54">
        <v>19</v>
      </c>
      <c r="Y54">
        <v>20</v>
      </c>
      <c r="Z54">
        <v>21</v>
      </c>
      <c r="AA54">
        <v>22</v>
      </c>
      <c r="AB54">
        <v>23</v>
      </c>
      <c r="AC54">
        <v>24</v>
      </c>
      <c r="AD54">
        <v>25</v>
      </c>
      <c r="AE54">
        <v>26</v>
      </c>
      <c r="AF54">
        <v>27</v>
      </c>
      <c r="AG54">
        <v>28</v>
      </c>
      <c r="AH54">
        <v>29</v>
      </c>
      <c r="AI54">
        <v>30</v>
      </c>
      <c r="AJ54">
        <v>31</v>
      </c>
      <c r="AK54">
        <v>32</v>
      </c>
      <c r="AL54">
        <v>33</v>
      </c>
      <c r="AM54">
        <v>34</v>
      </c>
      <c r="AN54">
        <v>35</v>
      </c>
      <c r="AO54">
        <v>36</v>
      </c>
      <c r="AP54">
        <v>37</v>
      </c>
      <c r="AQ54">
        <v>38</v>
      </c>
      <c r="AR54">
        <v>39</v>
      </c>
      <c r="AS54">
        <v>40</v>
      </c>
      <c r="AT54">
        <v>41</v>
      </c>
      <c r="AU54">
        <v>42</v>
      </c>
      <c r="AV54">
        <v>43</v>
      </c>
      <c r="AW54">
        <v>44</v>
      </c>
      <c r="AX54">
        <v>45</v>
      </c>
      <c r="AY54">
        <v>46</v>
      </c>
      <c r="AZ54">
        <v>47</v>
      </c>
      <c r="BA54">
        <v>48</v>
      </c>
      <c r="BB54">
        <v>49</v>
      </c>
      <c r="BC54">
        <v>50</v>
      </c>
      <c r="BD54">
        <v>51</v>
      </c>
      <c r="BE54">
        <v>52</v>
      </c>
      <c r="BF54">
        <v>53</v>
      </c>
      <c r="BG54">
        <v>54</v>
      </c>
      <c r="BH54">
        <v>55</v>
      </c>
      <c r="BI54">
        <v>56</v>
      </c>
      <c r="BJ54">
        <v>57</v>
      </c>
      <c r="BK54">
        <v>58</v>
      </c>
      <c r="BL54">
        <v>59</v>
      </c>
      <c r="BM54">
        <v>60</v>
      </c>
      <c r="BN54">
        <v>61</v>
      </c>
      <c r="BO54">
        <v>62</v>
      </c>
    </row>
    <row r="55" spans="1:67" x14ac:dyDescent="0.35">
      <c r="A55" s="57" t="s">
        <v>93</v>
      </c>
      <c r="B55" s="57">
        <v>8000</v>
      </c>
      <c r="C55" s="57" t="s">
        <v>88</v>
      </c>
      <c r="D55" s="57">
        <v>5</v>
      </c>
      <c r="E55" s="59" t="s">
        <v>91</v>
      </c>
      <c r="F55" s="60">
        <f>IF(F54&lt;=$D$56,1,0)</f>
        <v>1</v>
      </c>
      <c r="G55" s="60">
        <f t="shared" ref="G55:Q55" si="25">IF(G54&lt;=$D$56,1,0)</f>
        <v>1</v>
      </c>
      <c r="H55" s="60">
        <f t="shared" si="25"/>
        <v>1</v>
      </c>
      <c r="I55" s="60">
        <f t="shared" si="25"/>
        <v>1</v>
      </c>
      <c r="J55" s="60">
        <f t="shared" si="25"/>
        <v>1</v>
      </c>
      <c r="K55" s="60">
        <f t="shared" si="25"/>
        <v>0</v>
      </c>
      <c r="L55" s="60">
        <f t="shared" si="25"/>
        <v>0</v>
      </c>
      <c r="M55" s="60">
        <f t="shared" si="25"/>
        <v>0</v>
      </c>
      <c r="N55" s="60">
        <f t="shared" si="25"/>
        <v>0</v>
      </c>
      <c r="O55" s="60">
        <f t="shared" si="25"/>
        <v>0</v>
      </c>
      <c r="P55" s="60">
        <f t="shared" si="25"/>
        <v>0</v>
      </c>
      <c r="Q55" s="60">
        <f t="shared" si="25"/>
        <v>0</v>
      </c>
      <c r="R55" s="60">
        <f t="shared" ref="R55" si="26">IF(R54&lt;=$D$56,1,0)</f>
        <v>0</v>
      </c>
      <c r="S55" s="60">
        <f t="shared" ref="S55" si="27">IF(S54&lt;=$D$56,1,0)</f>
        <v>0</v>
      </c>
      <c r="T55" s="60">
        <f t="shared" ref="T55" si="28">IF(T54&lt;=$D$56,1,0)</f>
        <v>0</v>
      </c>
      <c r="U55" s="60">
        <f t="shared" ref="U55" si="29">IF(U54&lt;=$D$56,1,0)</f>
        <v>0</v>
      </c>
      <c r="V55" s="61">
        <f t="shared" ref="V55" si="30">IF(V54&lt;=$D$56,1,0)</f>
        <v>0</v>
      </c>
      <c r="W55">
        <f t="shared" ref="W55" si="31">IF(W54&lt;=$D$56,1,0)</f>
        <v>0</v>
      </c>
      <c r="X55">
        <f t="shared" ref="X55" si="32">IF(X54&lt;=$D$56,1,0)</f>
        <v>0</v>
      </c>
      <c r="Y55">
        <f t="shared" ref="Y55" si="33">IF(Y54&lt;=$D$56,1,0)</f>
        <v>0</v>
      </c>
      <c r="Z55">
        <f t="shared" ref="Z55" si="34">IF(Z54&lt;=$D$56,1,0)</f>
        <v>0</v>
      </c>
    </row>
    <row r="56" spans="1:67" x14ac:dyDescent="0.35">
      <c r="B56" s="57"/>
      <c r="C56" s="57" t="s">
        <v>90</v>
      </c>
      <c r="D56" s="57">
        <f>D55*D57</f>
        <v>5</v>
      </c>
      <c r="E56" s="59" t="s">
        <v>94</v>
      </c>
      <c r="F56" s="60">
        <f>B55</f>
        <v>8000</v>
      </c>
      <c r="G56" s="60">
        <f>F58</f>
        <v>6400</v>
      </c>
      <c r="H56" s="60">
        <f t="shared" ref="H56:P56" si="35">G58</f>
        <v>5120</v>
      </c>
      <c r="I56" s="60">
        <f t="shared" si="35"/>
        <v>4096</v>
      </c>
      <c r="J56" s="60">
        <f t="shared" si="35"/>
        <v>3276.8</v>
      </c>
      <c r="K56" s="60">
        <f t="shared" si="35"/>
        <v>0</v>
      </c>
      <c r="L56" s="60">
        <f t="shared" si="35"/>
        <v>0</v>
      </c>
      <c r="M56" s="60">
        <f t="shared" si="35"/>
        <v>0</v>
      </c>
      <c r="N56" s="60">
        <f t="shared" si="35"/>
        <v>0</v>
      </c>
      <c r="O56" s="60">
        <f t="shared" si="35"/>
        <v>0</v>
      </c>
      <c r="P56" s="60">
        <f t="shared" si="35"/>
        <v>0</v>
      </c>
      <c r="Q56" s="60">
        <f t="shared" ref="Q56:U56" si="36">P58</f>
        <v>0</v>
      </c>
      <c r="R56" s="60">
        <f t="shared" si="36"/>
        <v>0</v>
      </c>
      <c r="S56" s="60">
        <f t="shared" si="36"/>
        <v>0</v>
      </c>
      <c r="T56" s="60">
        <f t="shared" si="36"/>
        <v>0</v>
      </c>
      <c r="U56" s="60">
        <f t="shared" si="36"/>
        <v>0</v>
      </c>
      <c r="V56" s="61">
        <f t="shared" ref="V56:Z56" si="37">U58</f>
        <v>0</v>
      </c>
      <c r="W56">
        <f t="shared" si="37"/>
        <v>0</v>
      </c>
      <c r="X56">
        <f t="shared" si="37"/>
        <v>0</v>
      </c>
      <c r="Y56">
        <f t="shared" si="37"/>
        <v>0</v>
      </c>
      <c r="Z56">
        <f t="shared" si="37"/>
        <v>0</v>
      </c>
    </row>
    <row r="57" spans="1:67" x14ac:dyDescent="0.35">
      <c r="B57" s="57" t="s">
        <v>191</v>
      </c>
      <c r="C57" s="57" t="s">
        <v>179</v>
      </c>
      <c r="D57" s="57">
        <f>VLOOKUP(C57,A109:B112,2,)</f>
        <v>1</v>
      </c>
      <c r="E57" s="59" t="s">
        <v>95</v>
      </c>
      <c r="F57" s="60">
        <f>IF(F54=$D$56,F56,F56*$D$53)*F55</f>
        <v>1600</v>
      </c>
      <c r="G57" s="60">
        <f t="shared" ref="G57" si="38">IF(G54=$D$56,G56,G56*$D$53)*G55</f>
        <v>1280</v>
      </c>
      <c r="H57" s="60">
        <f t="shared" ref="H57" si="39">IF(H54=$D$56,H56,H56*$D$53)*H55</f>
        <v>1024</v>
      </c>
      <c r="I57" s="60">
        <f t="shared" ref="I57" si="40">IF(I54=$D$56,I56,I56*$D$53)*I55</f>
        <v>819.2</v>
      </c>
      <c r="J57" s="60">
        <f t="shared" ref="J57" si="41">IF(J54=$D$56,J56,J56*$D$53)*J55</f>
        <v>3276.8</v>
      </c>
      <c r="K57" s="60">
        <f t="shared" ref="K57" si="42">IF(K54=$D$56,K56,K56*$D$53)*K55</f>
        <v>0</v>
      </c>
      <c r="L57" s="60">
        <f t="shared" ref="L57" si="43">IF(L54=$D$56,L56,L56*$D$53)*L55</f>
        <v>0</v>
      </c>
      <c r="M57" s="60">
        <f t="shared" ref="M57" si="44">IF(M54=$D$56,M56,M56*$D$53)*M55</f>
        <v>0</v>
      </c>
      <c r="N57" s="60">
        <f t="shared" ref="N57" si="45">IF(N54=$D$56,N56,N56*$D$53)*N55</f>
        <v>0</v>
      </c>
      <c r="O57" s="60">
        <f t="shared" ref="O57" si="46">IF(O54=$D$56,O56,O56*$D$53)*O55</f>
        <v>0</v>
      </c>
      <c r="P57" s="60">
        <f t="shared" ref="P57" si="47">IF(P54=$D$56,P56,P56*$D$53)*P55</f>
        <v>0</v>
      </c>
      <c r="Q57" s="60">
        <f t="shared" ref="Q57" si="48">IF(Q54=$D$56,Q56,Q56*$D$53)*Q55</f>
        <v>0</v>
      </c>
      <c r="R57" s="60">
        <f t="shared" ref="R57" si="49">IF(R54=$D$56,R56,R56*$D$53)*R55</f>
        <v>0</v>
      </c>
      <c r="S57" s="60">
        <f t="shared" ref="S57" si="50">IF(S54=$D$56,S56,S56*$D$53)*S55</f>
        <v>0</v>
      </c>
      <c r="T57" s="60">
        <f t="shared" ref="T57" si="51">IF(T54=$D$56,T56,T56*$D$53)*T55</f>
        <v>0</v>
      </c>
      <c r="U57" s="60">
        <f t="shared" ref="U57" si="52">IF(U54=$D$56,U56,U56*$D$53)*U55</f>
        <v>0</v>
      </c>
      <c r="V57" s="61">
        <f t="shared" ref="V57" si="53">IF(V54=$D$56,V56,V56*$D$53)*V55</f>
        <v>0</v>
      </c>
      <c r="W57">
        <f t="shared" ref="W57" si="54">IF(W54=$D$56,W56,W56*$D$53)*W55</f>
        <v>0</v>
      </c>
      <c r="X57">
        <f t="shared" ref="X57" si="55">IF(X54=$D$56,X56,X56*$D$53)*X55</f>
        <v>0</v>
      </c>
      <c r="Y57">
        <f t="shared" ref="Y57" si="56">IF(Y54=$D$56,Y56,Y56*$D$53)*Y55</f>
        <v>0</v>
      </c>
      <c r="Z57">
        <f t="shared" ref="Z57" si="57">IF(Z54=$D$56,Z56,Z56*$D$53)*Z55</f>
        <v>0</v>
      </c>
    </row>
    <row r="58" spans="1:67" x14ac:dyDescent="0.35">
      <c r="B58" s="57"/>
      <c r="C58" s="57"/>
      <c r="D58" s="57"/>
      <c r="E58" s="62" t="s">
        <v>96</v>
      </c>
      <c r="F58" s="63">
        <f>F56-F57</f>
        <v>6400</v>
      </c>
      <c r="G58" s="63">
        <f t="shared" ref="G58:P58" si="58">G56-G57</f>
        <v>5120</v>
      </c>
      <c r="H58" s="63">
        <f t="shared" si="58"/>
        <v>4096</v>
      </c>
      <c r="I58" s="63">
        <f t="shared" si="58"/>
        <v>3276.8</v>
      </c>
      <c r="J58" s="63">
        <f t="shared" si="58"/>
        <v>0</v>
      </c>
      <c r="K58" s="63">
        <f t="shared" si="58"/>
        <v>0</v>
      </c>
      <c r="L58" s="63">
        <f t="shared" si="58"/>
        <v>0</v>
      </c>
      <c r="M58" s="63">
        <f t="shared" si="58"/>
        <v>0</v>
      </c>
      <c r="N58" s="63">
        <f t="shared" si="58"/>
        <v>0</v>
      </c>
      <c r="O58" s="63">
        <f t="shared" si="58"/>
        <v>0</v>
      </c>
      <c r="P58" s="63">
        <f t="shared" si="58"/>
        <v>0</v>
      </c>
      <c r="Q58" s="63">
        <f t="shared" ref="Q58" si="59">Q56-Q57</f>
        <v>0</v>
      </c>
      <c r="R58" s="63">
        <f t="shared" ref="R58" si="60">R56-R57</f>
        <v>0</v>
      </c>
      <c r="S58" s="63">
        <f t="shared" ref="S58" si="61">S56-S57</f>
        <v>0</v>
      </c>
      <c r="T58" s="63">
        <f t="shared" ref="T58" si="62">T56-T57</f>
        <v>0</v>
      </c>
      <c r="U58" s="63">
        <f t="shared" ref="U58" si="63">U56-U57</f>
        <v>0</v>
      </c>
      <c r="V58" s="64">
        <f t="shared" ref="V58" si="64">V56-V57</f>
        <v>0</v>
      </c>
      <c r="W58">
        <f t="shared" ref="W58" si="65">W56-W57</f>
        <v>0</v>
      </c>
      <c r="X58">
        <f t="shared" ref="X58" si="66">X56-X57</f>
        <v>0</v>
      </c>
      <c r="Y58">
        <f t="shared" ref="Y58" si="67">Y56-Y57</f>
        <v>0</v>
      </c>
      <c r="Z58">
        <f t="shared" ref="Z58" si="68">Z56-Z57</f>
        <v>0</v>
      </c>
    </row>
    <row r="60" spans="1:67" x14ac:dyDescent="0.35">
      <c r="A60" s="7" t="s">
        <v>97</v>
      </c>
      <c r="B60" s="1"/>
      <c r="C60" s="1"/>
      <c r="F60">
        <f>SUM(F61,F63,F66,F72)</f>
        <v>76417</v>
      </c>
      <c r="G60">
        <f t="shared" ref="G60:V60" si="69">SUM(G61,G62,G66,G67)</f>
        <v>51252</v>
      </c>
      <c r="H60">
        <f t="shared" si="69"/>
        <v>51253</v>
      </c>
      <c r="I60">
        <f t="shared" si="69"/>
        <v>51254</v>
      </c>
      <c r="J60">
        <f t="shared" si="69"/>
        <v>51255</v>
      </c>
      <c r="K60">
        <f t="shared" si="69"/>
        <v>51256</v>
      </c>
      <c r="L60">
        <f t="shared" si="69"/>
        <v>53757</v>
      </c>
      <c r="M60">
        <f t="shared" si="69"/>
        <v>53758</v>
      </c>
      <c r="N60">
        <f t="shared" si="69"/>
        <v>53759</v>
      </c>
      <c r="O60">
        <f t="shared" si="69"/>
        <v>53760</v>
      </c>
      <c r="P60">
        <f t="shared" si="69"/>
        <v>53761</v>
      </c>
      <c r="Q60">
        <f t="shared" si="69"/>
        <v>53762</v>
      </c>
      <c r="R60">
        <f t="shared" si="69"/>
        <v>338263</v>
      </c>
      <c r="S60">
        <f t="shared" si="69"/>
        <v>354801.5</v>
      </c>
      <c r="T60">
        <f t="shared" si="69"/>
        <v>744318.75</v>
      </c>
      <c r="U60">
        <f t="shared" si="69"/>
        <v>780784.9375</v>
      </c>
      <c r="V60">
        <f t="shared" si="69"/>
        <v>819074.38437500002</v>
      </c>
    </row>
    <row r="61" spans="1:67" ht="29" x14ac:dyDescent="0.35">
      <c r="A61" s="1" t="s">
        <v>20</v>
      </c>
      <c r="B61" s="1" t="s">
        <v>198</v>
      </c>
      <c r="C61" s="1" t="s">
        <v>199</v>
      </c>
      <c r="D61" s="2">
        <v>0.05</v>
      </c>
      <c r="F61">
        <v>50000</v>
      </c>
      <c r="G61">
        <v>50000</v>
      </c>
      <c r="H61">
        <v>50000</v>
      </c>
      <c r="I61">
        <v>50000</v>
      </c>
      <c r="J61">
        <v>50000</v>
      </c>
      <c r="K61">
        <v>50000</v>
      </c>
      <c r="L61">
        <f>K61*(1+D61)</f>
        <v>52500</v>
      </c>
      <c r="M61">
        <f>L61</f>
        <v>52500</v>
      </c>
      <c r="N61">
        <f t="shared" ref="N61:Q61" si="70">M61</f>
        <v>52500</v>
      </c>
      <c r="O61">
        <f t="shared" si="70"/>
        <v>52500</v>
      </c>
      <c r="P61">
        <f t="shared" si="70"/>
        <v>52500</v>
      </c>
      <c r="Q61">
        <f t="shared" si="70"/>
        <v>52500</v>
      </c>
      <c r="R61">
        <f>Q61*(1+D61)*6</f>
        <v>330750</v>
      </c>
      <c r="S61">
        <f>Q61*(1+D61)*(1+D61)*6</f>
        <v>347287.5</v>
      </c>
      <c r="T61">
        <f>S61*(1+D61)*2</f>
        <v>729303.75</v>
      </c>
      <c r="U61">
        <f>T61*(1+D61)</f>
        <v>765768.9375</v>
      </c>
      <c r="V61">
        <f>U61*(1+D61)</f>
        <v>804057.38437500002</v>
      </c>
    </row>
    <row r="62" spans="1:67" x14ac:dyDescent="0.35">
      <c r="A62" s="1"/>
      <c r="B62" s="1"/>
      <c r="C62" s="1"/>
    </row>
    <row r="63" spans="1:67" ht="29" x14ac:dyDescent="0.35">
      <c r="A63" s="1" t="s">
        <v>104</v>
      </c>
      <c r="B63" s="1" t="s">
        <v>22</v>
      </c>
      <c r="C63" s="1" t="s">
        <v>24</v>
      </c>
      <c r="F63">
        <v>25000</v>
      </c>
      <c r="G63">
        <v>25000</v>
      </c>
      <c r="H63">
        <v>25000</v>
      </c>
      <c r="I63">
        <v>25000</v>
      </c>
      <c r="J63">
        <v>25000</v>
      </c>
      <c r="K63">
        <v>25000</v>
      </c>
      <c r="L63">
        <v>25000</v>
      </c>
      <c r="M63">
        <v>25000</v>
      </c>
      <c r="N63">
        <v>25000</v>
      </c>
      <c r="O63">
        <v>25000</v>
      </c>
      <c r="P63">
        <v>25000</v>
      </c>
      <c r="Q63">
        <v>25000</v>
      </c>
      <c r="R63">
        <f>$Q$63*6</f>
        <v>150000</v>
      </c>
      <c r="S63">
        <f>$Q$63*6</f>
        <v>150000</v>
      </c>
      <c r="T63">
        <f>$S$63*2</f>
        <v>300000</v>
      </c>
      <c r="U63">
        <f>$S$63*2</f>
        <v>300000</v>
      </c>
      <c r="V63">
        <f>$S$63*2</f>
        <v>300000</v>
      </c>
    </row>
    <row r="65" spans="1:133" x14ac:dyDescent="0.35">
      <c r="A65" s="68" t="s">
        <v>125</v>
      </c>
      <c r="B65" s="1"/>
      <c r="C65" s="1"/>
    </row>
    <row r="66" spans="1:133" ht="29" x14ac:dyDescent="0.35">
      <c r="A66" s="68" t="s">
        <v>99</v>
      </c>
      <c r="C66" t="s">
        <v>86</v>
      </c>
      <c r="D66" s="6">
        <f>(1-D67)/D69</f>
        <v>0.16666666666666666</v>
      </c>
      <c r="F66">
        <v>1250</v>
      </c>
      <c r="G66">
        <v>1250</v>
      </c>
      <c r="H66">
        <v>1250</v>
      </c>
      <c r="I66">
        <v>1250</v>
      </c>
      <c r="J66">
        <v>1250</v>
      </c>
      <c r="K66">
        <v>1250</v>
      </c>
      <c r="L66">
        <v>1250</v>
      </c>
      <c r="M66">
        <v>1250</v>
      </c>
      <c r="N66">
        <v>1250</v>
      </c>
      <c r="O66">
        <v>1250</v>
      </c>
      <c r="P66">
        <v>1250</v>
      </c>
      <c r="Q66">
        <v>1250</v>
      </c>
      <c r="R66">
        <v>7500</v>
      </c>
      <c r="S66">
        <v>7500</v>
      </c>
      <c r="T66">
        <v>15000</v>
      </c>
      <c r="U66">
        <v>15000</v>
      </c>
      <c r="V66">
        <v>15000</v>
      </c>
    </row>
    <row r="67" spans="1:133" x14ac:dyDescent="0.35">
      <c r="A67" s="60" t="s">
        <v>87</v>
      </c>
      <c r="B67" s="60" t="s">
        <v>100</v>
      </c>
      <c r="C67" s="60" t="s">
        <v>89</v>
      </c>
      <c r="D67" s="60">
        <v>0</v>
      </c>
      <c r="E67" s="60" t="s">
        <v>92</v>
      </c>
      <c r="F67" s="60">
        <v>1</v>
      </c>
      <c r="G67" s="65">
        <v>2</v>
      </c>
      <c r="H67" s="60">
        <v>3</v>
      </c>
      <c r="I67" s="65">
        <v>4</v>
      </c>
      <c r="J67" s="60">
        <v>5</v>
      </c>
      <c r="K67" s="65">
        <v>6</v>
      </c>
      <c r="L67" s="60">
        <v>7</v>
      </c>
      <c r="M67" s="65">
        <v>8</v>
      </c>
      <c r="N67" s="60">
        <v>9</v>
      </c>
      <c r="O67" s="65">
        <v>10</v>
      </c>
      <c r="P67" s="60">
        <v>11</v>
      </c>
      <c r="Q67" s="65">
        <v>12</v>
      </c>
      <c r="R67" s="60">
        <v>13</v>
      </c>
      <c r="S67" s="65">
        <v>14</v>
      </c>
      <c r="T67" s="60">
        <v>15</v>
      </c>
      <c r="U67" s="65">
        <v>16</v>
      </c>
      <c r="V67" s="60">
        <v>17</v>
      </c>
      <c r="W67" s="1">
        <v>18</v>
      </c>
      <c r="X67">
        <v>19</v>
      </c>
      <c r="Y67" s="1">
        <v>20</v>
      </c>
      <c r="Z67">
        <v>21</v>
      </c>
      <c r="AA67" s="1">
        <v>22</v>
      </c>
      <c r="AB67">
        <v>23</v>
      </c>
      <c r="AC67" s="1">
        <v>24</v>
      </c>
      <c r="AD67">
        <v>25</v>
      </c>
      <c r="AE67" s="1">
        <v>26</v>
      </c>
      <c r="AF67">
        <v>27</v>
      </c>
      <c r="AG67" s="1">
        <v>28</v>
      </c>
      <c r="AH67">
        <v>29</v>
      </c>
      <c r="AI67" s="1">
        <v>30</v>
      </c>
      <c r="AJ67">
        <v>31</v>
      </c>
      <c r="AK67" s="1">
        <v>32</v>
      </c>
      <c r="AL67">
        <v>33</v>
      </c>
      <c r="AM67" s="1">
        <v>34</v>
      </c>
      <c r="AN67">
        <v>35</v>
      </c>
      <c r="AO67" s="1">
        <v>36</v>
      </c>
      <c r="AP67">
        <v>37</v>
      </c>
      <c r="AQ67" s="1">
        <v>38</v>
      </c>
      <c r="AR67">
        <v>39</v>
      </c>
      <c r="AS67" s="1">
        <v>40</v>
      </c>
      <c r="AT67">
        <v>41</v>
      </c>
      <c r="AU67" s="1">
        <v>42</v>
      </c>
      <c r="AV67">
        <v>43</v>
      </c>
      <c r="AW67" s="1">
        <v>44</v>
      </c>
      <c r="AX67">
        <v>45</v>
      </c>
      <c r="AY67" s="1">
        <v>46</v>
      </c>
      <c r="AZ67">
        <v>47</v>
      </c>
      <c r="BA67" s="1">
        <v>48</v>
      </c>
      <c r="BB67">
        <v>49</v>
      </c>
      <c r="BC67" s="1">
        <v>50</v>
      </c>
      <c r="BD67">
        <v>51</v>
      </c>
      <c r="BE67" s="1">
        <v>52</v>
      </c>
      <c r="BF67">
        <v>53</v>
      </c>
      <c r="BG67" s="1">
        <v>54</v>
      </c>
      <c r="BH67">
        <v>55</v>
      </c>
      <c r="BI67" s="1">
        <v>56</v>
      </c>
      <c r="BJ67">
        <v>57</v>
      </c>
      <c r="BK67" s="1">
        <v>58</v>
      </c>
      <c r="BL67">
        <v>59</v>
      </c>
      <c r="BM67" s="1">
        <v>60</v>
      </c>
      <c r="BN67">
        <v>61</v>
      </c>
      <c r="BO67" s="1">
        <v>62</v>
      </c>
      <c r="BP67">
        <v>63</v>
      </c>
      <c r="BQ67" s="1">
        <v>64</v>
      </c>
      <c r="BR67">
        <v>65</v>
      </c>
      <c r="BS67" s="1">
        <v>66</v>
      </c>
      <c r="BT67">
        <v>67</v>
      </c>
      <c r="BU67" s="1">
        <v>68</v>
      </c>
      <c r="BV67">
        <v>69</v>
      </c>
      <c r="BW67" s="1">
        <v>70</v>
      </c>
      <c r="BX67">
        <v>71</v>
      </c>
      <c r="BY67" s="1">
        <v>72</v>
      </c>
      <c r="BZ67">
        <v>73</v>
      </c>
      <c r="CA67" s="1">
        <v>74</v>
      </c>
      <c r="CB67">
        <v>75</v>
      </c>
      <c r="CC67" s="1">
        <v>76</v>
      </c>
      <c r="CD67">
        <v>77</v>
      </c>
      <c r="CE67" s="1">
        <v>78</v>
      </c>
      <c r="CF67">
        <v>79</v>
      </c>
      <c r="CG67" s="1">
        <v>80</v>
      </c>
    </row>
    <row r="68" spans="1:133" x14ac:dyDescent="0.35">
      <c r="A68" s="65" t="s">
        <v>93</v>
      </c>
      <c r="B68" s="60">
        <v>90000</v>
      </c>
      <c r="C68" s="60" t="s">
        <v>88</v>
      </c>
      <c r="D68" s="60">
        <v>6</v>
      </c>
      <c r="E68" s="60" t="s">
        <v>91</v>
      </c>
      <c r="F68" s="60">
        <f>IF(F67&lt;=$D$69,1,0)</f>
        <v>1</v>
      </c>
      <c r="G68" s="60">
        <f>IF(G67&lt;=$D$69,1,0)</f>
        <v>1</v>
      </c>
      <c r="H68" s="60">
        <f t="shared" ref="H68:BO68" si="71">IF(H67&lt;=$D$69,1,0)</f>
        <v>1</v>
      </c>
      <c r="I68" s="60">
        <f t="shared" si="71"/>
        <v>1</v>
      </c>
      <c r="J68" s="60">
        <f t="shared" si="71"/>
        <v>1</v>
      </c>
      <c r="K68" s="60">
        <f t="shared" si="71"/>
        <v>1</v>
      </c>
      <c r="L68" s="60">
        <f t="shared" si="71"/>
        <v>0</v>
      </c>
      <c r="M68" s="60">
        <f t="shared" si="71"/>
        <v>0</v>
      </c>
      <c r="N68" s="60">
        <f t="shared" si="71"/>
        <v>0</v>
      </c>
      <c r="O68" s="60">
        <f t="shared" si="71"/>
        <v>0</v>
      </c>
      <c r="P68" s="60">
        <f t="shared" si="71"/>
        <v>0</v>
      </c>
      <c r="Q68" s="60">
        <f t="shared" si="71"/>
        <v>0</v>
      </c>
      <c r="R68" s="60">
        <f t="shared" si="71"/>
        <v>0</v>
      </c>
      <c r="S68" s="60">
        <f t="shared" si="71"/>
        <v>0</v>
      </c>
      <c r="T68" s="60">
        <f t="shared" si="71"/>
        <v>0</v>
      </c>
      <c r="U68" s="60">
        <f t="shared" si="71"/>
        <v>0</v>
      </c>
      <c r="V68" s="60">
        <f t="shared" si="71"/>
        <v>0</v>
      </c>
      <c r="W68">
        <f t="shared" si="71"/>
        <v>0</v>
      </c>
      <c r="X68">
        <f t="shared" si="71"/>
        <v>0</v>
      </c>
      <c r="Y68">
        <f t="shared" si="71"/>
        <v>0</v>
      </c>
      <c r="Z68">
        <f t="shared" si="71"/>
        <v>0</v>
      </c>
      <c r="AA68">
        <f t="shared" si="71"/>
        <v>0</v>
      </c>
      <c r="AB68">
        <f t="shared" si="71"/>
        <v>0</v>
      </c>
      <c r="AC68">
        <f t="shared" si="71"/>
        <v>0</v>
      </c>
      <c r="AD68">
        <f t="shared" si="71"/>
        <v>0</v>
      </c>
      <c r="AE68">
        <f t="shared" si="71"/>
        <v>0</v>
      </c>
      <c r="AF68">
        <f t="shared" si="71"/>
        <v>0</v>
      </c>
      <c r="AG68">
        <f t="shared" si="71"/>
        <v>0</v>
      </c>
      <c r="AH68">
        <f t="shared" si="71"/>
        <v>0</v>
      </c>
      <c r="AI68">
        <f t="shared" si="71"/>
        <v>0</v>
      </c>
      <c r="AJ68">
        <f t="shared" si="71"/>
        <v>0</v>
      </c>
      <c r="AK68">
        <f t="shared" si="71"/>
        <v>0</v>
      </c>
      <c r="AL68">
        <f t="shared" si="71"/>
        <v>0</v>
      </c>
      <c r="AM68">
        <f t="shared" si="71"/>
        <v>0</v>
      </c>
      <c r="AN68">
        <f t="shared" si="71"/>
        <v>0</v>
      </c>
      <c r="AO68">
        <f t="shared" si="71"/>
        <v>0</v>
      </c>
      <c r="AP68">
        <f t="shared" si="71"/>
        <v>0</v>
      </c>
      <c r="AQ68">
        <f t="shared" si="71"/>
        <v>0</v>
      </c>
      <c r="AR68">
        <f t="shared" si="71"/>
        <v>0</v>
      </c>
      <c r="AS68">
        <f t="shared" si="71"/>
        <v>0</v>
      </c>
      <c r="AT68">
        <f t="shared" si="71"/>
        <v>0</v>
      </c>
      <c r="AU68">
        <f t="shared" si="71"/>
        <v>0</v>
      </c>
      <c r="AV68">
        <f t="shared" si="71"/>
        <v>0</v>
      </c>
      <c r="AW68">
        <f t="shared" si="71"/>
        <v>0</v>
      </c>
      <c r="AX68">
        <f t="shared" si="71"/>
        <v>0</v>
      </c>
      <c r="AY68">
        <f t="shared" si="71"/>
        <v>0</v>
      </c>
      <c r="AZ68">
        <f t="shared" si="71"/>
        <v>0</v>
      </c>
      <c r="BA68">
        <f t="shared" si="71"/>
        <v>0</v>
      </c>
      <c r="BB68">
        <f t="shared" si="71"/>
        <v>0</v>
      </c>
      <c r="BC68">
        <f t="shared" si="71"/>
        <v>0</v>
      </c>
      <c r="BD68">
        <f t="shared" si="71"/>
        <v>0</v>
      </c>
      <c r="BE68">
        <f t="shared" si="71"/>
        <v>0</v>
      </c>
      <c r="BF68">
        <f t="shared" si="71"/>
        <v>0</v>
      </c>
      <c r="BG68">
        <f t="shared" si="71"/>
        <v>0</v>
      </c>
      <c r="BH68">
        <f t="shared" si="71"/>
        <v>0</v>
      </c>
      <c r="BI68">
        <f t="shared" si="71"/>
        <v>0</v>
      </c>
      <c r="BJ68">
        <f t="shared" si="71"/>
        <v>0</v>
      </c>
      <c r="BK68">
        <f t="shared" si="71"/>
        <v>0</v>
      </c>
      <c r="BL68">
        <f t="shared" si="71"/>
        <v>0</v>
      </c>
      <c r="BM68">
        <f t="shared" si="71"/>
        <v>0</v>
      </c>
      <c r="BN68">
        <f t="shared" si="71"/>
        <v>0</v>
      </c>
      <c r="BO68">
        <f t="shared" si="71"/>
        <v>0</v>
      </c>
      <c r="BP68">
        <f>IF(BP67&lt;=$D$69,1,0)</f>
        <v>0</v>
      </c>
      <c r="BQ68">
        <f>IF(BQ67&lt;=$D$69,1,0)</f>
        <v>0</v>
      </c>
      <c r="BR68">
        <f t="shared" ref="BR68" si="72">IF(BR67&lt;=$D$69,1,0)</f>
        <v>0</v>
      </c>
      <c r="BS68">
        <f t="shared" ref="BS68" si="73">IF(BS67&lt;=$D$69,1,0)</f>
        <v>0</v>
      </c>
      <c r="BT68">
        <f t="shared" ref="BT68" si="74">IF(BT67&lt;=$D$69,1,0)</f>
        <v>0</v>
      </c>
      <c r="BU68">
        <f t="shared" ref="BU68" si="75">IF(BU67&lt;=$D$69,1,0)</f>
        <v>0</v>
      </c>
      <c r="BV68">
        <f t="shared" ref="BV68" si="76">IF(BV67&lt;=$D$69,1,0)</f>
        <v>0</v>
      </c>
      <c r="BW68">
        <f t="shared" ref="BW68" si="77">IF(BW67&lt;=$D$69,1,0)</f>
        <v>0</v>
      </c>
      <c r="BX68">
        <f t="shared" ref="BX68" si="78">IF(BX67&lt;=$D$69,1,0)</f>
        <v>0</v>
      </c>
      <c r="BY68">
        <f t="shared" ref="BY68" si="79">IF(BY67&lt;=$D$69,1,0)</f>
        <v>0</v>
      </c>
      <c r="BZ68">
        <f t="shared" ref="BZ68" si="80">IF(BZ67&lt;=$D$69,1,0)</f>
        <v>0</v>
      </c>
      <c r="CA68">
        <f t="shared" ref="CA68" si="81">IF(CA67&lt;=$D$69,1,0)</f>
        <v>0</v>
      </c>
      <c r="CB68">
        <f t="shared" ref="CB68" si="82">IF(CB67&lt;=$D$69,1,0)</f>
        <v>0</v>
      </c>
      <c r="CC68">
        <f t="shared" ref="CC68" si="83">IF(CC67&lt;=$D$69,1,0)</f>
        <v>0</v>
      </c>
      <c r="CD68">
        <f t="shared" ref="CD68" si="84">IF(CD67&lt;=$D$69,1,0)</f>
        <v>0</v>
      </c>
      <c r="CE68">
        <f t="shared" ref="CE68" si="85">IF(CE67&lt;=$D$69,1,0)</f>
        <v>0</v>
      </c>
      <c r="CF68">
        <f t="shared" ref="CF68" si="86">IF(CF67&lt;=$D$69,1,0)</f>
        <v>0</v>
      </c>
      <c r="CG68">
        <f t="shared" ref="CG68" si="87">IF(CG67&lt;=$D$69,1,0)</f>
        <v>0</v>
      </c>
    </row>
    <row r="69" spans="1:133" x14ac:dyDescent="0.35">
      <c r="C69" s="60" t="s">
        <v>90</v>
      </c>
      <c r="D69" s="60">
        <f>D68*D70</f>
        <v>6</v>
      </c>
      <c r="E69" s="60" t="s">
        <v>94</v>
      </c>
      <c r="F69" s="60">
        <f>B68</f>
        <v>90000</v>
      </c>
      <c r="G69" s="60">
        <f>F71</f>
        <v>75000</v>
      </c>
      <c r="H69" s="60">
        <f t="shared" ref="H69:BS69" si="88">G71</f>
        <v>60000</v>
      </c>
      <c r="I69" s="60">
        <f t="shared" si="88"/>
        <v>45000</v>
      </c>
      <c r="J69" s="60">
        <f t="shared" si="88"/>
        <v>30000</v>
      </c>
      <c r="K69" s="60">
        <f t="shared" si="88"/>
        <v>15000</v>
      </c>
      <c r="L69" s="60">
        <f t="shared" si="88"/>
        <v>0</v>
      </c>
      <c r="M69" s="60">
        <f t="shared" si="88"/>
        <v>0</v>
      </c>
      <c r="N69" s="60">
        <f t="shared" si="88"/>
        <v>0</v>
      </c>
      <c r="O69" s="60">
        <f t="shared" si="88"/>
        <v>0</v>
      </c>
      <c r="P69" s="60">
        <f t="shared" si="88"/>
        <v>0</v>
      </c>
      <c r="Q69" s="60">
        <f t="shared" si="88"/>
        <v>0</v>
      </c>
      <c r="R69" s="60">
        <f t="shared" si="88"/>
        <v>0</v>
      </c>
      <c r="S69" s="60">
        <f t="shared" si="88"/>
        <v>0</v>
      </c>
      <c r="T69" s="60">
        <f t="shared" si="88"/>
        <v>0</v>
      </c>
      <c r="U69" s="60">
        <f t="shared" si="88"/>
        <v>0</v>
      </c>
      <c r="V69" s="60">
        <f t="shared" si="88"/>
        <v>0</v>
      </c>
      <c r="W69">
        <f t="shared" si="88"/>
        <v>0</v>
      </c>
      <c r="X69">
        <f t="shared" si="88"/>
        <v>0</v>
      </c>
      <c r="Y69">
        <f t="shared" si="88"/>
        <v>0</v>
      </c>
      <c r="Z69">
        <f t="shared" si="88"/>
        <v>0</v>
      </c>
      <c r="AA69">
        <f t="shared" si="88"/>
        <v>0</v>
      </c>
      <c r="AB69">
        <f t="shared" si="88"/>
        <v>0</v>
      </c>
      <c r="AC69">
        <f t="shared" si="88"/>
        <v>0</v>
      </c>
      <c r="AD69">
        <f t="shared" si="88"/>
        <v>0</v>
      </c>
      <c r="AE69">
        <f t="shared" si="88"/>
        <v>0</v>
      </c>
      <c r="AF69">
        <f t="shared" si="88"/>
        <v>0</v>
      </c>
      <c r="AG69">
        <f t="shared" si="88"/>
        <v>0</v>
      </c>
      <c r="AH69">
        <f t="shared" si="88"/>
        <v>0</v>
      </c>
      <c r="AI69">
        <f t="shared" si="88"/>
        <v>0</v>
      </c>
      <c r="AJ69">
        <f t="shared" si="88"/>
        <v>0</v>
      </c>
      <c r="AK69">
        <f t="shared" si="88"/>
        <v>0</v>
      </c>
      <c r="AL69">
        <f t="shared" si="88"/>
        <v>0</v>
      </c>
      <c r="AM69">
        <f t="shared" si="88"/>
        <v>0</v>
      </c>
      <c r="AN69">
        <f t="shared" si="88"/>
        <v>0</v>
      </c>
      <c r="AO69">
        <f t="shared" si="88"/>
        <v>0</v>
      </c>
      <c r="AP69">
        <f t="shared" si="88"/>
        <v>0</v>
      </c>
      <c r="AQ69">
        <f t="shared" si="88"/>
        <v>0</v>
      </c>
      <c r="AR69">
        <f t="shared" si="88"/>
        <v>0</v>
      </c>
      <c r="AS69">
        <f t="shared" si="88"/>
        <v>0</v>
      </c>
      <c r="AT69">
        <f t="shared" si="88"/>
        <v>0</v>
      </c>
      <c r="AU69">
        <f t="shared" si="88"/>
        <v>0</v>
      </c>
      <c r="AV69">
        <f t="shared" si="88"/>
        <v>0</v>
      </c>
      <c r="AW69">
        <f t="shared" si="88"/>
        <v>0</v>
      </c>
      <c r="AX69">
        <f t="shared" si="88"/>
        <v>0</v>
      </c>
      <c r="AY69">
        <f t="shared" si="88"/>
        <v>0</v>
      </c>
      <c r="AZ69">
        <f t="shared" si="88"/>
        <v>0</v>
      </c>
      <c r="BA69">
        <f t="shared" si="88"/>
        <v>0</v>
      </c>
      <c r="BB69">
        <f t="shared" si="88"/>
        <v>0</v>
      </c>
      <c r="BC69">
        <f t="shared" si="88"/>
        <v>0</v>
      </c>
      <c r="BD69">
        <f t="shared" si="88"/>
        <v>0</v>
      </c>
      <c r="BE69">
        <f t="shared" si="88"/>
        <v>0</v>
      </c>
      <c r="BF69">
        <f t="shared" si="88"/>
        <v>0</v>
      </c>
      <c r="BG69">
        <f t="shared" si="88"/>
        <v>0</v>
      </c>
      <c r="BH69">
        <f t="shared" si="88"/>
        <v>0</v>
      </c>
      <c r="BI69">
        <f t="shared" si="88"/>
        <v>0</v>
      </c>
      <c r="BJ69">
        <f t="shared" si="88"/>
        <v>0</v>
      </c>
      <c r="BK69">
        <f t="shared" si="88"/>
        <v>0</v>
      </c>
      <c r="BL69">
        <f t="shared" si="88"/>
        <v>0</v>
      </c>
      <c r="BM69">
        <f t="shared" si="88"/>
        <v>0</v>
      </c>
      <c r="BN69">
        <f t="shared" si="88"/>
        <v>0</v>
      </c>
      <c r="BO69">
        <f t="shared" si="88"/>
        <v>0</v>
      </c>
      <c r="BP69">
        <f t="shared" si="88"/>
        <v>0</v>
      </c>
      <c r="BQ69">
        <f t="shared" si="88"/>
        <v>0</v>
      </c>
      <c r="BR69">
        <f t="shared" si="88"/>
        <v>0</v>
      </c>
      <c r="BS69">
        <f t="shared" si="88"/>
        <v>0</v>
      </c>
      <c r="BT69">
        <f t="shared" ref="BT69:BZ69" si="89">BS71</f>
        <v>0</v>
      </c>
      <c r="BU69">
        <f t="shared" si="89"/>
        <v>0</v>
      </c>
      <c r="BV69">
        <f t="shared" si="89"/>
        <v>0</v>
      </c>
      <c r="BW69">
        <f t="shared" si="89"/>
        <v>0</v>
      </c>
      <c r="BX69">
        <f t="shared" si="89"/>
        <v>0</v>
      </c>
      <c r="BY69">
        <f t="shared" si="89"/>
        <v>0</v>
      </c>
      <c r="BZ69">
        <f t="shared" si="89"/>
        <v>0</v>
      </c>
    </row>
    <row r="70" spans="1:133" x14ac:dyDescent="0.35">
      <c r="C70" s="60" t="s">
        <v>179</v>
      </c>
      <c r="D70" s="60">
        <f>VLOOKUP(C70,A109:B112,2,FALSE)</f>
        <v>1</v>
      </c>
      <c r="E70" s="60" t="s">
        <v>95</v>
      </c>
      <c r="F70" s="60">
        <f>$F$69*$D$66*F68</f>
        <v>15000</v>
      </c>
      <c r="G70" s="60">
        <f>$F$69*$D$66*G68</f>
        <v>15000</v>
      </c>
      <c r="H70" s="60">
        <f t="shared" ref="H70:BS70" si="90">$F$69*$D$66*H68</f>
        <v>15000</v>
      </c>
      <c r="I70" s="60">
        <f t="shared" si="90"/>
        <v>15000</v>
      </c>
      <c r="J70" s="60">
        <f t="shared" si="90"/>
        <v>15000</v>
      </c>
      <c r="K70" s="60">
        <f t="shared" si="90"/>
        <v>15000</v>
      </c>
      <c r="L70" s="60">
        <f t="shared" si="90"/>
        <v>0</v>
      </c>
      <c r="M70" s="60">
        <f t="shared" si="90"/>
        <v>0</v>
      </c>
      <c r="N70" s="60">
        <f t="shared" si="90"/>
        <v>0</v>
      </c>
      <c r="O70" s="60">
        <f t="shared" si="90"/>
        <v>0</v>
      </c>
      <c r="P70" s="60">
        <f t="shared" si="90"/>
        <v>0</v>
      </c>
      <c r="Q70" s="60">
        <f t="shared" si="90"/>
        <v>0</v>
      </c>
      <c r="R70" s="60">
        <f t="shared" si="90"/>
        <v>0</v>
      </c>
      <c r="S70" s="60">
        <f t="shared" si="90"/>
        <v>0</v>
      </c>
      <c r="T70" s="60">
        <f t="shared" si="90"/>
        <v>0</v>
      </c>
      <c r="U70" s="60">
        <f t="shared" si="90"/>
        <v>0</v>
      </c>
      <c r="V70" s="60">
        <f t="shared" si="90"/>
        <v>0</v>
      </c>
      <c r="W70">
        <f t="shared" si="90"/>
        <v>0</v>
      </c>
      <c r="X70">
        <f t="shared" si="90"/>
        <v>0</v>
      </c>
      <c r="Y70">
        <f t="shared" si="90"/>
        <v>0</v>
      </c>
      <c r="Z70">
        <f t="shared" si="90"/>
        <v>0</v>
      </c>
      <c r="AA70">
        <f t="shared" si="90"/>
        <v>0</v>
      </c>
      <c r="AB70">
        <f t="shared" si="90"/>
        <v>0</v>
      </c>
      <c r="AC70">
        <f t="shared" si="90"/>
        <v>0</v>
      </c>
      <c r="AD70">
        <f t="shared" si="90"/>
        <v>0</v>
      </c>
      <c r="AE70">
        <f t="shared" si="90"/>
        <v>0</v>
      </c>
      <c r="AF70">
        <f t="shared" si="90"/>
        <v>0</v>
      </c>
      <c r="AG70">
        <f t="shared" si="90"/>
        <v>0</v>
      </c>
      <c r="AH70">
        <f t="shared" si="90"/>
        <v>0</v>
      </c>
      <c r="AI70">
        <f t="shared" si="90"/>
        <v>0</v>
      </c>
      <c r="AJ70">
        <f t="shared" si="90"/>
        <v>0</v>
      </c>
      <c r="AK70">
        <f t="shared" si="90"/>
        <v>0</v>
      </c>
      <c r="AL70">
        <f t="shared" si="90"/>
        <v>0</v>
      </c>
      <c r="AM70">
        <f t="shared" si="90"/>
        <v>0</v>
      </c>
      <c r="AN70">
        <f t="shared" si="90"/>
        <v>0</v>
      </c>
      <c r="AO70">
        <f t="shared" si="90"/>
        <v>0</v>
      </c>
      <c r="AP70">
        <f t="shared" si="90"/>
        <v>0</v>
      </c>
      <c r="AQ70">
        <f t="shared" si="90"/>
        <v>0</v>
      </c>
      <c r="AR70">
        <f t="shared" si="90"/>
        <v>0</v>
      </c>
      <c r="AS70">
        <f t="shared" si="90"/>
        <v>0</v>
      </c>
      <c r="AT70">
        <f t="shared" si="90"/>
        <v>0</v>
      </c>
      <c r="AU70">
        <f t="shared" si="90"/>
        <v>0</v>
      </c>
      <c r="AV70">
        <f t="shared" si="90"/>
        <v>0</v>
      </c>
      <c r="AW70">
        <f t="shared" si="90"/>
        <v>0</v>
      </c>
      <c r="AX70">
        <f t="shared" si="90"/>
        <v>0</v>
      </c>
      <c r="AY70">
        <f t="shared" si="90"/>
        <v>0</v>
      </c>
      <c r="AZ70">
        <f t="shared" si="90"/>
        <v>0</v>
      </c>
      <c r="BA70">
        <f t="shared" si="90"/>
        <v>0</v>
      </c>
      <c r="BB70">
        <f t="shared" si="90"/>
        <v>0</v>
      </c>
      <c r="BC70">
        <f t="shared" si="90"/>
        <v>0</v>
      </c>
      <c r="BD70">
        <f t="shared" si="90"/>
        <v>0</v>
      </c>
      <c r="BE70">
        <f t="shared" si="90"/>
        <v>0</v>
      </c>
      <c r="BF70">
        <f t="shared" si="90"/>
        <v>0</v>
      </c>
      <c r="BG70">
        <f t="shared" si="90"/>
        <v>0</v>
      </c>
      <c r="BH70">
        <f t="shared" si="90"/>
        <v>0</v>
      </c>
      <c r="BI70">
        <f t="shared" si="90"/>
        <v>0</v>
      </c>
      <c r="BJ70">
        <f t="shared" si="90"/>
        <v>0</v>
      </c>
      <c r="BK70">
        <f t="shared" si="90"/>
        <v>0</v>
      </c>
      <c r="BL70">
        <f t="shared" si="90"/>
        <v>0</v>
      </c>
      <c r="BM70">
        <f t="shared" si="90"/>
        <v>0</v>
      </c>
      <c r="BN70">
        <f t="shared" si="90"/>
        <v>0</v>
      </c>
      <c r="BO70">
        <f t="shared" si="90"/>
        <v>0</v>
      </c>
      <c r="BP70">
        <f t="shared" si="90"/>
        <v>0</v>
      </c>
      <c r="BQ70">
        <f t="shared" si="90"/>
        <v>0</v>
      </c>
      <c r="BR70">
        <f t="shared" si="90"/>
        <v>0</v>
      </c>
      <c r="BS70">
        <f t="shared" si="90"/>
        <v>0</v>
      </c>
      <c r="BT70">
        <f t="shared" ref="BT70:BZ70" si="91">$F$69*$D$66*BT68</f>
        <v>0</v>
      </c>
      <c r="BU70">
        <f t="shared" si="91"/>
        <v>0</v>
      </c>
      <c r="BV70">
        <f t="shared" si="91"/>
        <v>0</v>
      </c>
      <c r="BW70">
        <f t="shared" si="91"/>
        <v>0</v>
      </c>
      <c r="BX70">
        <f t="shared" si="91"/>
        <v>0</v>
      </c>
      <c r="BY70">
        <f t="shared" si="91"/>
        <v>0</v>
      </c>
      <c r="BZ70">
        <f t="shared" si="91"/>
        <v>0</v>
      </c>
    </row>
    <row r="71" spans="1:133" x14ac:dyDescent="0.35">
      <c r="A71" s="1"/>
      <c r="B71" s="1"/>
      <c r="C71" s="60"/>
      <c r="D71" s="60"/>
      <c r="E71" s="60" t="s">
        <v>96</v>
      </c>
      <c r="F71" s="60">
        <f>F69-F70</f>
        <v>75000</v>
      </c>
      <c r="G71" s="60">
        <f>G69-G70</f>
        <v>60000</v>
      </c>
      <c r="H71" s="60">
        <f t="shared" ref="H71:BS71" si="92">H69-H70</f>
        <v>45000</v>
      </c>
      <c r="I71" s="60">
        <f t="shared" si="92"/>
        <v>30000</v>
      </c>
      <c r="J71" s="60">
        <f t="shared" si="92"/>
        <v>15000</v>
      </c>
      <c r="K71" s="60">
        <f t="shared" si="92"/>
        <v>0</v>
      </c>
      <c r="L71" s="60">
        <f t="shared" si="92"/>
        <v>0</v>
      </c>
      <c r="M71" s="60">
        <f t="shared" si="92"/>
        <v>0</v>
      </c>
      <c r="N71" s="60">
        <f t="shared" si="92"/>
        <v>0</v>
      </c>
      <c r="O71" s="60">
        <f t="shared" si="92"/>
        <v>0</v>
      </c>
      <c r="P71" s="60">
        <f t="shared" si="92"/>
        <v>0</v>
      </c>
      <c r="Q71" s="60">
        <f t="shared" si="92"/>
        <v>0</v>
      </c>
      <c r="R71" s="60">
        <f t="shared" si="92"/>
        <v>0</v>
      </c>
      <c r="S71" s="60">
        <f t="shared" si="92"/>
        <v>0</v>
      </c>
      <c r="T71" s="60">
        <f t="shared" si="92"/>
        <v>0</v>
      </c>
      <c r="U71" s="60">
        <f t="shared" si="92"/>
        <v>0</v>
      </c>
      <c r="V71" s="60">
        <f t="shared" si="92"/>
        <v>0</v>
      </c>
      <c r="W71">
        <f t="shared" si="92"/>
        <v>0</v>
      </c>
      <c r="X71">
        <f t="shared" si="92"/>
        <v>0</v>
      </c>
      <c r="Y71">
        <f t="shared" si="92"/>
        <v>0</v>
      </c>
      <c r="Z71">
        <f t="shared" si="92"/>
        <v>0</v>
      </c>
      <c r="AA71">
        <f t="shared" si="92"/>
        <v>0</v>
      </c>
      <c r="AB71">
        <f t="shared" si="92"/>
        <v>0</v>
      </c>
      <c r="AC71">
        <f t="shared" si="92"/>
        <v>0</v>
      </c>
      <c r="AD71">
        <f t="shared" si="92"/>
        <v>0</v>
      </c>
      <c r="AE71">
        <f t="shared" si="92"/>
        <v>0</v>
      </c>
      <c r="AF71">
        <f t="shared" si="92"/>
        <v>0</v>
      </c>
      <c r="AG71">
        <f t="shared" si="92"/>
        <v>0</v>
      </c>
      <c r="AH71">
        <f t="shared" si="92"/>
        <v>0</v>
      </c>
      <c r="AI71">
        <f t="shared" si="92"/>
        <v>0</v>
      </c>
      <c r="AJ71">
        <f t="shared" si="92"/>
        <v>0</v>
      </c>
      <c r="AK71">
        <f t="shared" si="92"/>
        <v>0</v>
      </c>
      <c r="AL71">
        <f t="shared" si="92"/>
        <v>0</v>
      </c>
      <c r="AM71">
        <f t="shared" si="92"/>
        <v>0</v>
      </c>
      <c r="AN71">
        <f t="shared" si="92"/>
        <v>0</v>
      </c>
      <c r="AO71">
        <f t="shared" si="92"/>
        <v>0</v>
      </c>
      <c r="AP71">
        <f t="shared" si="92"/>
        <v>0</v>
      </c>
      <c r="AQ71">
        <f t="shared" si="92"/>
        <v>0</v>
      </c>
      <c r="AR71">
        <f t="shared" si="92"/>
        <v>0</v>
      </c>
      <c r="AS71">
        <f t="shared" si="92"/>
        <v>0</v>
      </c>
      <c r="AT71">
        <f t="shared" si="92"/>
        <v>0</v>
      </c>
      <c r="AU71">
        <f t="shared" si="92"/>
        <v>0</v>
      </c>
      <c r="AV71">
        <f t="shared" si="92"/>
        <v>0</v>
      </c>
      <c r="AW71">
        <f t="shared" si="92"/>
        <v>0</v>
      </c>
      <c r="AX71">
        <f t="shared" si="92"/>
        <v>0</v>
      </c>
      <c r="AY71">
        <f t="shared" si="92"/>
        <v>0</v>
      </c>
      <c r="AZ71">
        <f t="shared" si="92"/>
        <v>0</v>
      </c>
      <c r="BA71">
        <f t="shared" si="92"/>
        <v>0</v>
      </c>
      <c r="BB71">
        <f t="shared" si="92"/>
        <v>0</v>
      </c>
      <c r="BC71">
        <f t="shared" si="92"/>
        <v>0</v>
      </c>
      <c r="BD71">
        <f t="shared" si="92"/>
        <v>0</v>
      </c>
      <c r="BE71">
        <f t="shared" si="92"/>
        <v>0</v>
      </c>
      <c r="BF71">
        <f t="shared" si="92"/>
        <v>0</v>
      </c>
      <c r="BG71">
        <f t="shared" si="92"/>
        <v>0</v>
      </c>
      <c r="BH71">
        <f t="shared" si="92"/>
        <v>0</v>
      </c>
      <c r="BI71">
        <f t="shared" si="92"/>
        <v>0</v>
      </c>
      <c r="BJ71">
        <f t="shared" si="92"/>
        <v>0</v>
      </c>
      <c r="BK71">
        <f t="shared" si="92"/>
        <v>0</v>
      </c>
      <c r="BL71">
        <f t="shared" si="92"/>
        <v>0</v>
      </c>
      <c r="BM71">
        <f t="shared" si="92"/>
        <v>0</v>
      </c>
      <c r="BN71">
        <f t="shared" si="92"/>
        <v>0</v>
      </c>
      <c r="BO71">
        <f t="shared" si="92"/>
        <v>0</v>
      </c>
      <c r="BP71">
        <f t="shared" si="92"/>
        <v>0</v>
      </c>
      <c r="BQ71">
        <f t="shared" si="92"/>
        <v>0</v>
      </c>
      <c r="BR71">
        <f t="shared" si="92"/>
        <v>0</v>
      </c>
      <c r="BS71">
        <f t="shared" si="92"/>
        <v>0</v>
      </c>
      <c r="BT71">
        <f t="shared" ref="BT71:BZ71" si="93">BT69-BT70</f>
        <v>0</v>
      </c>
      <c r="BU71">
        <f t="shared" si="93"/>
        <v>0</v>
      </c>
      <c r="BV71">
        <f t="shared" si="93"/>
        <v>0</v>
      </c>
      <c r="BW71">
        <f t="shared" si="93"/>
        <v>0</v>
      </c>
      <c r="BX71">
        <f t="shared" si="93"/>
        <v>0</v>
      </c>
      <c r="BY71">
        <f t="shared" si="93"/>
        <v>0</v>
      </c>
      <c r="BZ71">
        <f t="shared" si="93"/>
        <v>0</v>
      </c>
    </row>
    <row r="72" spans="1:133" ht="29" x14ac:dyDescent="0.35">
      <c r="A72" s="68" t="s">
        <v>101</v>
      </c>
      <c r="C72" t="s">
        <v>86</v>
      </c>
      <c r="D72" s="6">
        <f>(1-D73)/D75</f>
        <v>0.1</v>
      </c>
      <c r="F72">
        <v>167</v>
      </c>
      <c r="G72">
        <f>F72</f>
        <v>167</v>
      </c>
      <c r="H72">
        <f t="shared" ref="H72:Q72" si="94">G72</f>
        <v>167</v>
      </c>
      <c r="I72">
        <f t="shared" si="94"/>
        <v>167</v>
      </c>
      <c r="J72">
        <f t="shared" si="94"/>
        <v>167</v>
      </c>
      <c r="K72">
        <f t="shared" si="94"/>
        <v>167</v>
      </c>
      <c r="L72">
        <f t="shared" si="94"/>
        <v>167</v>
      </c>
      <c r="M72">
        <f t="shared" si="94"/>
        <v>167</v>
      </c>
      <c r="N72">
        <f t="shared" si="94"/>
        <v>167</v>
      </c>
      <c r="O72">
        <f t="shared" si="94"/>
        <v>167</v>
      </c>
      <c r="P72">
        <f t="shared" si="94"/>
        <v>167</v>
      </c>
      <c r="Q72">
        <f t="shared" si="94"/>
        <v>167</v>
      </c>
      <c r="R72">
        <v>1000</v>
      </c>
      <c r="S72">
        <f>R72</f>
        <v>1000</v>
      </c>
      <c r="T72">
        <v>2000</v>
      </c>
      <c r="U72">
        <f>T72</f>
        <v>2000</v>
      </c>
      <c r="V72">
        <f>U72</f>
        <v>2000</v>
      </c>
    </row>
    <row r="73" spans="1:133" x14ac:dyDescent="0.35">
      <c r="A73" s="60" t="s">
        <v>87</v>
      </c>
      <c r="B73" s="60" t="s">
        <v>100</v>
      </c>
      <c r="C73" s="60" t="s">
        <v>89</v>
      </c>
      <c r="D73" s="60">
        <v>0</v>
      </c>
      <c r="E73" s="60" t="s">
        <v>92</v>
      </c>
      <c r="F73" s="60">
        <v>1</v>
      </c>
      <c r="G73" s="65">
        <v>2</v>
      </c>
      <c r="H73" s="65">
        <v>3</v>
      </c>
      <c r="I73" s="65">
        <v>4</v>
      </c>
      <c r="J73" s="65">
        <v>5</v>
      </c>
      <c r="K73" s="65">
        <v>6</v>
      </c>
      <c r="L73" s="65">
        <v>7</v>
      </c>
      <c r="M73" s="65">
        <v>8</v>
      </c>
      <c r="N73" s="65">
        <v>9</v>
      </c>
      <c r="O73" s="65">
        <v>10</v>
      </c>
      <c r="P73" s="65">
        <v>11</v>
      </c>
      <c r="Q73" s="65">
        <v>12</v>
      </c>
      <c r="R73" s="65">
        <v>13</v>
      </c>
      <c r="S73" s="65">
        <v>14</v>
      </c>
      <c r="T73" s="65">
        <v>15</v>
      </c>
      <c r="U73" s="65">
        <v>16</v>
      </c>
      <c r="V73" s="65">
        <v>17</v>
      </c>
      <c r="W73" s="1">
        <v>18</v>
      </c>
      <c r="X73" s="1">
        <v>19</v>
      </c>
      <c r="Y73" s="1">
        <v>20</v>
      </c>
      <c r="Z73" s="1">
        <v>21</v>
      </c>
      <c r="AA73" s="1">
        <v>22</v>
      </c>
      <c r="AB73" s="1">
        <v>23</v>
      </c>
      <c r="AC73" s="1">
        <v>24</v>
      </c>
      <c r="AD73" s="1">
        <v>25</v>
      </c>
      <c r="AE73" s="1">
        <v>26</v>
      </c>
      <c r="AF73" s="1">
        <v>27</v>
      </c>
      <c r="AG73" s="1">
        <v>28</v>
      </c>
      <c r="AH73" s="1">
        <v>29</v>
      </c>
      <c r="AI73" s="1">
        <v>30</v>
      </c>
      <c r="AJ73" s="1">
        <v>31</v>
      </c>
      <c r="AK73" s="1">
        <v>32</v>
      </c>
      <c r="AL73" s="1">
        <v>33</v>
      </c>
      <c r="AM73" s="1">
        <v>34</v>
      </c>
      <c r="AN73" s="1">
        <v>35</v>
      </c>
      <c r="AO73" s="1">
        <v>36</v>
      </c>
      <c r="AP73" s="1">
        <v>37</v>
      </c>
      <c r="AQ73" s="1">
        <v>38</v>
      </c>
      <c r="AR73" s="1">
        <v>39</v>
      </c>
      <c r="AS73" s="1">
        <v>40</v>
      </c>
      <c r="AT73" s="1">
        <v>41</v>
      </c>
      <c r="AU73" s="1">
        <v>42</v>
      </c>
      <c r="AV73" s="1">
        <v>43</v>
      </c>
      <c r="AW73" s="1">
        <v>44</v>
      </c>
      <c r="AX73" s="1">
        <v>45</v>
      </c>
      <c r="AY73" s="1">
        <v>46</v>
      </c>
      <c r="AZ73" s="1">
        <v>47</v>
      </c>
      <c r="BA73" s="1">
        <v>48</v>
      </c>
      <c r="BB73" s="1">
        <v>49</v>
      </c>
      <c r="BC73" s="1">
        <v>50</v>
      </c>
      <c r="BD73" s="1">
        <v>51</v>
      </c>
      <c r="BE73" s="1">
        <v>52</v>
      </c>
      <c r="BF73" s="1">
        <v>53</v>
      </c>
      <c r="BG73" s="1">
        <v>54</v>
      </c>
      <c r="BH73" s="1">
        <v>55</v>
      </c>
      <c r="BI73" s="1">
        <v>56</v>
      </c>
      <c r="BJ73" s="1">
        <v>57</v>
      </c>
      <c r="BK73" s="1">
        <v>58</v>
      </c>
      <c r="BL73" s="1">
        <v>59</v>
      </c>
      <c r="BM73" s="1">
        <v>60</v>
      </c>
      <c r="BN73" s="1">
        <v>61</v>
      </c>
      <c r="BO73" s="1">
        <v>62</v>
      </c>
      <c r="BP73" s="1">
        <v>63</v>
      </c>
      <c r="BQ73" s="1">
        <v>64</v>
      </c>
      <c r="BR73" s="1">
        <v>65</v>
      </c>
      <c r="BS73" s="1">
        <v>66</v>
      </c>
      <c r="BT73" s="1">
        <v>67</v>
      </c>
      <c r="BU73" s="1">
        <v>68</v>
      </c>
      <c r="BV73" s="1">
        <v>69</v>
      </c>
      <c r="BW73" s="1">
        <v>70</v>
      </c>
      <c r="BX73" s="1">
        <v>71</v>
      </c>
      <c r="BY73" s="1">
        <v>72</v>
      </c>
      <c r="BZ73" s="1">
        <v>73</v>
      </c>
      <c r="CA73" s="1">
        <v>74</v>
      </c>
      <c r="CB73" s="1">
        <v>75</v>
      </c>
      <c r="CC73" s="1">
        <v>76</v>
      </c>
      <c r="CD73" s="1">
        <v>77</v>
      </c>
      <c r="CE73" s="1">
        <v>78</v>
      </c>
      <c r="CF73" s="1">
        <v>79</v>
      </c>
      <c r="CG73" s="1">
        <v>80</v>
      </c>
      <c r="CH73" s="1">
        <v>81</v>
      </c>
      <c r="CI73" s="1">
        <v>82</v>
      </c>
      <c r="CJ73" s="1">
        <v>83</v>
      </c>
      <c r="CK73" s="1">
        <v>84</v>
      </c>
      <c r="CL73" s="1">
        <v>85</v>
      </c>
      <c r="CM73" s="1">
        <v>86</v>
      </c>
      <c r="CN73" s="1">
        <v>87</v>
      </c>
      <c r="CO73" s="1">
        <v>88</v>
      </c>
      <c r="CP73" s="1">
        <v>89</v>
      </c>
      <c r="CQ73" s="1">
        <v>90</v>
      </c>
      <c r="CR73" s="1">
        <v>91</v>
      </c>
      <c r="CS73" s="1">
        <v>92</v>
      </c>
      <c r="CT73" s="1">
        <v>93</v>
      </c>
      <c r="CU73" s="1">
        <v>94</v>
      </c>
      <c r="CV73" s="1">
        <v>95</v>
      </c>
      <c r="CW73" s="1">
        <v>96</v>
      </c>
      <c r="CX73" s="1">
        <v>97</v>
      </c>
      <c r="CY73" s="1">
        <v>98</v>
      </c>
      <c r="CZ73" s="1">
        <v>99</v>
      </c>
      <c r="DA73" s="1">
        <v>100</v>
      </c>
      <c r="DB73" s="1">
        <v>101</v>
      </c>
      <c r="DC73" s="1">
        <v>102</v>
      </c>
      <c r="DD73" s="1">
        <v>103</v>
      </c>
      <c r="DE73" s="1">
        <v>104</v>
      </c>
      <c r="DF73" s="1">
        <v>105</v>
      </c>
      <c r="DG73" s="1">
        <v>106</v>
      </c>
      <c r="DH73" s="1">
        <v>107</v>
      </c>
      <c r="DI73" s="1">
        <v>108</v>
      </c>
      <c r="DJ73" s="1">
        <v>109</v>
      </c>
      <c r="DK73" s="1">
        <v>110</v>
      </c>
      <c r="DL73" s="1">
        <v>111</v>
      </c>
      <c r="DM73" s="1">
        <v>112</v>
      </c>
      <c r="DN73" s="1">
        <v>113</v>
      </c>
      <c r="DO73" s="1">
        <v>114</v>
      </c>
      <c r="DP73" s="1">
        <v>115</v>
      </c>
      <c r="DQ73" s="1">
        <v>116</v>
      </c>
      <c r="DR73" s="1">
        <v>117</v>
      </c>
      <c r="DS73" s="1">
        <v>118</v>
      </c>
      <c r="DT73" s="1">
        <v>119</v>
      </c>
      <c r="DU73" s="1">
        <v>120</v>
      </c>
      <c r="DV73" s="1">
        <v>121</v>
      </c>
      <c r="DW73" s="1"/>
      <c r="DX73" s="1"/>
      <c r="DY73" s="1"/>
      <c r="DZ73" s="1"/>
      <c r="EA73" s="1"/>
      <c r="EB73" s="1"/>
      <c r="EC73" s="1"/>
    </row>
    <row r="74" spans="1:133" x14ac:dyDescent="0.35">
      <c r="A74" s="65" t="s">
        <v>93</v>
      </c>
      <c r="B74" s="60">
        <v>20000</v>
      </c>
      <c r="C74" s="60" t="s">
        <v>88</v>
      </c>
      <c r="D74" s="60">
        <v>10</v>
      </c>
      <c r="E74" s="60" t="s">
        <v>91</v>
      </c>
      <c r="F74" s="60">
        <f>IF(F73&lt;=$D$75,1,0)</f>
        <v>1</v>
      </c>
      <c r="G74" s="60">
        <f>IF(G73&lt;=$D$75,1,0)</f>
        <v>1</v>
      </c>
      <c r="H74" s="60">
        <f t="shared" ref="H74:BS74" si="95">IF(H73&lt;=$D$75,1,0)</f>
        <v>1</v>
      </c>
      <c r="I74" s="60">
        <f t="shared" si="95"/>
        <v>1</v>
      </c>
      <c r="J74" s="60">
        <f t="shared" si="95"/>
        <v>1</v>
      </c>
      <c r="K74" s="60">
        <f t="shared" si="95"/>
        <v>1</v>
      </c>
      <c r="L74" s="60">
        <f t="shared" si="95"/>
        <v>1</v>
      </c>
      <c r="M74" s="60">
        <f t="shared" si="95"/>
        <v>1</v>
      </c>
      <c r="N74" s="60">
        <f t="shared" si="95"/>
        <v>1</v>
      </c>
      <c r="O74" s="60">
        <f t="shared" si="95"/>
        <v>1</v>
      </c>
      <c r="P74" s="60">
        <f t="shared" si="95"/>
        <v>0</v>
      </c>
      <c r="Q74" s="60">
        <f t="shared" si="95"/>
        <v>0</v>
      </c>
      <c r="R74" s="60">
        <f t="shared" si="95"/>
        <v>0</v>
      </c>
      <c r="S74" s="60">
        <f t="shared" si="95"/>
        <v>0</v>
      </c>
      <c r="T74" s="60">
        <f t="shared" si="95"/>
        <v>0</v>
      </c>
      <c r="U74" s="60">
        <f t="shared" si="95"/>
        <v>0</v>
      </c>
      <c r="V74" s="60">
        <f t="shared" si="95"/>
        <v>0</v>
      </c>
      <c r="W74">
        <f t="shared" si="95"/>
        <v>0</v>
      </c>
      <c r="X74">
        <f t="shared" si="95"/>
        <v>0</v>
      </c>
      <c r="Y74">
        <f t="shared" si="95"/>
        <v>0</v>
      </c>
      <c r="Z74">
        <f t="shared" si="95"/>
        <v>0</v>
      </c>
      <c r="AA74">
        <f t="shared" si="95"/>
        <v>0</v>
      </c>
      <c r="AB74">
        <f t="shared" si="95"/>
        <v>0</v>
      </c>
      <c r="AC74">
        <f t="shared" si="95"/>
        <v>0</v>
      </c>
      <c r="AD74">
        <f t="shared" si="95"/>
        <v>0</v>
      </c>
      <c r="AE74">
        <f t="shared" si="95"/>
        <v>0</v>
      </c>
      <c r="AF74">
        <f t="shared" si="95"/>
        <v>0</v>
      </c>
      <c r="AG74">
        <f t="shared" si="95"/>
        <v>0</v>
      </c>
      <c r="AH74">
        <f t="shared" si="95"/>
        <v>0</v>
      </c>
      <c r="AI74">
        <f t="shared" si="95"/>
        <v>0</v>
      </c>
      <c r="AJ74">
        <f t="shared" si="95"/>
        <v>0</v>
      </c>
      <c r="AK74">
        <f t="shared" si="95"/>
        <v>0</v>
      </c>
      <c r="AL74">
        <f t="shared" si="95"/>
        <v>0</v>
      </c>
      <c r="AM74">
        <f t="shared" si="95"/>
        <v>0</v>
      </c>
      <c r="AN74">
        <f t="shared" si="95"/>
        <v>0</v>
      </c>
      <c r="AO74">
        <f t="shared" si="95"/>
        <v>0</v>
      </c>
      <c r="AP74">
        <f t="shared" si="95"/>
        <v>0</v>
      </c>
      <c r="AQ74">
        <f t="shared" si="95"/>
        <v>0</v>
      </c>
      <c r="AR74">
        <f t="shared" si="95"/>
        <v>0</v>
      </c>
      <c r="AS74">
        <f t="shared" si="95"/>
        <v>0</v>
      </c>
      <c r="AT74">
        <f t="shared" si="95"/>
        <v>0</v>
      </c>
      <c r="AU74">
        <f t="shared" si="95"/>
        <v>0</v>
      </c>
      <c r="AV74">
        <f t="shared" si="95"/>
        <v>0</v>
      </c>
      <c r="AW74">
        <f t="shared" si="95"/>
        <v>0</v>
      </c>
      <c r="AX74">
        <f t="shared" si="95"/>
        <v>0</v>
      </c>
      <c r="AY74">
        <f t="shared" si="95"/>
        <v>0</v>
      </c>
      <c r="AZ74">
        <f t="shared" si="95"/>
        <v>0</v>
      </c>
      <c r="BA74">
        <f t="shared" si="95"/>
        <v>0</v>
      </c>
      <c r="BB74">
        <f t="shared" si="95"/>
        <v>0</v>
      </c>
      <c r="BC74">
        <f t="shared" si="95"/>
        <v>0</v>
      </c>
      <c r="BD74">
        <f t="shared" si="95"/>
        <v>0</v>
      </c>
      <c r="BE74">
        <f t="shared" si="95"/>
        <v>0</v>
      </c>
      <c r="BF74">
        <f t="shared" si="95"/>
        <v>0</v>
      </c>
      <c r="BG74">
        <f t="shared" si="95"/>
        <v>0</v>
      </c>
      <c r="BH74">
        <f t="shared" si="95"/>
        <v>0</v>
      </c>
      <c r="BI74">
        <f t="shared" si="95"/>
        <v>0</v>
      </c>
      <c r="BJ74">
        <f t="shared" si="95"/>
        <v>0</v>
      </c>
      <c r="BK74">
        <f t="shared" si="95"/>
        <v>0</v>
      </c>
      <c r="BL74">
        <f t="shared" si="95"/>
        <v>0</v>
      </c>
      <c r="BM74">
        <f t="shared" si="95"/>
        <v>0</v>
      </c>
      <c r="BN74">
        <f t="shared" si="95"/>
        <v>0</v>
      </c>
      <c r="BO74">
        <f t="shared" si="95"/>
        <v>0</v>
      </c>
      <c r="BP74">
        <f t="shared" si="95"/>
        <v>0</v>
      </c>
      <c r="BQ74">
        <f t="shared" si="95"/>
        <v>0</v>
      </c>
      <c r="BR74">
        <f t="shared" si="95"/>
        <v>0</v>
      </c>
      <c r="BS74">
        <f t="shared" si="95"/>
        <v>0</v>
      </c>
      <c r="BT74">
        <f t="shared" ref="BT74:DV74" si="96">IF(BT73&lt;=$D$75,1,0)</f>
        <v>0</v>
      </c>
      <c r="BU74">
        <f t="shared" si="96"/>
        <v>0</v>
      </c>
      <c r="BV74">
        <f t="shared" si="96"/>
        <v>0</v>
      </c>
      <c r="BW74">
        <f t="shared" si="96"/>
        <v>0</v>
      </c>
      <c r="BX74">
        <f t="shared" si="96"/>
        <v>0</v>
      </c>
      <c r="BY74">
        <f t="shared" si="96"/>
        <v>0</v>
      </c>
      <c r="BZ74">
        <f t="shared" si="96"/>
        <v>0</v>
      </c>
      <c r="CA74">
        <f t="shared" si="96"/>
        <v>0</v>
      </c>
      <c r="CB74">
        <f t="shared" si="96"/>
        <v>0</v>
      </c>
      <c r="CC74">
        <f t="shared" si="96"/>
        <v>0</v>
      </c>
      <c r="CD74">
        <f t="shared" si="96"/>
        <v>0</v>
      </c>
      <c r="CE74">
        <f t="shared" si="96"/>
        <v>0</v>
      </c>
      <c r="CF74">
        <f t="shared" si="96"/>
        <v>0</v>
      </c>
      <c r="CG74">
        <f t="shared" si="96"/>
        <v>0</v>
      </c>
      <c r="CH74">
        <f t="shared" si="96"/>
        <v>0</v>
      </c>
      <c r="CI74">
        <f t="shared" si="96"/>
        <v>0</v>
      </c>
      <c r="CJ74">
        <f t="shared" si="96"/>
        <v>0</v>
      </c>
      <c r="CK74">
        <f t="shared" si="96"/>
        <v>0</v>
      </c>
      <c r="CL74">
        <f t="shared" si="96"/>
        <v>0</v>
      </c>
      <c r="CM74">
        <f t="shared" si="96"/>
        <v>0</v>
      </c>
      <c r="CN74">
        <f t="shared" si="96"/>
        <v>0</v>
      </c>
      <c r="CO74">
        <f t="shared" si="96"/>
        <v>0</v>
      </c>
      <c r="CP74">
        <f t="shared" si="96"/>
        <v>0</v>
      </c>
      <c r="CQ74">
        <f t="shared" si="96"/>
        <v>0</v>
      </c>
      <c r="CR74">
        <f t="shared" si="96"/>
        <v>0</v>
      </c>
      <c r="CS74">
        <f t="shared" si="96"/>
        <v>0</v>
      </c>
      <c r="CT74">
        <f t="shared" si="96"/>
        <v>0</v>
      </c>
      <c r="CU74">
        <f t="shared" si="96"/>
        <v>0</v>
      </c>
      <c r="CV74">
        <f t="shared" si="96"/>
        <v>0</v>
      </c>
      <c r="CW74">
        <f t="shared" si="96"/>
        <v>0</v>
      </c>
      <c r="CX74">
        <f t="shared" si="96"/>
        <v>0</v>
      </c>
      <c r="CY74">
        <f t="shared" si="96"/>
        <v>0</v>
      </c>
      <c r="CZ74">
        <f t="shared" si="96"/>
        <v>0</v>
      </c>
      <c r="DA74">
        <f t="shared" si="96"/>
        <v>0</v>
      </c>
      <c r="DB74">
        <f t="shared" si="96"/>
        <v>0</v>
      </c>
      <c r="DC74">
        <f t="shared" si="96"/>
        <v>0</v>
      </c>
      <c r="DD74">
        <f t="shared" si="96"/>
        <v>0</v>
      </c>
      <c r="DE74">
        <f t="shared" si="96"/>
        <v>0</v>
      </c>
      <c r="DF74">
        <f t="shared" si="96"/>
        <v>0</v>
      </c>
      <c r="DG74">
        <f t="shared" si="96"/>
        <v>0</v>
      </c>
      <c r="DH74">
        <f t="shared" si="96"/>
        <v>0</v>
      </c>
      <c r="DI74">
        <f t="shared" si="96"/>
        <v>0</v>
      </c>
      <c r="DJ74">
        <f t="shared" si="96"/>
        <v>0</v>
      </c>
      <c r="DK74">
        <f t="shared" si="96"/>
        <v>0</v>
      </c>
      <c r="DL74">
        <f t="shared" si="96"/>
        <v>0</v>
      </c>
      <c r="DM74">
        <f t="shared" si="96"/>
        <v>0</v>
      </c>
      <c r="DN74">
        <f t="shared" si="96"/>
        <v>0</v>
      </c>
      <c r="DO74">
        <f t="shared" si="96"/>
        <v>0</v>
      </c>
      <c r="DP74">
        <f t="shared" si="96"/>
        <v>0</v>
      </c>
      <c r="DQ74">
        <f t="shared" si="96"/>
        <v>0</v>
      </c>
      <c r="DR74">
        <f t="shared" si="96"/>
        <v>0</v>
      </c>
      <c r="DS74">
        <f t="shared" si="96"/>
        <v>0</v>
      </c>
      <c r="DT74">
        <f t="shared" si="96"/>
        <v>0</v>
      </c>
      <c r="DU74">
        <f t="shared" si="96"/>
        <v>0</v>
      </c>
      <c r="DV74">
        <f t="shared" si="96"/>
        <v>0</v>
      </c>
    </row>
    <row r="75" spans="1:133" x14ac:dyDescent="0.35">
      <c r="C75" s="60" t="s">
        <v>90</v>
      </c>
      <c r="D75" s="60">
        <f>D74*D76</f>
        <v>10</v>
      </c>
      <c r="E75" s="60" t="s">
        <v>94</v>
      </c>
      <c r="F75" s="60">
        <f>B74</f>
        <v>20000</v>
      </c>
      <c r="G75" s="60">
        <f>F77</f>
        <v>18000</v>
      </c>
      <c r="H75" s="60">
        <f t="shared" ref="H75:BS75" si="97">G77</f>
        <v>16000</v>
      </c>
      <c r="I75" s="60">
        <f t="shared" si="97"/>
        <v>14000</v>
      </c>
      <c r="J75" s="60">
        <f t="shared" si="97"/>
        <v>12000</v>
      </c>
      <c r="K75" s="60">
        <f t="shared" si="97"/>
        <v>10000</v>
      </c>
      <c r="L75" s="60">
        <f t="shared" si="97"/>
        <v>8000</v>
      </c>
      <c r="M75" s="60">
        <f t="shared" si="97"/>
        <v>6000</v>
      </c>
      <c r="N75" s="60">
        <f t="shared" si="97"/>
        <v>4000</v>
      </c>
      <c r="O75" s="60">
        <f t="shared" si="97"/>
        <v>2000</v>
      </c>
      <c r="P75" s="60">
        <f t="shared" si="97"/>
        <v>0</v>
      </c>
      <c r="Q75" s="60">
        <f t="shared" si="97"/>
        <v>0</v>
      </c>
      <c r="R75" s="60">
        <f t="shared" si="97"/>
        <v>0</v>
      </c>
      <c r="S75" s="60">
        <f t="shared" si="97"/>
        <v>0</v>
      </c>
      <c r="T75" s="60">
        <f t="shared" si="97"/>
        <v>0</v>
      </c>
      <c r="U75" s="60">
        <f t="shared" si="97"/>
        <v>0</v>
      </c>
      <c r="V75" s="60">
        <f t="shared" si="97"/>
        <v>0</v>
      </c>
      <c r="W75">
        <f t="shared" si="97"/>
        <v>0</v>
      </c>
      <c r="X75">
        <f t="shared" si="97"/>
        <v>0</v>
      </c>
      <c r="Y75">
        <f t="shared" si="97"/>
        <v>0</v>
      </c>
      <c r="Z75">
        <f t="shared" si="97"/>
        <v>0</v>
      </c>
      <c r="AA75">
        <f t="shared" si="97"/>
        <v>0</v>
      </c>
      <c r="AB75">
        <f t="shared" si="97"/>
        <v>0</v>
      </c>
      <c r="AC75">
        <f t="shared" si="97"/>
        <v>0</v>
      </c>
      <c r="AD75">
        <f t="shared" si="97"/>
        <v>0</v>
      </c>
      <c r="AE75">
        <f t="shared" si="97"/>
        <v>0</v>
      </c>
      <c r="AF75">
        <f t="shared" si="97"/>
        <v>0</v>
      </c>
      <c r="AG75">
        <f t="shared" si="97"/>
        <v>0</v>
      </c>
      <c r="AH75">
        <f t="shared" si="97"/>
        <v>0</v>
      </c>
      <c r="AI75">
        <f t="shared" si="97"/>
        <v>0</v>
      </c>
      <c r="AJ75">
        <f t="shared" si="97"/>
        <v>0</v>
      </c>
      <c r="AK75">
        <f t="shared" si="97"/>
        <v>0</v>
      </c>
      <c r="AL75">
        <f t="shared" si="97"/>
        <v>0</v>
      </c>
      <c r="AM75">
        <f t="shared" si="97"/>
        <v>0</v>
      </c>
      <c r="AN75">
        <f t="shared" si="97"/>
        <v>0</v>
      </c>
      <c r="AO75">
        <f t="shared" si="97"/>
        <v>0</v>
      </c>
      <c r="AP75">
        <f t="shared" si="97"/>
        <v>0</v>
      </c>
      <c r="AQ75">
        <f t="shared" si="97"/>
        <v>0</v>
      </c>
      <c r="AR75">
        <f t="shared" si="97"/>
        <v>0</v>
      </c>
      <c r="AS75">
        <f t="shared" si="97"/>
        <v>0</v>
      </c>
      <c r="AT75">
        <f t="shared" si="97"/>
        <v>0</v>
      </c>
      <c r="AU75">
        <f t="shared" si="97"/>
        <v>0</v>
      </c>
      <c r="AV75">
        <f t="shared" si="97"/>
        <v>0</v>
      </c>
      <c r="AW75">
        <f t="shared" si="97"/>
        <v>0</v>
      </c>
      <c r="AX75">
        <f t="shared" si="97"/>
        <v>0</v>
      </c>
      <c r="AY75">
        <f t="shared" si="97"/>
        <v>0</v>
      </c>
      <c r="AZ75">
        <f t="shared" si="97"/>
        <v>0</v>
      </c>
      <c r="BA75">
        <f t="shared" si="97"/>
        <v>0</v>
      </c>
      <c r="BB75">
        <f t="shared" si="97"/>
        <v>0</v>
      </c>
      <c r="BC75">
        <f t="shared" si="97"/>
        <v>0</v>
      </c>
      <c r="BD75">
        <f t="shared" si="97"/>
        <v>0</v>
      </c>
      <c r="BE75">
        <f t="shared" si="97"/>
        <v>0</v>
      </c>
      <c r="BF75">
        <f t="shared" si="97"/>
        <v>0</v>
      </c>
      <c r="BG75">
        <f t="shared" si="97"/>
        <v>0</v>
      </c>
      <c r="BH75">
        <f t="shared" si="97"/>
        <v>0</v>
      </c>
      <c r="BI75">
        <f t="shared" si="97"/>
        <v>0</v>
      </c>
      <c r="BJ75">
        <f t="shared" si="97"/>
        <v>0</v>
      </c>
      <c r="BK75">
        <f t="shared" si="97"/>
        <v>0</v>
      </c>
      <c r="BL75">
        <f t="shared" si="97"/>
        <v>0</v>
      </c>
      <c r="BM75">
        <f t="shared" si="97"/>
        <v>0</v>
      </c>
      <c r="BN75">
        <f t="shared" si="97"/>
        <v>0</v>
      </c>
      <c r="BO75">
        <f t="shared" si="97"/>
        <v>0</v>
      </c>
      <c r="BP75">
        <f t="shared" si="97"/>
        <v>0</v>
      </c>
      <c r="BQ75">
        <f t="shared" si="97"/>
        <v>0</v>
      </c>
      <c r="BR75">
        <f t="shared" si="97"/>
        <v>0</v>
      </c>
      <c r="BS75">
        <f t="shared" si="97"/>
        <v>0</v>
      </c>
      <c r="BT75">
        <f t="shared" ref="BT75:DV75" si="98">BS77</f>
        <v>0</v>
      </c>
      <c r="BU75">
        <f t="shared" si="98"/>
        <v>0</v>
      </c>
      <c r="BV75">
        <f t="shared" si="98"/>
        <v>0</v>
      </c>
      <c r="BW75">
        <f t="shared" si="98"/>
        <v>0</v>
      </c>
      <c r="BX75">
        <f t="shared" si="98"/>
        <v>0</v>
      </c>
      <c r="BY75">
        <f t="shared" si="98"/>
        <v>0</v>
      </c>
      <c r="BZ75">
        <f t="shared" si="98"/>
        <v>0</v>
      </c>
      <c r="CA75">
        <f t="shared" si="98"/>
        <v>0</v>
      </c>
      <c r="CB75">
        <f t="shared" si="98"/>
        <v>0</v>
      </c>
      <c r="CC75">
        <f t="shared" si="98"/>
        <v>0</v>
      </c>
      <c r="CD75">
        <f t="shared" si="98"/>
        <v>0</v>
      </c>
      <c r="CE75">
        <f t="shared" si="98"/>
        <v>0</v>
      </c>
      <c r="CF75">
        <f t="shared" si="98"/>
        <v>0</v>
      </c>
      <c r="CG75">
        <f t="shared" si="98"/>
        <v>0</v>
      </c>
      <c r="CH75">
        <f t="shared" si="98"/>
        <v>0</v>
      </c>
      <c r="CI75">
        <f t="shared" si="98"/>
        <v>0</v>
      </c>
      <c r="CJ75">
        <f t="shared" si="98"/>
        <v>0</v>
      </c>
      <c r="CK75">
        <f t="shared" si="98"/>
        <v>0</v>
      </c>
      <c r="CL75">
        <f t="shared" si="98"/>
        <v>0</v>
      </c>
      <c r="CM75">
        <f t="shared" si="98"/>
        <v>0</v>
      </c>
      <c r="CN75">
        <f t="shared" si="98"/>
        <v>0</v>
      </c>
      <c r="CO75">
        <f t="shared" si="98"/>
        <v>0</v>
      </c>
      <c r="CP75">
        <f t="shared" si="98"/>
        <v>0</v>
      </c>
      <c r="CQ75">
        <f t="shared" si="98"/>
        <v>0</v>
      </c>
      <c r="CR75">
        <f t="shared" si="98"/>
        <v>0</v>
      </c>
      <c r="CS75">
        <f t="shared" si="98"/>
        <v>0</v>
      </c>
      <c r="CT75">
        <f t="shared" si="98"/>
        <v>0</v>
      </c>
      <c r="CU75">
        <f t="shared" si="98"/>
        <v>0</v>
      </c>
      <c r="CV75">
        <f t="shared" si="98"/>
        <v>0</v>
      </c>
      <c r="CW75">
        <f t="shared" si="98"/>
        <v>0</v>
      </c>
      <c r="CX75">
        <f t="shared" si="98"/>
        <v>0</v>
      </c>
      <c r="CY75">
        <f t="shared" si="98"/>
        <v>0</v>
      </c>
      <c r="CZ75">
        <f t="shared" si="98"/>
        <v>0</v>
      </c>
      <c r="DA75">
        <f t="shared" si="98"/>
        <v>0</v>
      </c>
      <c r="DB75">
        <f t="shared" si="98"/>
        <v>0</v>
      </c>
      <c r="DC75">
        <f t="shared" si="98"/>
        <v>0</v>
      </c>
      <c r="DD75">
        <f t="shared" si="98"/>
        <v>0</v>
      </c>
      <c r="DE75">
        <f t="shared" si="98"/>
        <v>0</v>
      </c>
      <c r="DF75">
        <f t="shared" si="98"/>
        <v>0</v>
      </c>
      <c r="DG75">
        <f t="shared" si="98"/>
        <v>0</v>
      </c>
      <c r="DH75">
        <f t="shared" si="98"/>
        <v>0</v>
      </c>
      <c r="DI75">
        <f t="shared" si="98"/>
        <v>0</v>
      </c>
      <c r="DJ75">
        <f t="shared" si="98"/>
        <v>0</v>
      </c>
      <c r="DK75">
        <f t="shared" si="98"/>
        <v>0</v>
      </c>
      <c r="DL75">
        <f t="shared" si="98"/>
        <v>0</v>
      </c>
      <c r="DM75">
        <f t="shared" si="98"/>
        <v>0</v>
      </c>
      <c r="DN75">
        <f t="shared" si="98"/>
        <v>0</v>
      </c>
      <c r="DO75">
        <f t="shared" si="98"/>
        <v>0</v>
      </c>
      <c r="DP75">
        <f t="shared" si="98"/>
        <v>0</v>
      </c>
      <c r="DQ75">
        <f t="shared" si="98"/>
        <v>0</v>
      </c>
      <c r="DR75">
        <f t="shared" si="98"/>
        <v>0</v>
      </c>
      <c r="DS75">
        <f t="shared" si="98"/>
        <v>0</v>
      </c>
      <c r="DT75">
        <f t="shared" si="98"/>
        <v>0</v>
      </c>
      <c r="DU75">
        <f t="shared" si="98"/>
        <v>0</v>
      </c>
      <c r="DV75">
        <f t="shared" si="98"/>
        <v>0</v>
      </c>
    </row>
    <row r="76" spans="1:133" x14ac:dyDescent="0.35">
      <c r="C76" s="60" t="s">
        <v>179</v>
      </c>
      <c r="D76" s="60">
        <f>VLOOKUP(C76,A109:B112,2,FALSE)</f>
        <v>1</v>
      </c>
      <c r="E76" s="60" t="s">
        <v>95</v>
      </c>
      <c r="F76" s="60">
        <f>ROUND($D$72*$F$75*F74,0)</f>
        <v>2000</v>
      </c>
      <c r="G76" s="60">
        <f t="shared" ref="G76:BR76" si="99">ROUND($D$72*$F$75*G74,0)</f>
        <v>2000</v>
      </c>
      <c r="H76" s="60">
        <f t="shared" si="99"/>
        <v>2000</v>
      </c>
      <c r="I76" s="60">
        <f t="shared" si="99"/>
        <v>2000</v>
      </c>
      <c r="J76" s="60">
        <f t="shared" si="99"/>
        <v>2000</v>
      </c>
      <c r="K76" s="60">
        <f t="shared" si="99"/>
        <v>2000</v>
      </c>
      <c r="L76" s="60">
        <f t="shared" si="99"/>
        <v>2000</v>
      </c>
      <c r="M76" s="60">
        <f t="shared" si="99"/>
        <v>2000</v>
      </c>
      <c r="N76" s="60">
        <f t="shared" si="99"/>
        <v>2000</v>
      </c>
      <c r="O76" s="60">
        <f t="shared" si="99"/>
        <v>2000</v>
      </c>
      <c r="P76" s="60">
        <f t="shared" si="99"/>
        <v>0</v>
      </c>
      <c r="Q76" s="60">
        <f t="shared" si="99"/>
        <v>0</v>
      </c>
      <c r="R76" s="60">
        <f t="shared" si="99"/>
        <v>0</v>
      </c>
      <c r="S76" s="60">
        <f t="shared" si="99"/>
        <v>0</v>
      </c>
      <c r="T76" s="60">
        <f t="shared" si="99"/>
        <v>0</v>
      </c>
      <c r="U76" s="60">
        <f t="shared" si="99"/>
        <v>0</v>
      </c>
      <c r="V76" s="60">
        <f t="shared" si="99"/>
        <v>0</v>
      </c>
      <c r="W76">
        <f t="shared" si="99"/>
        <v>0</v>
      </c>
      <c r="X76">
        <f t="shared" si="99"/>
        <v>0</v>
      </c>
      <c r="Y76">
        <f t="shared" si="99"/>
        <v>0</v>
      </c>
      <c r="Z76">
        <f t="shared" si="99"/>
        <v>0</v>
      </c>
      <c r="AA76">
        <f t="shared" si="99"/>
        <v>0</v>
      </c>
      <c r="AB76">
        <f t="shared" si="99"/>
        <v>0</v>
      </c>
      <c r="AC76">
        <f t="shared" si="99"/>
        <v>0</v>
      </c>
      <c r="AD76">
        <f t="shared" si="99"/>
        <v>0</v>
      </c>
      <c r="AE76">
        <f t="shared" si="99"/>
        <v>0</v>
      </c>
      <c r="AF76">
        <f t="shared" si="99"/>
        <v>0</v>
      </c>
      <c r="AG76">
        <f t="shared" si="99"/>
        <v>0</v>
      </c>
      <c r="AH76">
        <f t="shared" si="99"/>
        <v>0</v>
      </c>
      <c r="AI76">
        <f t="shared" si="99"/>
        <v>0</v>
      </c>
      <c r="AJ76">
        <f t="shared" si="99"/>
        <v>0</v>
      </c>
      <c r="AK76">
        <f t="shared" si="99"/>
        <v>0</v>
      </c>
      <c r="AL76">
        <f t="shared" si="99"/>
        <v>0</v>
      </c>
      <c r="AM76">
        <f t="shared" si="99"/>
        <v>0</v>
      </c>
      <c r="AN76">
        <f t="shared" si="99"/>
        <v>0</v>
      </c>
      <c r="AO76">
        <f t="shared" si="99"/>
        <v>0</v>
      </c>
      <c r="AP76">
        <f t="shared" si="99"/>
        <v>0</v>
      </c>
      <c r="AQ76">
        <f t="shared" si="99"/>
        <v>0</v>
      </c>
      <c r="AR76">
        <f t="shared" si="99"/>
        <v>0</v>
      </c>
      <c r="AS76">
        <f t="shared" si="99"/>
        <v>0</v>
      </c>
      <c r="AT76">
        <f t="shared" si="99"/>
        <v>0</v>
      </c>
      <c r="AU76">
        <f t="shared" si="99"/>
        <v>0</v>
      </c>
      <c r="AV76">
        <f t="shared" si="99"/>
        <v>0</v>
      </c>
      <c r="AW76">
        <f t="shared" si="99"/>
        <v>0</v>
      </c>
      <c r="AX76">
        <f t="shared" si="99"/>
        <v>0</v>
      </c>
      <c r="AY76">
        <f t="shared" si="99"/>
        <v>0</v>
      </c>
      <c r="AZ76">
        <f t="shared" si="99"/>
        <v>0</v>
      </c>
      <c r="BA76">
        <f t="shared" si="99"/>
        <v>0</v>
      </c>
      <c r="BB76">
        <f t="shared" si="99"/>
        <v>0</v>
      </c>
      <c r="BC76">
        <f t="shared" si="99"/>
        <v>0</v>
      </c>
      <c r="BD76">
        <f t="shared" si="99"/>
        <v>0</v>
      </c>
      <c r="BE76">
        <f t="shared" si="99"/>
        <v>0</v>
      </c>
      <c r="BF76">
        <f t="shared" si="99"/>
        <v>0</v>
      </c>
      <c r="BG76">
        <f t="shared" si="99"/>
        <v>0</v>
      </c>
      <c r="BH76">
        <f t="shared" si="99"/>
        <v>0</v>
      </c>
      <c r="BI76">
        <f t="shared" si="99"/>
        <v>0</v>
      </c>
      <c r="BJ76">
        <f t="shared" si="99"/>
        <v>0</v>
      </c>
      <c r="BK76">
        <f t="shared" si="99"/>
        <v>0</v>
      </c>
      <c r="BL76">
        <f t="shared" si="99"/>
        <v>0</v>
      </c>
      <c r="BM76">
        <f t="shared" si="99"/>
        <v>0</v>
      </c>
      <c r="BN76">
        <f t="shared" si="99"/>
        <v>0</v>
      </c>
      <c r="BO76">
        <f t="shared" si="99"/>
        <v>0</v>
      </c>
      <c r="BP76">
        <f t="shared" si="99"/>
        <v>0</v>
      </c>
      <c r="BQ76">
        <f t="shared" si="99"/>
        <v>0</v>
      </c>
      <c r="BR76">
        <f t="shared" si="99"/>
        <v>0</v>
      </c>
      <c r="BS76">
        <f t="shared" ref="BS76:DV76" si="100">ROUND($D$72*$F$75*BS74,0)</f>
        <v>0</v>
      </c>
      <c r="BT76">
        <f t="shared" si="100"/>
        <v>0</v>
      </c>
      <c r="BU76">
        <f t="shared" si="100"/>
        <v>0</v>
      </c>
      <c r="BV76">
        <f t="shared" si="100"/>
        <v>0</v>
      </c>
      <c r="BW76">
        <f t="shared" si="100"/>
        <v>0</v>
      </c>
      <c r="BX76">
        <f t="shared" si="100"/>
        <v>0</v>
      </c>
      <c r="BY76">
        <f t="shared" si="100"/>
        <v>0</v>
      </c>
      <c r="BZ76">
        <f t="shared" si="100"/>
        <v>0</v>
      </c>
      <c r="CA76">
        <f t="shared" si="100"/>
        <v>0</v>
      </c>
      <c r="CB76">
        <f t="shared" si="100"/>
        <v>0</v>
      </c>
      <c r="CC76">
        <f t="shared" si="100"/>
        <v>0</v>
      </c>
      <c r="CD76">
        <f t="shared" si="100"/>
        <v>0</v>
      </c>
      <c r="CE76">
        <f t="shared" si="100"/>
        <v>0</v>
      </c>
      <c r="CF76">
        <f t="shared" si="100"/>
        <v>0</v>
      </c>
      <c r="CG76">
        <f t="shared" si="100"/>
        <v>0</v>
      </c>
      <c r="CH76">
        <f t="shared" si="100"/>
        <v>0</v>
      </c>
      <c r="CI76">
        <f t="shared" si="100"/>
        <v>0</v>
      </c>
      <c r="CJ76">
        <f t="shared" si="100"/>
        <v>0</v>
      </c>
      <c r="CK76">
        <f t="shared" si="100"/>
        <v>0</v>
      </c>
      <c r="CL76">
        <f t="shared" si="100"/>
        <v>0</v>
      </c>
      <c r="CM76">
        <f t="shared" si="100"/>
        <v>0</v>
      </c>
      <c r="CN76">
        <f t="shared" si="100"/>
        <v>0</v>
      </c>
      <c r="CO76">
        <f t="shared" si="100"/>
        <v>0</v>
      </c>
      <c r="CP76">
        <f t="shared" si="100"/>
        <v>0</v>
      </c>
      <c r="CQ76">
        <f t="shared" si="100"/>
        <v>0</v>
      </c>
      <c r="CR76">
        <f t="shared" si="100"/>
        <v>0</v>
      </c>
      <c r="CS76">
        <f t="shared" si="100"/>
        <v>0</v>
      </c>
      <c r="CT76">
        <f t="shared" si="100"/>
        <v>0</v>
      </c>
      <c r="CU76">
        <f t="shared" si="100"/>
        <v>0</v>
      </c>
      <c r="CV76">
        <f t="shared" si="100"/>
        <v>0</v>
      </c>
      <c r="CW76">
        <f t="shared" si="100"/>
        <v>0</v>
      </c>
      <c r="CX76">
        <f t="shared" si="100"/>
        <v>0</v>
      </c>
      <c r="CY76">
        <f t="shared" si="100"/>
        <v>0</v>
      </c>
      <c r="CZ76">
        <f t="shared" si="100"/>
        <v>0</v>
      </c>
      <c r="DA76">
        <f t="shared" si="100"/>
        <v>0</v>
      </c>
      <c r="DB76">
        <f t="shared" si="100"/>
        <v>0</v>
      </c>
      <c r="DC76">
        <f t="shared" si="100"/>
        <v>0</v>
      </c>
      <c r="DD76">
        <f t="shared" si="100"/>
        <v>0</v>
      </c>
      <c r="DE76">
        <f t="shared" si="100"/>
        <v>0</v>
      </c>
      <c r="DF76">
        <f t="shared" si="100"/>
        <v>0</v>
      </c>
      <c r="DG76">
        <f t="shared" si="100"/>
        <v>0</v>
      </c>
      <c r="DH76">
        <f t="shared" si="100"/>
        <v>0</v>
      </c>
      <c r="DI76">
        <f t="shared" si="100"/>
        <v>0</v>
      </c>
      <c r="DJ76">
        <f t="shared" si="100"/>
        <v>0</v>
      </c>
      <c r="DK76">
        <f t="shared" si="100"/>
        <v>0</v>
      </c>
      <c r="DL76">
        <f t="shared" si="100"/>
        <v>0</v>
      </c>
      <c r="DM76">
        <f t="shared" si="100"/>
        <v>0</v>
      </c>
      <c r="DN76">
        <f t="shared" si="100"/>
        <v>0</v>
      </c>
      <c r="DO76">
        <f t="shared" si="100"/>
        <v>0</v>
      </c>
      <c r="DP76">
        <f t="shared" si="100"/>
        <v>0</v>
      </c>
      <c r="DQ76">
        <f t="shared" si="100"/>
        <v>0</v>
      </c>
      <c r="DR76">
        <f t="shared" si="100"/>
        <v>0</v>
      </c>
      <c r="DS76">
        <f t="shared" si="100"/>
        <v>0</v>
      </c>
      <c r="DT76">
        <f t="shared" si="100"/>
        <v>0</v>
      </c>
      <c r="DU76">
        <f t="shared" si="100"/>
        <v>0</v>
      </c>
      <c r="DV76">
        <f t="shared" si="100"/>
        <v>0</v>
      </c>
    </row>
    <row r="77" spans="1:133" x14ac:dyDescent="0.35">
      <c r="C77" s="60"/>
      <c r="D77" s="60"/>
      <c r="E77" s="60" t="s">
        <v>96</v>
      </c>
      <c r="F77" s="60">
        <f>F75-F76</f>
        <v>18000</v>
      </c>
      <c r="G77" s="60">
        <f>G75-G76</f>
        <v>16000</v>
      </c>
      <c r="H77" s="60">
        <f t="shared" ref="H77:BS77" si="101">H75-H76</f>
        <v>14000</v>
      </c>
      <c r="I77" s="60">
        <f t="shared" si="101"/>
        <v>12000</v>
      </c>
      <c r="J77" s="60">
        <f t="shared" si="101"/>
        <v>10000</v>
      </c>
      <c r="K77" s="60">
        <f t="shared" si="101"/>
        <v>8000</v>
      </c>
      <c r="L77" s="60">
        <f t="shared" si="101"/>
        <v>6000</v>
      </c>
      <c r="M77" s="60">
        <f t="shared" si="101"/>
        <v>4000</v>
      </c>
      <c r="N77" s="60">
        <f t="shared" si="101"/>
        <v>2000</v>
      </c>
      <c r="O77" s="60">
        <f t="shared" si="101"/>
        <v>0</v>
      </c>
      <c r="P77" s="60">
        <f t="shared" si="101"/>
        <v>0</v>
      </c>
      <c r="Q77" s="60">
        <f t="shared" si="101"/>
        <v>0</v>
      </c>
      <c r="R77" s="60">
        <f t="shared" si="101"/>
        <v>0</v>
      </c>
      <c r="S77" s="60">
        <f t="shared" si="101"/>
        <v>0</v>
      </c>
      <c r="T77" s="60">
        <f t="shared" si="101"/>
        <v>0</v>
      </c>
      <c r="U77" s="60">
        <f t="shared" si="101"/>
        <v>0</v>
      </c>
      <c r="V77" s="60">
        <f t="shared" si="101"/>
        <v>0</v>
      </c>
      <c r="W77">
        <f t="shared" si="101"/>
        <v>0</v>
      </c>
      <c r="X77">
        <f t="shared" si="101"/>
        <v>0</v>
      </c>
      <c r="Y77">
        <f t="shared" si="101"/>
        <v>0</v>
      </c>
      <c r="Z77">
        <f t="shared" si="101"/>
        <v>0</v>
      </c>
      <c r="AA77">
        <f t="shared" si="101"/>
        <v>0</v>
      </c>
      <c r="AB77">
        <f t="shared" si="101"/>
        <v>0</v>
      </c>
      <c r="AC77">
        <f t="shared" si="101"/>
        <v>0</v>
      </c>
      <c r="AD77">
        <f t="shared" si="101"/>
        <v>0</v>
      </c>
      <c r="AE77">
        <f t="shared" si="101"/>
        <v>0</v>
      </c>
      <c r="AF77">
        <f t="shared" si="101"/>
        <v>0</v>
      </c>
      <c r="AG77">
        <f t="shared" si="101"/>
        <v>0</v>
      </c>
      <c r="AH77">
        <f t="shared" si="101"/>
        <v>0</v>
      </c>
      <c r="AI77">
        <f t="shared" si="101"/>
        <v>0</v>
      </c>
      <c r="AJ77">
        <f t="shared" si="101"/>
        <v>0</v>
      </c>
      <c r="AK77">
        <f t="shared" si="101"/>
        <v>0</v>
      </c>
      <c r="AL77">
        <f t="shared" si="101"/>
        <v>0</v>
      </c>
      <c r="AM77">
        <f t="shared" si="101"/>
        <v>0</v>
      </c>
      <c r="AN77">
        <f t="shared" si="101"/>
        <v>0</v>
      </c>
      <c r="AO77">
        <f t="shared" si="101"/>
        <v>0</v>
      </c>
      <c r="AP77">
        <f t="shared" si="101"/>
        <v>0</v>
      </c>
      <c r="AQ77">
        <f t="shared" si="101"/>
        <v>0</v>
      </c>
      <c r="AR77">
        <f t="shared" si="101"/>
        <v>0</v>
      </c>
      <c r="AS77">
        <f t="shared" si="101"/>
        <v>0</v>
      </c>
      <c r="AT77">
        <f t="shared" si="101"/>
        <v>0</v>
      </c>
      <c r="AU77">
        <f t="shared" si="101"/>
        <v>0</v>
      </c>
      <c r="AV77">
        <f t="shared" si="101"/>
        <v>0</v>
      </c>
      <c r="AW77">
        <f t="shared" si="101"/>
        <v>0</v>
      </c>
      <c r="AX77">
        <f t="shared" si="101"/>
        <v>0</v>
      </c>
      <c r="AY77">
        <f t="shared" si="101"/>
        <v>0</v>
      </c>
      <c r="AZ77">
        <f t="shared" si="101"/>
        <v>0</v>
      </c>
      <c r="BA77">
        <f t="shared" si="101"/>
        <v>0</v>
      </c>
      <c r="BB77">
        <f t="shared" si="101"/>
        <v>0</v>
      </c>
      <c r="BC77">
        <f t="shared" si="101"/>
        <v>0</v>
      </c>
      <c r="BD77">
        <f t="shared" si="101"/>
        <v>0</v>
      </c>
      <c r="BE77">
        <f t="shared" si="101"/>
        <v>0</v>
      </c>
      <c r="BF77">
        <f t="shared" si="101"/>
        <v>0</v>
      </c>
      <c r="BG77">
        <f t="shared" si="101"/>
        <v>0</v>
      </c>
      <c r="BH77">
        <f t="shared" si="101"/>
        <v>0</v>
      </c>
      <c r="BI77">
        <f t="shared" si="101"/>
        <v>0</v>
      </c>
      <c r="BJ77">
        <f t="shared" si="101"/>
        <v>0</v>
      </c>
      <c r="BK77">
        <f t="shared" si="101"/>
        <v>0</v>
      </c>
      <c r="BL77">
        <f t="shared" si="101"/>
        <v>0</v>
      </c>
      <c r="BM77">
        <f t="shared" si="101"/>
        <v>0</v>
      </c>
      <c r="BN77">
        <f t="shared" si="101"/>
        <v>0</v>
      </c>
      <c r="BO77">
        <f t="shared" si="101"/>
        <v>0</v>
      </c>
      <c r="BP77">
        <f t="shared" si="101"/>
        <v>0</v>
      </c>
      <c r="BQ77">
        <f t="shared" si="101"/>
        <v>0</v>
      </c>
      <c r="BR77">
        <f t="shared" si="101"/>
        <v>0</v>
      </c>
      <c r="BS77">
        <f t="shared" si="101"/>
        <v>0</v>
      </c>
      <c r="BT77">
        <f t="shared" ref="BT77:DV77" si="102">BT75-BT76</f>
        <v>0</v>
      </c>
      <c r="BU77">
        <f t="shared" si="102"/>
        <v>0</v>
      </c>
      <c r="BV77">
        <f t="shared" si="102"/>
        <v>0</v>
      </c>
      <c r="BW77">
        <f t="shared" si="102"/>
        <v>0</v>
      </c>
      <c r="BX77">
        <f t="shared" si="102"/>
        <v>0</v>
      </c>
      <c r="BY77">
        <f t="shared" si="102"/>
        <v>0</v>
      </c>
      <c r="BZ77">
        <f t="shared" si="102"/>
        <v>0</v>
      </c>
      <c r="CA77">
        <f t="shared" si="102"/>
        <v>0</v>
      </c>
      <c r="CB77">
        <f t="shared" si="102"/>
        <v>0</v>
      </c>
      <c r="CC77">
        <f t="shared" si="102"/>
        <v>0</v>
      </c>
      <c r="CD77">
        <f t="shared" si="102"/>
        <v>0</v>
      </c>
      <c r="CE77">
        <f t="shared" si="102"/>
        <v>0</v>
      </c>
      <c r="CF77">
        <f t="shared" si="102"/>
        <v>0</v>
      </c>
      <c r="CG77">
        <f t="shared" si="102"/>
        <v>0</v>
      </c>
      <c r="CH77">
        <f t="shared" si="102"/>
        <v>0</v>
      </c>
      <c r="CI77">
        <f t="shared" si="102"/>
        <v>0</v>
      </c>
      <c r="CJ77">
        <f t="shared" si="102"/>
        <v>0</v>
      </c>
      <c r="CK77">
        <f t="shared" si="102"/>
        <v>0</v>
      </c>
      <c r="CL77">
        <f t="shared" si="102"/>
        <v>0</v>
      </c>
      <c r="CM77">
        <f t="shared" si="102"/>
        <v>0</v>
      </c>
      <c r="CN77">
        <f t="shared" si="102"/>
        <v>0</v>
      </c>
      <c r="CO77">
        <f t="shared" si="102"/>
        <v>0</v>
      </c>
      <c r="CP77">
        <f t="shared" si="102"/>
        <v>0</v>
      </c>
      <c r="CQ77">
        <f t="shared" si="102"/>
        <v>0</v>
      </c>
      <c r="CR77">
        <f t="shared" si="102"/>
        <v>0</v>
      </c>
      <c r="CS77">
        <f t="shared" si="102"/>
        <v>0</v>
      </c>
      <c r="CT77">
        <f t="shared" si="102"/>
        <v>0</v>
      </c>
      <c r="CU77">
        <f t="shared" si="102"/>
        <v>0</v>
      </c>
      <c r="CV77">
        <f t="shared" si="102"/>
        <v>0</v>
      </c>
      <c r="CW77">
        <f t="shared" si="102"/>
        <v>0</v>
      </c>
      <c r="CX77">
        <f t="shared" si="102"/>
        <v>0</v>
      </c>
      <c r="CY77">
        <f t="shared" si="102"/>
        <v>0</v>
      </c>
      <c r="CZ77">
        <f t="shared" si="102"/>
        <v>0</v>
      </c>
      <c r="DA77">
        <f t="shared" si="102"/>
        <v>0</v>
      </c>
      <c r="DB77">
        <f t="shared" si="102"/>
        <v>0</v>
      </c>
      <c r="DC77">
        <f t="shared" si="102"/>
        <v>0</v>
      </c>
      <c r="DD77">
        <f t="shared" si="102"/>
        <v>0</v>
      </c>
      <c r="DE77">
        <f t="shared" si="102"/>
        <v>0</v>
      </c>
      <c r="DF77">
        <f t="shared" si="102"/>
        <v>0</v>
      </c>
      <c r="DG77">
        <f t="shared" si="102"/>
        <v>0</v>
      </c>
      <c r="DH77">
        <f t="shared" si="102"/>
        <v>0</v>
      </c>
      <c r="DI77">
        <f t="shared" si="102"/>
        <v>0</v>
      </c>
      <c r="DJ77">
        <f t="shared" si="102"/>
        <v>0</v>
      </c>
      <c r="DK77">
        <f t="shared" si="102"/>
        <v>0</v>
      </c>
      <c r="DL77">
        <f t="shared" si="102"/>
        <v>0</v>
      </c>
      <c r="DM77">
        <f t="shared" si="102"/>
        <v>0</v>
      </c>
      <c r="DN77">
        <f t="shared" si="102"/>
        <v>0</v>
      </c>
      <c r="DO77">
        <f t="shared" si="102"/>
        <v>0</v>
      </c>
      <c r="DP77">
        <f t="shared" si="102"/>
        <v>0</v>
      </c>
      <c r="DQ77">
        <f t="shared" si="102"/>
        <v>0</v>
      </c>
      <c r="DR77">
        <f t="shared" si="102"/>
        <v>0</v>
      </c>
      <c r="DS77">
        <f t="shared" si="102"/>
        <v>0</v>
      </c>
      <c r="DT77">
        <f t="shared" si="102"/>
        <v>0</v>
      </c>
      <c r="DU77">
        <f t="shared" si="102"/>
        <v>0</v>
      </c>
      <c r="DV77">
        <f t="shared" si="102"/>
        <v>0</v>
      </c>
    </row>
    <row r="79" spans="1:133" ht="58" x14ac:dyDescent="0.35">
      <c r="A79" s="9" t="s">
        <v>105</v>
      </c>
      <c r="B79" s="1" t="s">
        <v>106</v>
      </c>
      <c r="C79" s="1" t="s">
        <v>204</v>
      </c>
      <c r="F79">
        <v>10000</v>
      </c>
      <c r="G79">
        <v>6000</v>
      </c>
      <c r="H79">
        <v>2500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1" spans="1:126" ht="43.5" x14ac:dyDescent="0.35">
      <c r="A81" s="9" t="s">
        <v>117</v>
      </c>
      <c r="C81" s="1" t="s">
        <v>118</v>
      </c>
      <c r="D81" s="2">
        <v>0.2</v>
      </c>
    </row>
    <row r="82" spans="1:126" x14ac:dyDescent="0.35">
      <c r="A82" s="9" t="s">
        <v>120</v>
      </c>
      <c r="C82" t="s">
        <v>121</v>
      </c>
      <c r="D82" s="2">
        <v>0.25</v>
      </c>
    </row>
    <row r="84" spans="1:126" ht="29" x14ac:dyDescent="0.35">
      <c r="A84" s="7" t="s">
        <v>123</v>
      </c>
      <c r="E84" t="s">
        <v>124</v>
      </c>
      <c r="F84">
        <f>SUM(F56,F69,F75)</f>
        <v>118000</v>
      </c>
      <c r="G84">
        <f t="shared" ref="G84:BR84" si="103">SUM(G56,G69,G75)</f>
        <v>99400</v>
      </c>
      <c r="H84">
        <f t="shared" si="103"/>
        <v>81120</v>
      </c>
      <c r="I84">
        <f t="shared" si="103"/>
        <v>63096</v>
      </c>
      <c r="J84">
        <f t="shared" si="103"/>
        <v>45276.800000000003</v>
      </c>
      <c r="K84">
        <f t="shared" si="103"/>
        <v>25000</v>
      </c>
      <c r="L84">
        <f t="shared" si="103"/>
        <v>8000</v>
      </c>
      <c r="M84">
        <f t="shared" si="103"/>
        <v>6000</v>
      </c>
      <c r="N84">
        <f t="shared" si="103"/>
        <v>4000</v>
      </c>
      <c r="O84">
        <f t="shared" si="103"/>
        <v>2000</v>
      </c>
      <c r="P84">
        <f t="shared" si="103"/>
        <v>0</v>
      </c>
      <c r="Q84">
        <f t="shared" si="103"/>
        <v>0</v>
      </c>
      <c r="R84">
        <f t="shared" si="103"/>
        <v>0</v>
      </c>
      <c r="S84">
        <f t="shared" si="103"/>
        <v>0</v>
      </c>
      <c r="T84">
        <f t="shared" si="103"/>
        <v>0</v>
      </c>
      <c r="U84">
        <f t="shared" si="103"/>
        <v>0</v>
      </c>
      <c r="V84">
        <f t="shared" si="103"/>
        <v>0</v>
      </c>
      <c r="W84">
        <f t="shared" si="103"/>
        <v>0</v>
      </c>
      <c r="X84">
        <f t="shared" si="103"/>
        <v>0</v>
      </c>
      <c r="Y84">
        <f t="shared" si="103"/>
        <v>0</v>
      </c>
      <c r="Z84">
        <f t="shared" si="103"/>
        <v>0</v>
      </c>
      <c r="AA84">
        <f t="shared" si="103"/>
        <v>0</v>
      </c>
      <c r="AB84">
        <f t="shared" si="103"/>
        <v>0</v>
      </c>
      <c r="AC84">
        <f t="shared" si="103"/>
        <v>0</v>
      </c>
      <c r="AD84">
        <f t="shared" si="103"/>
        <v>0</v>
      </c>
      <c r="AE84">
        <f t="shared" si="103"/>
        <v>0</v>
      </c>
      <c r="AF84">
        <f t="shared" si="103"/>
        <v>0</v>
      </c>
      <c r="AG84">
        <f t="shared" si="103"/>
        <v>0</v>
      </c>
      <c r="AH84">
        <f t="shared" si="103"/>
        <v>0</v>
      </c>
      <c r="AI84">
        <f t="shared" si="103"/>
        <v>0</v>
      </c>
      <c r="AJ84">
        <f t="shared" si="103"/>
        <v>0</v>
      </c>
      <c r="AK84">
        <f t="shared" si="103"/>
        <v>0</v>
      </c>
      <c r="AL84">
        <f t="shared" si="103"/>
        <v>0</v>
      </c>
      <c r="AM84">
        <f t="shared" si="103"/>
        <v>0</v>
      </c>
      <c r="AN84">
        <f t="shared" si="103"/>
        <v>0</v>
      </c>
      <c r="AO84">
        <f t="shared" si="103"/>
        <v>0</v>
      </c>
      <c r="AP84">
        <f t="shared" si="103"/>
        <v>0</v>
      </c>
      <c r="AQ84">
        <f t="shared" si="103"/>
        <v>0</v>
      </c>
      <c r="AR84">
        <f t="shared" si="103"/>
        <v>0</v>
      </c>
      <c r="AS84">
        <f t="shared" si="103"/>
        <v>0</v>
      </c>
      <c r="AT84">
        <f t="shared" si="103"/>
        <v>0</v>
      </c>
      <c r="AU84">
        <f t="shared" si="103"/>
        <v>0</v>
      </c>
      <c r="AV84">
        <f t="shared" si="103"/>
        <v>0</v>
      </c>
      <c r="AW84">
        <f t="shared" si="103"/>
        <v>0</v>
      </c>
      <c r="AX84">
        <f t="shared" si="103"/>
        <v>0</v>
      </c>
      <c r="AY84">
        <f t="shared" si="103"/>
        <v>0</v>
      </c>
      <c r="AZ84">
        <f t="shared" si="103"/>
        <v>0</v>
      </c>
      <c r="BA84">
        <f t="shared" si="103"/>
        <v>0</v>
      </c>
      <c r="BB84">
        <f t="shared" si="103"/>
        <v>0</v>
      </c>
      <c r="BC84">
        <f t="shared" si="103"/>
        <v>0</v>
      </c>
      <c r="BD84">
        <f t="shared" si="103"/>
        <v>0</v>
      </c>
      <c r="BE84">
        <f t="shared" si="103"/>
        <v>0</v>
      </c>
      <c r="BF84">
        <f t="shared" si="103"/>
        <v>0</v>
      </c>
      <c r="BG84">
        <f t="shared" si="103"/>
        <v>0</v>
      </c>
      <c r="BH84">
        <f t="shared" si="103"/>
        <v>0</v>
      </c>
      <c r="BI84">
        <f t="shared" si="103"/>
        <v>0</v>
      </c>
      <c r="BJ84">
        <f t="shared" si="103"/>
        <v>0</v>
      </c>
      <c r="BK84">
        <f t="shared" si="103"/>
        <v>0</v>
      </c>
      <c r="BL84">
        <f t="shared" si="103"/>
        <v>0</v>
      </c>
      <c r="BM84">
        <f t="shared" si="103"/>
        <v>0</v>
      </c>
      <c r="BN84">
        <f t="shared" si="103"/>
        <v>0</v>
      </c>
      <c r="BO84">
        <f t="shared" si="103"/>
        <v>0</v>
      </c>
      <c r="BP84">
        <f t="shared" si="103"/>
        <v>0</v>
      </c>
      <c r="BQ84">
        <f t="shared" si="103"/>
        <v>0</v>
      </c>
      <c r="BR84">
        <f t="shared" si="103"/>
        <v>0</v>
      </c>
      <c r="BS84">
        <f t="shared" ref="BS84:DV84" si="104">SUM(BS56,BS69,BS75)</f>
        <v>0</v>
      </c>
      <c r="BT84">
        <f t="shared" si="104"/>
        <v>0</v>
      </c>
      <c r="BU84">
        <f t="shared" si="104"/>
        <v>0</v>
      </c>
      <c r="BV84">
        <f t="shared" si="104"/>
        <v>0</v>
      </c>
      <c r="BW84">
        <f t="shared" si="104"/>
        <v>0</v>
      </c>
      <c r="BX84">
        <f t="shared" si="104"/>
        <v>0</v>
      </c>
      <c r="BY84">
        <f t="shared" si="104"/>
        <v>0</v>
      </c>
      <c r="BZ84">
        <f t="shared" si="104"/>
        <v>0</v>
      </c>
      <c r="CA84">
        <f t="shared" si="104"/>
        <v>0</v>
      </c>
      <c r="CB84">
        <f t="shared" si="104"/>
        <v>0</v>
      </c>
      <c r="CC84">
        <f t="shared" si="104"/>
        <v>0</v>
      </c>
      <c r="CD84">
        <f t="shared" si="104"/>
        <v>0</v>
      </c>
      <c r="CE84">
        <f t="shared" si="104"/>
        <v>0</v>
      </c>
      <c r="CF84">
        <f t="shared" si="104"/>
        <v>0</v>
      </c>
      <c r="CG84">
        <f t="shared" si="104"/>
        <v>0</v>
      </c>
      <c r="CH84">
        <f t="shared" si="104"/>
        <v>0</v>
      </c>
      <c r="CI84">
        <f t="shared" si="104"/>
        <v>0</v>
      </c>
      <c r="CJ84">
        <f t="shared" si="104"/>
        <v>0</v>
      </c>
      <c r="CK84">
        <f t="shared" si="104"/>
        <v>0</v>
      </c>
      <c r="CL84">
        <f t="shared" si="104"/>
        <v>0</v>
      </c>
      <c r="CM84">
        <f t="shared" si="104"/>
        <v>0</v>
      </c>
      <c r="CN84">
        <f t="shared" si="104"/>
        <v>0</v>
      </c>
      <c r="CO84">
        <f t="shared" si="104"/>
        <v>0</v>
      </c>
      <c r="CP84">
        <f t="shared" si="104"/>
        <v>0</v>
      </c>
      <c r="CQ84">
        <f t="shared" si="104"/>
        <v>0</v>
      </c>
      <c r="CR84">
        <f t="shared" si="104"/>
        <v>0</v>
      </c>
      <c r="CS84">
        <f t="shared" si="104"/>
        <v>0</v>
      </c>
      <c r="CT84">
        <f t="shared" si="104"/>
        <v>0</v>
      </c>
      <c r="CU84">
        <f t="shared" si="104"/>
        <v>0</v>
      </c>
      <c r="CV84">
        <f t="shared" si="104"/>
        <v>0</v>
      </c>
      <c r="CW84">
        <f t="shared" si="104"/>
        <v>0</v>
      </c>
      <c r="CX84">
        <f t="shared" si="104"/>
        <v>0</v>
      </c>
      <c r="CY84">
        <f t="shared" si="104"/>
        <v>0</v>
      </c>
      <c r="CZ84">
        <f t="shared" si="104"/>
        <v>0</v>
      </c>
      <c r="DA84">
        <f t="shared" si="104"/>
        <v>0</v>
      </c>
      <c r="DB84">
        <f t="shared" si="104"/>
        <v>0</v>
      </c>
      <c r="DC84">
        <f t="shared" si="104"/>
        <v>0</v>
      </c>
      <c r="DD84">
        <f t="shared" si="104"/>
        <v>0</v>
      </c>
      <c r="DE84">
        <f t="shared" si="104"/>
        <v>0</v>
      </c>
      <c r="DF84">
        <f t="shared" si="104"/>
        <v>0</v>
      </c>
      <c r="DG84">
        <f t="shared" si="104"/>
        <v>0</v>
      </c>
      <c r="DH84">
        <f t="shared" si="104"/>
        <v>0</v>
      </c>
      <c r="DI84">
        <f t="shared" si="104"/>
        <v>0</v>
      </c>
      <c r="DJ84">
        <f t="shared" si="104"/>
        <v>0</v>
      </c>
      <c r="DK84">
        <f t="shared" si="104"/>
        <v>0</v>
      </c>
      <c r="DL84">
        <f t="shared" si="104"/>
        <v>0</v>
      </c>
      <c r="DM84">
        <f t="shared" si="104"/>
        <v>0</v>
      </c>
      <c r="DN84">
        <f t="shared" si="104"/>
        <v>0</v>
      </c>
      <c r="DO84">
        <f t="shared" si="104"/>
        <v>0</v>
      </c>
      <c r="DP84">
        <f t="shared" si="104"/>
        <v>0</v>
      </c>
      <c r="DQ84">
        <f t="shared" si="104"/>
        <v>0</v>
      </c>
      <c r="DR84">
        <f t="shared" si="104"/>
        <v>0</v>
      </c>
      <c r="DS84">
        <f t="shared" si="104"/>
        <v>0</v>
      </c>
      <c r="DT84">
        <f t="shared" si="104"/>
        <v>0</v>
      </c>
      <c r="DU84">
        <f t="shared" si="104"/>
        <v>0</v>
      </c>
      <c r="DV84">
        <f t="shared" si="104"/>
        <v>0</v>
      </c>
    </row>
    <row r="85" spans="1:126" x14ac:dyDescent="0.35">
      <c r="E85" t="s">
        <v>125</v>
      </c>
      <c r="F85">
        <f>SUM(F57,F70,F76)</f>
        <v>18600</v>
      </c>
      <c r="G85">
        <f t="shared" ref="G85:BR85" si="105">SUM(G57,G70,G76)</f>
        <v>18280</v>
      </c>
      <c r="H85">
        <f t="shared" si="105"/>
        <v>18024</v>
      </c>
      <c r="I85">
        <f t="shared" si="105"/>
        <v>17819.2</v>
      </c>
      <c r="J85">
        <f t="shared" si="105"/>
        <v>20276.8</v>
      </c>
      <c r="K85">
        <f t="shared" si="105"/>
        <v>17000</v>
      </c>
      <c r="L85">
        <f t="shared" si="105"/>
        <v>2000</v>
      </c>
      <c r="M85">
        <f t="shared" si="105"/>
        <v>2000</v>
      </c>
      <c r="N85">
        <f t="shared" si="105"/>
        <v>2000</v>
      </c>
      <c r="O85">
        <f t="shared" si="105"/>
        <v>2000</v>
      </c>
      <c r="P85">
        <f t="shared" si="105"/>
        <v>0</v>
      </c>
      <c r="Q85">
        <f t="shared" si="105"/>
        <v>0</v>
      </c>
      <c r="R85">
        <f t="shared" si="105"/>
        <v>0</v>
      </c>
      <c r="S85">
        <f t="shared" si="105"/>
        <v>0</v>
      </c>
      <c r="T85">
        <f t="shared" si="105"/>
        <v>0</v>
      </c>
      <c r="U85">
        <f t="shared" si="105"/>
        <v>0</v>
      </c>
      <c r="V85">
        <f t="shared" si="105"/>
        <v>0</v>
      </c>
      <c r="W85">
        <f t="shared" si="105"/>
        <v>0</v>
      </c>
      <c r="X85">
        <f t="shared" si="105"/>
        <v>0</v>
      </c>
      <c r="Y85">
        <f t="shared" si="105"/>
        <v>0</v>
      </c>
      <c r="Z85">
        <f t="shared" si="105"/>
        <v>0</v>
      </c>
      <c r="AA85">
        <f t="shared" si="105"/>
        <v>0</v>
      </c>
      <c r="AB85">
        <f t="shared" si="105"/>
        <v>0</v>
      </c>
      <c r="AC85">
        <f t="shared" si="105"/>
        <v>0</v>
      </c>
      <c r="AD85">
        <f t="shared" si="105"/>
        <v>0</v>
      </c>
      <c r="AE85">
        <f t="shared" si="105"/>
        <v>0</v>
      </c>
      <c r="AF85">
        <f t="shared" si="105"/>
        <v>0</v>
      </c>
      <c r="AG85">
        <f t="shared" si="105"/>
        <v>0</v>
      </c>
      <c r="AH85">
        <f t="shared" si="105"/>
        <v>0</v>
      </c>
      <c r="AI85">
        <f t="shared" si="105"/>
        <v>0</v>
      </c>
      <c r="AJ85">
        <f t="shared" si="105"/>
        <v>0</v>
      </c>
      <c r="AK85">
        <f t="shared" si="105"/>
        <v>0</v>
      </c>
      <c r="AL85">
        <f t="shared" si="105"/>
        <v>0</v>
      </c>
      <c r="AM85">
        <f t="shared" si="105"/>
        <v>0</v>
      </c>
      <c r="AN85">
        <f t="shared" si="105"/>
        <v>0</v>
      </c>
      <c r="AO85">
        <f t="shared" si="105"/>
        <v>0</v>
      </c>
      <c r="AP85">
        <f t="shared" si="105"/>
        <v>0</v>
      </c>
      <c r="AQ85">
        <f t="shared" si="105"/>
        <v>0</v>
      </c>
      <c r="AR85">
        <f t="shared" si="105"/>
        <v>0</v>
      </c>
      <c r="AS85">
        <f t="shared" si="105"/>
        <v>0</v>
      </c>
      <c r="AT85">
        <f t="shared" si="105"/>
        <v>0</v>
      </c>
      <c r="AU85">
        <f t="shared" si="105"/>
        <v>0</v>
      </c>
      <c r="AV85">
        <f t="shared" si="105"/>
        <v>0</v>
      </c>
      <c r="AW85">
        <f t="shared" si="105"/>
        <v>0</v>
      </c>
      <c r="AX85">
        <f t="shared" si="105"/>
        <v>0</v>
      </c>
      <c r="AY85">
        <f t="shared" si="105"/>
        <v>0</v>
      </c>
      <c r="AZ85">
        <f t="shared" si="105"/>
        <v>0</v>
      </c>
      <c r="BA85">
        <f t="shared" si="105"/>
        <v>0</v>
      </c>
      <c r="BB85">
        <f t="shared" si="105"/>
        <v>0</v>
      </c>
      <c r="BC85">
        <f t="shared" si="105"/>
        <v>0</v>
      </c>
      <c r="BD85">
        <f t="shared" si="105"/>
        <v>0</v>
      </c>
      <c r="BE85">
        <f t="shared" si="105"/>
        <v>0</v>
      </c>
      <c r="BF85">
        <f t="shared" si="105"/>
        <v>0</v>
      </c>
      <c r="BG85">
        <f t="shared" si="105"/>
        <v>0</v>
      </c>
      <c r="BH85">
        <f t="shared" si="105"/>
        <v>0</v>
      </c>
      <c r="BI85">
        <f t="shared" si="105"/>
        <v>0</v>
      </c>
      <c r="BJ85">
        <f t="shared" si="105"/>
        <v>0</v>
      </c>
      <c r="BK85">
        <f t="shared" si="105"/>
        <v>0</v>
      </c>
      <c r="BL85">
        <f t="shared" si="105"/>
        <v>0</v>
      </c>
      <c r="BM85">
        <f t="shared" si="105"/>
        <v>0</v>
      </c>
      <c r="BN85">
        <f t="shared" si="105"/>
        <v>0</v>
      </c>
      <c r="BO85">
        <f t="shared" si="105"/>
        <v>0</v>
      </c>
      <c r="BP85">
        <f t="shared" si="105"/>
        <v>0</v>
      </c>
      <c r="BQ85">
        <f t="shared" si="105"/>
        <v>0</v>
      </c>
      <c r="BR85">
        <f t="shared" si="105"/>
        <v>0</v>
      </c>
      <c r="BS85">
        <f t="shared" ref="BS85:DV85" si="106">SUM(BS57,BS70,BS76)</f>
        <v>0</v>
      </c>
      <c r="BT85">
        <f t="shared" si="106"/>
        <v>0</v>
      </c>
      <c r="BU85">
        <f t="shared" si="106"/>
        <v>0</v>
      </c>
      <c r="BV85">
        <f t="shared" si="106"/>
        <v>0</v>
      </c>
      <c r="BW85">
        <f t="shared" si="106"/>
        <v>0</v>
      </c>
      <c r="BX85">
        <f t="shared" si="106"/>
        <v>0</v>
      </c>
      <c r="BY85">
        <f t="shared" si="106"/>
        <v>0</v>
      </c>
      <c r="BZ85">
        <f t="shared" si="106"/>
        <v>0</v>
      </c>
      <c r="CA85">
        <f t="shared" si="106"/>
        <v>0</v>
      </c>
      <c r="CB85">
        <f t="shared" si="106"/>
        <v>0</v>
      </c>
      <c r="CC85">
        <f t="shared" si="106"/>
        <v>0</v>
      </c>
      <c r="CD85">
        <f t="shared" si="106"/>
        <v>0</v>
      </c>
      <c r="CE85">
        <f t="shared" si="106"/>
        <v>0</v>
      </c>
      <c r="CF85">
        <f t="shared" si="106"/>
        <v>0</v>
      </c>
      <c r="CG85">
        <f t="shared" si="106"/>
        <v>0</v>
      </c>
      <c r="CH85">
        <f t="shared" si="106"/>
        <v>0</v>
      </c>
      <c r="CI85">
        <f t="shared" si="106"/>
        <v>0</v>
      </c>
      <c r="CJ85">
        <f t="shared" si="106"/>
        <v>0</v>
      </c>
      <c r="CK85">
        <f t="shared" si="106"/>
        <v>0</v>
      </c>
      <c r="CL85">
        <f t="shared" si="106"/>
        <v>0</v>
      </c>
      <c r="CM85">
        <f t="shared" si="106"/>
        <v>0</v>
      </c>
      <c r="CN85">
        <f t="shared" si="106"/>
        <v>0</v>
      </c>
      <c r="CO85">
        <f t="shared" si="106"/>
        <v>0</v>
      </c>
      <c r="CP85">
        <f t="shared" si="106"/>
        <v>0</v>
      </c>
      <c r="CQ85">
        <f t="shared" si="106"/>
        <v>0</v>
      </c>
      <c r="CR85">
        <f t="shared" si="106"/>
        <v>0</v>
      </c>
      <c r="CS85">
        <f t="shared" si="106"/>
        <v>0</v>
      </c>
      <c r="CT85">
        <f t="shared" si="106"/>
        <v>0</v>
      </c>
      <c r="CU85">
        <f t="shared" si="106"/>
        <v>0</v>
      </c>
      <c r="CV85">
        <f t="shared" si="106"/>
        <v>0</v>
      </c>
      <c r="CW85">
        <f t="shared" si="106"/>
        <v>0</v>
      </c>
      <c r="CX85">
        <f t="shared" si="106"/>
        <v>0</v>
      </c>
      <c r="CY85">
        <f t="shared" si="106"/>
        <v>0</v>
      </c>
      <c r="CZ85">
        <f t="shared" si="106"/>
        <v>0</v>
      </c>
      <c r="DA85">
        <f t="shared" si="106"/>
        <v>0</v>
      </c>
      <c r="DB85">
        <f t="shared" si="106"/>
        <v>0</v>
      </c>
      <c r="DC85">
        <f t="shared" si="106"/>
        <v>0</v>
      </c>
      <c r="DD85">
        <f t="shared" si="106"/>
        <v>0</v>
      </c>
      <c r="DE85">
        <f t="shared" si="106"/>
        <v>0</v>
      </c>
      <c r="DF85">
        <f t="shared" si="106"/>
        <v>0</v>
      </c>
      <c r="DG85">
        <f t="shared" si="106"/>
        <v>0</v>
      </c>
      <c r="DH85">
        <f t="shared" si="106"/>
        <v>0</v>
      </c>
      <c r="DI85">
        <f t="shared" si="106"/>
        <v>0</v>
      </c>
      <c r="DJ85">
        <f t="shared" si="106"/>
        <v>0</v>
      </c>
      <c r="DK85">
        <f t="shared" si="106"/>
        <v>0</v>
      </c>
      <c r="DL85">
        <f t="shared" si="106"/>
        <v>0</v>
      </c>
      <c r="DM85">
        <f t="shared" si="106"/>
        <v>0</v>
      </c>
      <c r="DN85">
        <f t="shared" si="106"/>
        <v>0</v>
      </c>
      <c r="DO85">
        <f t="shared" si="106"/>
        <v>0</v>
      </c>
      <c r="DP85">
        <f t="shared" si="106"/>
        <v>0</v>
      </c>
      <c r="DQ85">
        <f t="shared" si="106"/>
        <v>0</v>
      </c>
      <c r="DR85">
        <f t="shared" si="106"/>
        <v>0</v>
      </c>
      <c r="DS85">
        <f t="shared" si="106"/>
        <v>0</v>
      </c>
      <c r="DT85">
        <f t="shared" si="106"/>
        <v>0</v>
      </c>
      <c r="DU85">
        <f t="shared" si="106"/>
        <v>0</v>
      </c>
      <c r="DV85">
        <f t="shared" si="106"/>
        <v>0</v>
      </c>
    </row>
    <row r="86" spans="1:126" x14ac:dyDescent="0.35">
      <c r="E86" t="s">
        <v>126</v>
      </c>
      <c r="F86">
        <f>SUM(F58,F71,F77)</f>
        <v>99400</v>
      </c>
      <c r="G86">
        <f t="shared" ref="G86:BR86" si="107">SUM(G58,G71,G77)</f>
        <v>81120</v>
      </c>
      <c r="H86">
        <f t="shared" si="107"/>
        <v>63096</v>
      </c>
      <c r="I86">
        <f t="shared" si="107"/>
        <v>45276.800000000003</v>
      </c>
      <c r="J86">
        <f t="shared" si="107"/>
        <v>25000</v>
      </c>
      <c r="K86">
        <f t="shared" si="107"/>
        <v>8000</v>
      </c>
      <c r="L86">
        <f t="shared" si="107"/>
        <v>6000</v>
      </c>
      <c r="M86">
        <f t="shared" si="107"/>
        <v>4000</v>
      </c>
      <c r="N86">
        <f t="shared" si="107"/>
        <v>2000</v>
      </c>
      <c r="O86">
        <f t="shared" si="107"/>
        <v>0</v>
      </c>
      <c r="P86">
        <f t="shared" si="107"/>
        <v>0</v>
      </c>
      <c r="Q86">
        <f t="shared" si="107"/>
        <v>0</v>
      </c>
      <c r="R86">
        <f t="shared" si="107"/>
        <v>0</v>
      </c>
      <c r="S86">
        <f t="shared" si="107"/>
        <v>0</v>
      </c>
      <c r="T86">
        <f t="shared" si="107"/>
        <v>0</v>
      </c>
      <c r="U86">
        <f t="shared" si="107"/>
        <v>0</v>
      </c>
      <c r="V86">
        <f t="shared" si="107"/>
        <v>0</v>
      </c>
      <c r="W86">
        <f t="shared" si="107"/>
        <v>0</v>
      </c>
      <c r="X86">
        <f t="shared" si="107"/>
        <v>0</v>
      </c>
      <c r="Y86">
        <f t="shared" si="107"/>
        <v>0</v>
      </c>
      <c r="Z86">
        <f t="shared" si="107"/>
        <v>0</v>
      </c>
      <c r="AA86">
        <f t="shared" si="107"/>
        <v>0</v>
      </c>
      <c r="AB86">
        <f t="shared" si="107"/>
        <v>0</v>
      </c>
      <c r="AC86">
        <f t="shared" si="107"/>
        <v>0</v>
      </c>
      <c r="AD86">
        <f t="shared" si="107"/>
        <v>0</v>
      </c>
      <c r="AE86">
        <f t="shared" si="107"/>
        <v>0</v>
      </c>
      <c r="AF86">
        <f t="shared" si="107"/>
        <v>0</v>
      </c>
      <c r="AG86">
        <f t="shared" si="107"/>
        <v>0</v>
      </c>
      <c r="AH86">
        <f t="shared" si="107"/>
        <v>0</v>
      </c>
      <c r="AI86">
        <f t="shared" si="107"/>
        <v>0</v>
      </c>
      <c r="AJ86">
        <f t="shared" si="107"/>
        <v>0</v>
      </c>
      <c r="AK86">
        <f t="shared" si="107"/>
        <v>0</v>
      </c>
      <c r="AL86">
        <f t="shared" si="107"/>
        <v>0</v>
      </c>
      <c r="AM86">
        <f t="shared" si="107"/>
        <v>0</v>
      </c>
      <c r="AN86">
        <f t="shared" si="107"/>
        <v>0</v>
      </c>
      <c r="AO86">
        <f t="shared" si="107"/>
        <v>0</v>
      </c>
      <c r="AP86">
        <f t="shared" si="107"/>
        <v>0</v>
      </c>
      <c r="AQ86">
        <f t="shared" si="107"/>
        <v>0</v>
      </c>
      <c r="AR86">
        <f t="shared" si="107"/>
        <v>0</v>
      </c>
      <c r="AS86">
        <f t="shared" si="107"/>
        <v>0</v>
      </c>
      <c r="AT86">
        <f t="shared" si="107"/>
        <v>0</v>
      </c>
      <c r="AU86">
        <f t="shared" si="107"/>
        <v>0</v>
      </c>
      <c r="AV86">
        <f t="shared" si="107"/>
        <v>0</v>
      </c>
      <c r="AW86">
        <f t="shared" si="107"/>
        <v>0</v>
      </c>
      <c r="AX86">
        <f t="shared" si="107"/>
        <v>0</v>
      </c>
      <c r="AY86">
        <f t="shared" si="107"/>
        <v>0</v>
      </c>
      <c r="AZ86">
        <f t="shared" si="107"/>
        <v>0</v>
      </c>
      <c r="BA86">
        <f t="shared" si="107"/>
        <v>0</v>
      </c>
      <c r="BB86">
        <f t="shared" si="107"/>
        <v>0</v>
      </c>
      <c r="BC86">
        <f t="shared" si="107"/>
        <v>0</v>
      </c>
      <c r="BD86">
        <f t="shared" si="107"/>
        <v>0</v>
      </c>
      <c r="BE86">
        <f t="shared" si="107"/>
        <v>0</v>
      </c>
      <c r="BF86">
        <f t="shared" si="107"/>
        <v>0</v>
      </c>
      <c r="BG86">
        <f t="shared" si="107"/>
        <v>0</v>
      </c>
      <c r="BH86">
        <f t="shared" si="107"/>
        <v>0</v>
      </c>
      <c r="BI86">
        <f t="shared" si="107"/>
        <v>0</v>
      </c>
      <c r="BJ86">
        <f t="shared" si="107"/>
        <v>0</v>
      </c>
      <c r="BK86">
        <f t="shared" si="107"/>
        <v>0</v>
      </c>
      <c r="BL86">
        <f t="shared" si="107"/>
        <v>0</v>
      </c>
      <c r="BM86">
        <f t="shared" si="107"/>
        <v>0</v>
      </c>
      <c r="BN86">
        <f t="shared" si="107"/>
        <v>0</v>
      </c>
      <c r="BO86">
        <f t="shared" si="107"/>
        <v>0</v>
      </c>
      <c r="BP86">
        <f t="shared" si="107"/>
        <v>0</v>
      </c>
      <c r="BQ86">
        <f t="shared" si="107"/>
        <v>0</v>
      </c>
      <c r="BR86">
        <f t="shared" si="107"/>
        <v>0</v>
      </c>
      <c r="BS86">
        <f t="shared" ref="BS86:DV86" si="108">SUM(BS58,BS71,BS77)</f>
        <v>0</v>
      </c>
      <c r="BT86">
        <f t="shared" si="108"/>
        <v>0</v>
      </c>
      <c r="BU86">
        <f t="shared" si="108"/>
        <v>0</v>
      </c>
      <c r="BV86">
        <f t="shared" si="108"/>
        <v>0</v>
      </c>
      <c r="BW86">
        <f t="shared" si="108"/>
        <v>0</v>
      </c>
      <c r="BX86">
        <f t="shared" si="108"/>
        <v>0</v>
      </c>
      <c r="BY86">
        <f t="shared" si="108"/>
        <v>0</v>
      </c>
      <c r="BZ86">
        <f t="shared" si="108"/>
        <v>0</v>
      </c>
      <c r="CA86">
        <f t="shared" si="108"/>
        <v>0</v>
      </c>
      <c r="CB86">
        <f t="shared" si="108"/>
        <v>0</v>
      </c>
      <c r="CC86">
        <f t="shared" si="108"/>
        <v>0</v>
      </c>
      <c r="CD86">
        <f t="shared" si="108"/>
        <v>0</v>
      </c>
      <c r="CE86">
        <f t="shared" si="108"/>
        <v>0</v>
      </c>
      <c r="CF86">
        <f t="shared" si="108"/>
        <v>0</v>
      </c>
      <c r="CG86">
        <f t="shared" si="108"/>
        <v>0</v>
      </c>
      <c r="CH86">
        <f t="shared" si="108"/>
        <v>0</v>
      </c>
      <c r="CI86">
        <f t="shared" si="108"/>
        <v>0</v>
      </c>
      <c r="CJ86">
        <f t="shared" si="108"/>
        <v>0</v>
      </c>
      <c r="CK86">
        <f t="shared" si="108"/>
        <v>0</v>
      </c>
      <c r="CL86">
        <f t="shared" si="108"/>
        <v>0</v>
      </c>
      <c r="CM86">
        <f t="shared" si="108"/>
        <v>0</v>
      </c>
      <c r="CN86">
        <f t="shared" si="108"/>
        <v>0</v>
      </c>
      <c r="CO86">
        <f t="shared" si="108"/>
        <v>0</v>
      </c>
      <c r="CP86">
        <f t="shared" si="108"/>
        <v>0</v>
      </c>
      <c r="CQ86">
        <f t="shared" si="108"/>
        <v>0</v>
      </c>
      <c r="CR86">
        <f t="shared" si="108"/>
        <v>0</v>
      </c>
      <c r="CS86">
        <f t="shared" si="108"/>
        <v>0</v>
      </c>
      <c r="CT86">
        <f t="shared" si="108"/>
        <v>0</v>
      </c>
      <c r="CU86">
        <f t="shared" si="108"/>
        <v>0</v>
      </c>
      <c r="CV86">
        <f t="shared" si="108"/>
        <v>0</v>
      </c>
      <c r="CW86">
        <f t="shared" si="108"/>
        <v>0</v>
      </c>
      <c r="CX86">
        <f t="shared" si="108"/>
        <v>0</v>
      </c>
      <c r="CY86">
        <f t="shared" si="108"/>
        <v>0</v>
      </c>
      <c r="CZ86">
        <f t="shared" si="108"/>
        <v>0</v>
      </c>
      <c r="DA86">
        <f t="shared" si="108"/>
        <v>0</v>
      </c>
      <c r="DB86">
        <f t="shared" si="108"/>
        <v>0</v>
      </c>
      <c r="DC86">
        <f t="shared" si="108"/>
        <v>0</v>
      </c>
      <c r="DD86">
        <f t="shared" si="108"/>
        <v>0</v>
      </c>
      <c r="DE86">
        <f t="shared" si="108"/>
        <v>0</v>
      </c>
      <c r="DF86">
        <f t="shared" si="108"/>
        <v>0</v>
      </c>
      <c r="DG86">
        <f t="shared" si="108"/>
        <v>0</v>
      </c>
      <c r="DH86">
        <f t="shared" si="108"/>
        <v>0</v>
      </c>
      <c r="DI86">
        <f t="shared" si="108"/>
        <v>0</v>
      </c>
      <c r="DJ86">
        <f t="shared" si="108"/>
        <v>0</v>
      </c>
      <c r="DK86">
        <f t="shared" si="108"/>
        <v>0</v>
      </c>
      <c r="DL86">
        <f t="shared" si="108"/>
        <v>0</v>
      </c>
      <c r="DM86">
        <f t="shared" si="108"/>
        <v>0</v>
      </c>
      <c r="DN86">
        <f t="shared" si="108"/>
        <v>0</v>
      </c>
      <c r="DO86">
        <f t="shared" si="108"/>
        <v>0</v>
      </c>
      <c r="DP86">
        <f t="shared" si="108"/>
        <v>0</v>
      </c>
      <c r="DQ86">
        <f t="shared" si="108"/>
        <v>0</v>
      </c>
      <c r="DR86">
        <f t="shared" si="108"/>
        <v>0</v>
      </c>
      <c r="DS86">
        <f t="shared" si="108"/>
        <v>0</v>
      </c>
      <c r="DT86">
        <f t="shared" si="108"/>
        <v>0</v>
      </c>
      <c r="DU86">
        <f t="shared" si="108"/>
        <v>0</v>
      </c>
      <c r="DV86">
        <f t="shared" si="108"/>
        <v>0</v>
      </c>
    </row>
    <row r="88" spans="1:126" ht="29" x14ac:dyDescent="0.35">
      <c r="A88" s="1" t="s">
        <v>193</v>
      </c>
      <c r="B88" t="s">
        <v>127</v>
      </c>
      <c r="F88">
        <v>1550.3333333333333</v>
      </c>
      <c r="G88">
        <v>1548.1111111111111</v>
      </c>
      <c r="H88">
        <v>1545.9259259259259</v>
      </c>
      <c r="I88">
        <v>1543.7771604938271</v>
      </c>
      <c r="J88">
        <v>1541.66420781893</v>
      </c>
      <c r="K88">
        <v>1539.5864710219478</v>
      </c>
      <c r="L88">
        <v>1537.5433631715821</v>
      </c>
      <c r="M88">
        <v>1535.5343071187224</v>
      </c>
      <c r="N88">
        <v>1533.5587353334104</v>
      </c>
      <c r="O88">
        <v>1531.6160897445202</v>
      </c>
      <c r="P88">
        <v>1529.7058215821114</v>
      </c>
      <c r="Q88">
        <v>1527.8273912224097</v>
      </c>
      <c r="R88">
        <v>9148</v>
      </c>
      <c r="S88">
        <v>9083.2000000000007</v>
      </c>
      <c r="T88">
        <v>18024</v>
      </c>
      <c r="U88">
        <v>17819.2</v>
      </c>
      <c r="V88">
        <v>20276.8</v>
      </c>
    </row>
    <row r="91" spans="1:126" x14ac:dyDescent="0.35">
      <c r="A91" t="s">
        <v>128</v>
      </c>
      <c r="C91" s="1" t="s">
        <v>129</v>
      </c>
    </row>
    <row r="92" spans="1:126" ht="29" x14ac:dyDescent="0.35">
      <c r="A92" t="s">
        <v>194</v>
      </c>
      <c r="C92" s="1" t="s">
        <v>133</v>
      </c>
      <c r="D92" s="2">
        <v>0.01</v>
      </c>
      <c r="F92">
        <f t="shared" ref="F92:Q92" si="109">$D$92*F23</f>
        <v>642.6</v>
      </c>
      <c r="G92">
        <f t="shared" si="109"/>
        <v>1478.7</v>
      </c>
      <c r="H92">
        <f t="shared" si="109"/>
        <v>1672.2</v>
      </c>
      <c r="I92">
        <f t="shared" si="109"/>
        <v>1528.4</v>
      </c>
      <c r="J92">
        <f t="shared" si="109"/>
        <v>1728.4</v>
      </c>
      <c r="K92">
        <f t="shared" si="109"/>
        <v>1128.4000000000001</v>
      </c>
      <c r="L92">
        <f t="shared" si="109"/>
        <v>1547.05</v>
      </c>
      <c r="M92">
        <f t="shared" si="109"/>
        <v>1111.8</v>
      </c>
      <c r="N92">
        <f t="shared" si="109"/>
        <v>1664.3500000000001</v>
      </c>
      <c r="O92">
        <f t="shared" si="109"/>
        <v>1525.8</v>
      </c>
      <c r="P92">
        <f t="shared" si="109"/>
        <v>1734.75</v>
      </c>
      <c r="Q92">
        <f t="shared" si="109"/>
        <v>1317.4</v>
      </c>
      <c r="R92">
        <f>$D$92*R23/6</f>
        <v>1527.8000000000002</v>
      </c>
      <c r="S92">
        <f>$D$92*S23/6</f>
        <v>1635.9833333333333</v>
      </c>
      <c r="T92">
        <f>$D$92*T23/12</f>
        <v>1451.25</v>
      </c>
      <c r="U92">
        <f>$D$92*U23/12</f>
        <v>1557.6750000000002</v>
      </c>
      <c r="V92">
        <f>$D$92*V23/12</f>
        <v>1673.7749999999999</v>
      </c>
    </row>
    <row r="93" spans="1:126" ht="29" x14ac:dyDescent="0.35">
      <c r="A93" t="s">
        <v>130</v>
      </c>
      <c r="C93" s="1" t="s">
        <v>134</v>
      </c>
      <c r="D93">
        <v>12</v>
      </c>
      <c r="F93">
        <f t="shared" ref="F93:Q93" si="110">F40/$D$93</f>
        <v>1368</v>
      </c>
      <c r="G93">
        <f t="shared" si="110"/>
        <v>2868.1666666666665</v>
      </c>
      <c r="H93">
        <f t="shared" si="110"/>
        <v>3218.1666666666665</v>
      </c>
      <c r="I93">
        <f t="shared" si="110"/>
        <v>2877.3333333333335</v>
      </c>
      <c r="J93">
        <f t="shared" si="110"/>
        <v>3231.5</v>
      </c>
      <c r="K93">
        <f t="shared" si="110"/>
        <v>2201.5</v>
      </c>
      <c r="L93">
        <f t="shared" si="110"/>
        <v>2907.3333333333335</v>
      </c>
      <c r="M93">
        <f t="shared" si="110"/>
        <v>2117</v>
      </c>
      <c r="N93">
        <f t="shared" si="110"/>
        <v>3052.6666666666665</v>
      </c>
      <c r="O93">
        <f t="shared" si="110"/>
        <v>2845.8333333333335</v>
      </c>
      <c r="P93">
        <f t="shared" si="110"/>
        <v>3219.1666666666665</v>
      </c>
      <c r="Q93">
        <f t="shared" si="110"/>
        <v>2558.3333333333335</v>
      </c>
      <c r="R93">
        <f>(R40/$D$93)/6</f>
        <v>3896.7638888888887</v>
      </c>
      <c r="S93">
        <f>(S40/$D$93)/6</f>
        <v>4116.291666666667</v>
      </c>
      <c r="T93">
        <f>(T40/$D$93)/12</f>
        <v>4642.5277777777783</v>
      </c>
      <c r="U93">
        <f>(U40/$D$93)/12</f>
        <v>5006.604166666667</v>
      </c>
      <c r="V93">
        <f>(V40/$D$93)/12</f>
        <v>5050.8194444444443</v>
      </c>
    </row>
    <row r="95" spans="1:126" x14ac:dyDescent="0.35">
      <c r="A95" t="s">
        <v>131</v>
      </c>
      <c r="F95">
        <f>ROUND($F$84-F88,0)</f>
        <v>116450</v>
      </c>
      <c r="G95">
        <f t="shared" ref="G95:V95" si="111">ROUND($F$84-G88,0)</f>
        <v>116452</v>
      </c>
      <c r="H95">
        <f t="shared" si="111"/>
        <v>116454</v>
      </c>
      <c r="I95">
        <f t="shared" si="111"/>
        <v>116456</v>
      </c>
      <c r="J95">
        <f t="shared" si="111"/>
        <v>116458</v>
      </c>
      <c r="K95">
        <f t="shared" si="111"/>
        <v>116460</v>
      </c>
      <c r="L95">
        <f t="shared" si="111"/>
        <v>116462</v>
      </c>
      <c r="M95">
        <f t="shared" si="111"/>
        <v>116464</v>
      </c>
      <c r="N95">
        <f t="shared" si="111"/>
        <v>116466</v>
      </c>
      <c r="O95">
        <f t="shared" si="111"/>
        <v>116468</v>
      </c>
      <c r="P95">
        <f t="shared" si="111"/>
        <v>116470</v>
      </c>
      <c r="Q95">
        <f t="shared" si="111"/>
        <v>116472</v>
      </c>
      <c r="R95">
        <f t="shared" si="111"/>
        <v>108852</v>
      </c>
      <c r="S95">
        <f t="shared" si="111"/>
        <v>108917</v>
      </c>
      <c r="T95">
        <f t="shared" si="111"/>
        <v>99976</v>
      </c>
      <c r="U95">
        <f t="shared" si="111"/>
        <v>100181</v>
      </c>
      <c r="V95">
        <f t="shared" si="111"/>
        <v>97723</v>
      </c>
    </row>
    <row r="97" spans="1:22" x14ac:dyDescent="0.35">
      <c r="A97" t="s">
        <v>145</v>
      </c>
      <c r="F97">
        <f>SUM(F98:F100)</f>
        <v>91416</v>
      </c>
      <c r="G97">
        <f t="shared" ref="G97:V97" si="112">SUM(G98:G100)</f>
        <v>109418</v>
      </c>
      <c r="H97">
        <f t="shared" si="112"/>
        <v>113618</v>
      </c>
      <c r="I97">
        <f t="shared" si="112"/>
        <v>109528</v>
      </c>
      <c r="J97">
        <f t="shared" si="112"/>
        <v>113778</v>
      </c>
      <c r="K97">
        <f t="shared" si="112"/>
        <v>101418</v>
      </c>
      <c r="L97">
        <f t="shared" si="112"/>
        <v>112388</v>
      </c>
      <c r="M97">
        <f t="shared" si="112"/>
        <v>102904</v>
      </c>
      <c r="N97">
        <f t="shared" si="112"/>
        <v>114132</v>
      </c>
      <c r="O97">
        <f t="shared" si="112"/>
        <v>111650</v>
      </c>
      <c r="P97">
        <f t="shared" si="112"/>
        <v>116130</v>
      </c>
      <c r="Q97">
        <f t="shared" si="112"/>
        <v>108200</v>
      </c>
      <c r="R97">
        <f t="shared" si="112"/>
        <v>761317</v>
      </c>
      <c r="S97">
        <f t="shared" si="112"/>
        <v>793660.5</v>
      </c>
      <c r="T97">
        <f t="shared" si="112"/>
        <v>1697827.75</v>
      </c>
      <c r="U97">
        <f t="shared" si="112"/>
        <v>1786719.9375</v>
      </c>
      <c r="V97">
        <f t="shared" si="112"/>
        <v>1831375.3843749999</v>
      </c>
    </row>
    <row r="98" spans="1:22" ht="29" x14ac:dyDescent="0.35">
      <c r="A98" t="s">
        <v>137</v>
      </c>
      <c r="B98" s="1"/>
      <c r="C98" s="1" t="s">
        <v>142</v>
      </c>
      <c r="F98">
        <f t="shared" ref="F98:V98" si="113">F40</f>
        <v>16416</v>
      </c>
      <c r="G98">
        <f t="shared" si="113"/>
        <v>34418</v>
      </c>
      <c r="H98">
        <f t="shared" si="113"/>
        <v>38618</v>
      </c>
      <c r="I98">
        <f t="shared" si="113"/>
        <v>34528</v>
      </c>
      <c r="J98">
        <f t="shared" si="113"/>
        <v>38778</v>
      </c>
      <c r="K98">
        <f t="shared" si="113"/>
        <v>26418</v>
      </c>
      <c r="L98">
        <f t="shared" si="113"/>
        <v>34888</v>
      </c>
      <c r="M98">
        <f t="shared" si="113"/>
        <v>25404</v>
      </c>
      <c r="N98">
        <f t="shared" si="113"/>
        <v>36632</v>
      </c>
      <c r="O98">
        <f t="shared" si="113"/>
        <v>34150</v>
      </c>
      <c r="P98">
        <f t="shared" si="113"/>
        <v>38630</v>
      </c>
      <c r="Q98">
        <f t="shared" si="113"/>
        <v>30700</v>
      </c>
      <c r="R98">
        <f t="shared" si="113"/>
        <v>280567</v>
      </c>
      <c r="S98">
        <f t="shared" si="113"/>
        <v>296373</v>
      </c>
      <c r="T98">
        <f t="shared" si="113"/>
        <v>668524</v>
      </c>
      <c r="U98">
        <f t="shared" si="113"/>
        <v>720951</v>
      </c>
      <c r="V98">
        <f t="shared" si="113"/>
        <v>727318</v>
      </c>
    </row>
    <row r="99" spans="1:22" ht="43.5" x14ac:dyDescent="0.35">
      <c r="A99" t="s">
        <v>138</v>
      </c>
      <c r="B99" s="1"/>
      <c r="C99" s="1" t="s">
        <v>139</v>
      </c>
      <c r="F99">
        <f>F63</f>
        <v>25000</v>
      </c>
      <c r="G99">
        <f t="shared" ref="G99:V99" si="114">G63</f>
        <v>25000</v>
      </c>
      <c r="H99">
        <f t="shared" si="114"/>
        <v>25000</v>
      </c>
      <c r="I99">
        <f t="shared" si="114"/>
        <v>25000</v>
      </c>
      <c r="J99">
        <f t="shared" si="114"/>
        <v>25000</v>
      </c>
      <c r="K99">
        <f t="shared" si="114"/>
        <v>25000</v>
      </c>
      <c r="L99">
        <f t="shared" si="114"/>
        <v>25000</v>
      </c>
      <c r="M99">
        <f t="shared" si="114"/>
        <v>25000</v>
      </c>
      <c r="N99">
        <f t="shared" si="114"/>
        <v>25000</v>
      </c>
      <c r="O99">
        <f t="shared" si="114"/>
        <v>25000</v>
      </c>
      <c r="P99">
        <f t="shared" si="114"/>
        <v>25000</v>
      </c>
      <c r="Q99">
        <f t="shared" si="114"/>
        <v>25000</v>
      </c>
      <c r="R99">
        <f t="shared" si="114"/>
        <v>150000</v>
      </c>
      <c r="S99">
        <f t="shared" si="114"/>
        <v>150000</v>
      </c>
      <c r="T99">
        <f t="shared" si="114"/>
        <v>300000</v>
      </c>
      <c r="U99">
        <f t="shared" si="114"/>
        <v>300000</v>
      </c>
      <c r="V99">
        <f t="shared" si="114"/>
        <v>300000</v>
      </c>
    </row>
    <row r="100" spans="1:22" x14ac:dyDescent="0.35">
      <c r="A100" t="s">
        <v>140</v>
      </c>
      <c r="B100" s="1"/>
      <c r="C100" s="1" t="s">
        <v>141</v>
      </c>
      <c r="F100">
        <f>F61</f>
        <v>50000</v>
      </c>
      <c r="G100">
        <f t="shared" ref="G100:V100" si="115">G61</f>
        <v>50000</v>
      </c>
      <c r="H100">
        <f t="shared" si="115"/>
        <v>50000</v>
      </c>
      <c r="I100">
        <f t="shared" si="115"/>
        <v>50000</v>
      </c>
      <c r="J100">
        <f t="shared" si="115"/>
        <v>50000</v>
      </c>
      <c r="K100">
        <f t="shared" si="115"/>
        <v>50000</v>
      </c>
      <c r="L100">
        <f t="shared" si="115"/>
        <v>52500</v>
      </c>
      <c r="M100">
        <f t="shared" si="115"/>
        <v>52500</v>
      </c>
      <c r="N100">
        <f t="shared" si="115"/>
        <v>52500</v>
      </c>
      <c r="O100">
        <f t="shared" si="115"/>
        <v>52500</v>
      </c>
      <c r="P100">
        <f t="shared" si="115"/>
        <v>52500</v>
      </c>
      <c r="Q100">
        <f t="shared" si="115"/>
        <v>52500</v>
      </c>
      <c r="R100">
        <f t="shared" si="115"/>
        <v>330750</v>
      </c>
      <c r="S100">
        <f t="shared" si="115"/>
        <v>347287.5</v>
      </c>
      <c r="T100">
        <f t="shared" si="115"/>
        <v>729303.75</v>
      </c>
      <c r="U100">
        <f t="shared" si="115"/>
        <v>765768.9375</v>
      </c>
      <c r="V100">
        <f t="shared" si="115"/>
        <v>804057.38437500002</v>
      </c>
    </row>
    <row r="102" spans="1:22" x14ac:dyDescent="0.35">
      <c r="A102" t="s">
        <v>146</v>
      </c>
      <c r="C102" s="1" t="s">
        <v>143</v>
      </c>
    </row>
    <row r="103" spans="1:22" ht="58" x14ac:dyDescent="0.35">
      <c r="A103" t="s">
        <v>132</v>
      </c>
      <c r="B103" s="1" t="s">
        <v>150</v>
      </c>
      <c r="C103" s="1" t="s">
        <v>151</v>
      </c>
      <c r="F103">
        <f>2000000/24</f>
        <v>83333.333333333328</v>
      </c>
      <c r="G103">
        <f>F103</f>
        <v>83333.333333333328</v>
      </c>
      <c r="H103">
        <f t="shared" ref="H103:V103" si="116">G103</f>
        <v>83333.333333333328</v>
      </c>
      <c r="I103">
        <f t="shared" si="116"/>
        <v>83333.333333333328</v>
      </c>
      <c r="J103">
        <f t="shared" si="116"/>
        <v>83333.333333333328</v>
      </c>
      <c r="K103">
        <f t="shared" si="116"/>
        <v>83333.333333333328</v>
      </c>
      <c r="L103">
        <f t="shared" si="116"/>
        <v>83333.333333333328</v>
      </c>
      <c r="M103">
        <f t="shared" si="116"/>
        <v>83333.333333333328</v>
      </c>
      <c r="N103">
        <f t="shared" si="116"/>
        <v>83333.333333333328</v>
      </c>
      <c r="O103">
        <f t="shared" si="116"/>
        <v>83333.333333333328</v>
      </c>
      <c r="P103">
        <f t="shared" si="116"/>
        <v>83333.333333333328</v>
      </c>
      <c r="Q103">
        <f t="shared" si="116"/>
        <v>83333.333333333328</v>
      </c>
      <c r="R103">
        <f t="shared" si="116"/>
        <v>83333.333333333328</v>
      </c>
      <c r="S103">
        <f t="shared" si="116"/>
        <v>83333.333333333328</v>
      </c>
      <c r="T103">
        <f t="shared" si="116"/>
        <v>83333.333333333328</v>
      </c>
      <c r="U103">
        <f t="shared" si="116"/>
        <v>83333.333333333328</v>
      </c>
      <c r="V103">
        <f t="shared" si="116"/>
        <v>83333.333333333328</v>
      </c>
    </row>
    <row r="105" spans="1:22" x14ac:dyDescent="0.35">
      <c r="A105" t="s">
        <v>195</v>
      </c>
      <c r="C105" t="s">
        <v>144</v>
      </c>
      <c r="F105">
        <v>30000</v>
      </c>
      <c r="G105">
        <f>F105</f>
        <v>30000</v>
      </c>
      <c r="H105">
        <f t="shared" ref="H105:V105" si="117">G105</f>
        <v>30000</v>
      </c>
      <c r="I105">
        <f t="shared" si="117"/>
        <v>30000</v>
      </c>
      <c r="J105">
        <f t="shared" si="117"/>
        <v>30000</v>
      </c>
      <c r="K105">
        <f t="shared" si="117"/>
        <v>30000</v>
      </c>
      <c r="L105">
        <f t="shared" si="117"/>
        <v>30000</v>
      </c>
      <c r="M105">
        <f t="shared" si="117"/>
        <v>30000</v>
      </c>
      <c r="N105">
        <f t="shared" si="117"/>
        <v>30000</v>
      </c>
      <c r="O105">
        <f t="shared" si="117"/>
        <v>30000</v>
      </c>
      <c r="P105">
        <f t="shared" si="117"/>
        <v>30000</v>
      </c>
      <c r="Q105">
        <f t="shared" si="117"/>
        <v>30000</v>
      </c>
      <c r="R105">
        <f t="shared" si="117"/>
        <v>30000</v>
      </c>
      <c r="S105">
        <f t="shared" si="117"/>
        <v>30000</v>
      </c>
      <c r="T105">
        <f t="shared" si="117"/>
        <v>30000</v>
      </c>
      <c r="U105">
        <f t="shared" si="117"/>
        <v>30000</v>
      </c>
      <c r="V105">
        <f t="shared" si="117"/>
        <v>30000</v>
      </c>
    </row>
    <row r="109" spans="1:22" x14ac:dyDescent="0.35">
      <c r="A109" t="s">
        <v>26</v>
      </c>
      <c r="B109">
        <v>12</v>
      </c>
    </row>
    <row r="110" spans="1:22" x14ac:dyDescent="0.35">
      <c r="A110" t="s">
        <v>27</v>
      </c>
      <c r="B110">
        <v>4</v>
      </c>
    </row>
    <row r="111" spans="1:22" x14ac:dyDescent="0.35">
      <c r="A111" t="s">
        <v>178</v>
      </c>
      <c r="B111">
        <v>2</v>
      </c>
    </row>
    <row r="112" spans="1:22" x14ac:dyDescent="0.35">
      <c r="A112" t="s">
        <v>179</v>
      </c>
      <c r="B112">
        <v>1</v>
      </c>
    </row>
  </sheetData>
  <mergeCells count="1">
    <mergeCell ref="A1:C1"/>
  </mergeCells>
  <phoneticPr fontId="3" type="noConversion"/>
  <dataValidations count="1">
    <dataValidation type="list" allowBlank="1" showInputMessage="1" showErrorMessage="1" sqref="C76 C57 C70" xr:uid="{F7CBE2D9-DA77-44F9-967B-07290DF32E6F}">
      <formula1>$A$109:$A$112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7973-0767-4E1A-84DC-2C276686FD7E}">
  <dimension ref="A1:AE23"/>
  <sheetViews>
    <sheetView zoomScale="42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H10" sqref="AH10"/>
    </sheetView>
  </sheetViews>
  <sheetFormatPr defaultRowHeight="14.5" x14ac:dyDescent="0.35"/>
  <cols>
    <col min="1" max="1" width="14" customWidth="1"/>
    <col min="2" max="2" width="9.6328125" customWidth="1"/>
    <col min="22" max="22" width="17.6328125" customWidth="1"/>
  </cols>
  <sheetData>
    <row r="1" spans="1:22" x14ac:dyDescent="0.35">
      <c r="F1">
        <v>2025</v>
      </c>
      <c r="R1">
        <v>2026</v>
      </c>
      <c r="T1">
        <v>2027</v>
      </c>
      <c r="U1">
        <v>2028</v>
      </c>
      <c r="V1">
        <v>2029</v>
      </c>
    </row>
    <row r="2" spans="1:22" x14ac:dyDescent="0.35"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</row>
    <row r="3" spans="1:22" x14ac:dyDescent="0.35">
      <c r="D3" t="s">
        <v>107</v>
      </c>
      <c r="E3" t="s">
        <v>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3</v>
      </c>
      <c r="U3">
        <v>4</v>
      </c>
      <c r="V3">
        <v>5</v>
      </c>
    </row>
    <row r="4" spans="1:22" ht="29" x14ac:dyDescent="0.35">
      <c r="A4" s="9" t="s">
        <v>113</v>
      </c>
      <c r="B4" s="9" t="s">
        <v>108</v>
      </c>
      <c r="C4" s="7" t="s">
        <v>109</v>
      </c>
      <c r="D4" s="7" t="s">
        <v>110</v>
      </c>
      <c r="E4" t="s">
        <v>4</v>
      </c>
      <c r="F4">
        <v>1</v>
      </c>
      <c r="G4">
        <v>2</v>
      </c>
      <c r="H4">
        <v>3</v>
      </c>
      <c r="I4">
        <f>H4+1</f>
        <v>4</v>
      </c>
      <c r="J4">
        <f t="shared" ref="J4:Q4" si="0">I4+1</f>
        <v>5</v>
      </c>
      <c r="K4">
        <f t="shared" si="0"/>
        <v>6</v>
      </c>
      <c r="L4">
        <f t="shared" si="0"/>
        <v>7</v>
      </c>
      <c r="M4">
        <f t="shared" si="0"/>
        <v>8</v>
      </c>
      <c r="N4">
        <f t="shared" si="0"/>
        <v>9</v>
      </c>
      <c r="O4">
        <f t="shared" si="0"/>
        <v>10</v>
      </c>
      <c r="P4">
        <f t="shared" si="0"/>
        <v>11</v>
      </c>
      <c r="Q4">
        <f t="shared" si="0"/>
        <v>12</v>
      </c>
      <c r="R4" t="s">
        <v>111</v>
      </c>
      <c r="S4" t="s">
        <v>112</v>
      </c>
      <c r="T4" t="s">
        <v>9</v>
      </c>
      <c r="U4" t="s">
        <v>9</v>
      </c>
      <c r="V4" t="s">
        <v>9</v>
      </c>
    </row>
    <row r="5" spans="1:22" x14ac:dyDescent="0.35">
      <c r="A5" s="48" t="s">
        <v>11</v>
      </c>
      <c r="B5" s="69"/>
      <c r="C5" s="69"/>
      <c r="D5" s="69"/>
      <c r="E5" s="12"/>
      <c r="F5" s="69">
        <f>Assumptions!F23</f>
        <v>64260</v>
      </c>
      <c r="G5" s="69">
        <f>Assumptions!G23</f>
        <v>147870</v>
      </c>
      <c r="H5" s="69">
        <f>Assumptions!H23</f>
        <v>167220</v>
      </c>
      <c r="I5" s="69">
        <f>Assumptions!I23</f>
        <v>152840</v>
      </c>
      <c r="J5" s="69">
        <f>Assumptions!J23</f>
        <v>172840</v>
      </c>
      <c r="K5" s="69">
        <f>Assumptions!K23</f>
        <v>112840</v>
      </c>
      <c r="L5" s="69">
        <f>Assumptions!L23</f>
        <v>154705</v>
      </c>
      <c r="M5" s="69">
        <f>Assumptions!M23</f>
        <v>111180</v>
      </c>
      <c r="N5" s="69">
        <f>Assumptions!N23</f>
        <v>166435</v>
      </c>
      <c r="O5" s="69">
        <f>Assumptions!O23</f>
        <v>152580</v>
      </c>
      <c r="P5" s="69">
        <f>Assumptions!P23</f>
        <v>173475</v>
      </c>
      <c r="Q5" s="69">
        <f>Assumptions!Q23</f>
        <v>131740</v>
      </c>
      <c r="R5" s="69">
        <f>Assumptions!R23</f>
        <v>916680</v>
      </c>
      <c r="S5" s="69">
        <f>Assumptions!S23</f>
        <v>981590</v>
      </c>
      <c r="T5" s="69">
        <f>Assumptions!T23</f>
        <v>1741500</v>
      </c>
      <c r="U5" s="69">
        <f>Assumptions!U23</f>
        <v>1869210</v>
      </c>
      <c r="V5" s="88">
        <f>Assumptions!V23</f>
        <v>2008530</v>
      </c>
    </row>
    <row r="6" spans="1:22" ht="29" x14ac:dyDescent="0.35">
      <c r="A6" s="43" t="s">
        <v>114</v>
      </c>
      <c r="F6">
        <f>Assumptions!F40</f>
        <v>16416</v>
      </c>
      <c r="G6">
        <f>Assumptions!G40</f>
        <v>34418</v>
      </c>
      <c r="H6">
        <f>Assumptions!H40</f>
        <v>38618</v>
      </c>
      <c r="I6">
        <f>Assumptions!I40</f>
        <v>34528</v>
      </c>
      <c r="J6">
        <f>Assumptions!J40</f>
        <v>38778</v>
      </c>
      <c r="K6">
        <f>Assumptions!K40</f>
        <v>26418</v>
      </c>
      <c r="L6">
        <f>Assumptions!L40</f>
        <v>34888</v>
      </c>
      <c r="M6">
        <f>Assumptions!M40</f>
        <v>25404</v>
      </c>
      <c r="N6">
        <f>Assumptions!N40</f>
        <v>36632</v>
      </c>
      <c r="O6">
        <f>Assumptions!O40</f>
        <v>34150</v>
      </c>
      <c r="P6">
        <f>Assumptions!P40</f>
        <v>38630</v>
      </c>
      <c r="Q6">
        <f>Assumptions!Q40</f>
        <v>30700</v>
      </c>
      <c r="R6">
        <f>Assumptions!R40</f>
        <v>280567</v>
      </c>
      <c r="S6">
        <f>Assumptions!S40</f>
        <v>296373</v>
      </c>
      <c r="T6">
        <f>Assumptions!T40</f>
        <v>668524</v>
      </c>
      <c r="U6">
        <f>Assumptions!U40</f>
        <v>720951</v>
      </c>
      <c r="V6" s="45">
        <f>Assumptions!V40</f>
        <v>727318</v>
      </c>
    </row>
    <row r="7" spans="1:22" ht="29" x14ac:dyDescent="0.35">
      <c r="A7" s="46" t="s">
        <v>115</v>
      </c>
      <c r="B7" s="20"/>
      <c r="C7" s="20"/>
      <c r="D7" s="20"/>
      <c r="E7" s="20"/>
      <c r="F7" s="20">
        <f>Assumptions!F51</f>
        <v>86550</v>
      </c>
      <c r="G7" s="20">
        <f>Assumptions!G51</f>
        <v>57383</v>
      </c>
      <c r="H7" s="20">
        <f>Assumptions!H51</f>
        <v>53882</v>
      </c>
      <c r="I7" s="20">
        <f>Assumptions!I51</f>
        <v>51381</v>
      </c>
      <c r="J7" s="20">
        <f>Assumptions!J51</f>
        <v>51380</v>
      </c>
      <c r="K7" s="20">
        <f>Assumptions!K51</f>
        <v>51379</v>
      </c>
      <c r="L7" s="20">
        <f>Assumptions!L51</f>
        <v>53878</v>
      </c>
      <c r="M7" s="20">
        <f>Assumptions!M51</f>
        <v>53877</v>
      </c>
      <c r="N7" s="20">
        <f>Assumptions!N51</f>
        <v>53876</v>
      </c>
      <c r="O7" s="20">
        <f>Assumptions!O51</f>
        <v>53875</v>
      </c>
      <c r="P7" s="20">
        <f>Assumptions!P51</f>
        <v>53874</v>
      </c>
      <c r="Q7" s="20">
        <f>Assumptions!Q51</f>
        <v>53873</v>
      </c>
      <c r="R7" s="20">
        <f>Assumptions!R51</f>
        <v>338911</v>
      </c>
      <c r="S7" s="20">
        <f>Assumptions!S51</f>
        <v>355385</v>
      </c>
      <c r="T7" s="20">
        <f>Assumptions!T51</f>
        <v>745343</v>
      </c>
      <c r="U7" s="20">
        <f>Assumptions!U51</f>
        <v>781604</v>
      </c>
      <c r="V7" s="34">
        <f>Assumptions!V51</f>
        <v>822351</v>
      </c>
    </row>
    <row r="8" spans="1:22" ht="43.5" x14ac:dyDescent="0.35">
      <c r="A8" s="25" t="s">
        <v>116</v>
      </c>
      <c r="B8" s="26"/>
      <c r="C8" s="26"/>
      <c r="D8" s="26"/>
      <c r="E8" s="26"/>
      <c r="F8" s="26">
        <f>F5-F6-F7</f>
        <v>-38706</v>
      </c>
      <c r="G8" s="26">
        <f t="shared" ref="G8:V8" si="1">G5-G6-G7</f>
        <v>56069</v>
      </c>
      <c r="H8" s="26">
        <f t="shared" si="1"/>
        <v>74720</v>
      </c>
      <c r="I8" s="26">
        <f t="shared" si="1"/>
        <v>66931</v>
      </c>
      <c r="J8" s="26">
        <f t="shared" si="1"/>
        <v>82682</v>
      </c>
      <c r="K8" s="26">
        <f t="shared" si="1"/>
        <v>35043</v>
      </c>
      <c r="L8" s="26">
        <f t="shared" si="1"/>
        <v>65939</v>
      </c>
      <c r="M8" s="26">
        <f t="shared" si="1"/>
        <v>31899</v>
      </c>
      <c r="N8" s="26">
        <f t="shared" si="1"/>
        <v>75927</v>
      </c>
      <c r="O8" s="26">
        <f t="shared" si="1"/>
        <v>64555</v>
      </c>
      <c r="P8" s="26">
        <f t="shared" si="1"/>
        <v>80971</v>
      </c>
      <c r="Q8" s="26">
        <f t="shared" si="1"/>
        <v>47167</v>
      </c>
      <c r="R8" s="26">
        <f t="shared" si="1"/>
        <v>297202</v>
      </c>
      <c r="S8" s="26">
        <f t="shared" si="1"/>
        <v>329832</v>
      </c>
      <c r="T8" s="26">
        <f t="shared" si="1"/>
        <v>327633</v>
      </c>
      <c r="U8" s="26">
        <f t="shared" si="1"/>
        <v>366655</v>
      </c>
      <c r="V8" s="27">
        <f t="shared" si="1"/>
        <v>458861</v>
      </c>
    </row>
    <row r="9" spans="1:22" x14ac:dyDescent="0.35">
      <c r="A9" s="25" t="s">
        <v>117</v>
      </c>
      <c r="B9" s="26"/>
      <c r="C9" s="26"/>
      <c r="D9" s="26"/>
      <c r="E9" s="26"/>
      <c r="F9" s="26">
        <f>F8*Assumptions!$D$81</f>
        <v>-7741.2000000000007</v>
      </c>
      <c r="G9" s="26">
        <f>G8*Assumptions!$D$81</f>
        <v>11213.800000000001</v>
      </c>
      <c r="H9" s="26">
        <f>H8*Assumptions!$D$81</f>
        <v>14944</v>
      </c>
      <c r="I9" s="26">
        <f>I8*Assumptions!$D$81</f>
        <v>13386.2</v>
      </c>
      <c r="J9" s="26">
        <f>J8*Assumptions!$D$81</f>
        <v>16536.400000000001</v>
      </c>
      <c r="K9" s="26">
        <f>K8*Assumptions!$D$81</f>
        <v>7008.6</v>
      </c>
      <c r="L9" s="26">
        <f>L8*Assumptions!$D$81</f>
        <v>13187.800000000001</v>
      </c>
      <c r="M9" s="26">
        <f>M8*Assumptions!$D$81</f>
        <v>6379.8</v>
      </c>
      <c r="N9" s="26">
        <f>N8*Assumptions!$D$81</f>
        <v>15185.400000000001</v>
      </c>
      <c r="O9" s="26">
        <f>O8*Assumptions!$D$81</f>
        <v>12911</v>
      </c>
      <c r="P9" s="26">
        <f>P8*Assumptions!$D$81</f>
        <v>16194.2</v>
      </c>
      <c r="Q9" s="26">
        <f>Q8*Assumptions!$D$81</f>
        <v>9433.4</v>
      </c>
      <c r="R9" s="26">
        <f>R8*Assumptions!$D$81</f>
        <v>59440.4</v>
      </c>
      <c r="S9" s="26">
        <f>S8*Assumptions!$D$81</f>
        <v>65966.400000000009</v>
      </c>
      <c r="T9" s="26">
        <f>T8*Assumptions!$D$81</f>
        <v>65526.600000000006</v>
      </c>
      <c r="U9" s="26">
        <f>U8*Assumptions!$D$81</f>
        <v>73331</v>
      </c>
      <c r="V9" s="27">
        <f>V8*Assumptions!$D$81</f>
        <v>91772.200000000012</v>
      </c>
    </row>
    <row r="10" spans="1:22" x14ac:dyDescent="0.35">
      <c r="A10" s="7" t="s">
        <v>119</v>
      </c>
      <c r="B10" s="9"/>
      <c r="C10" s="9"/>
      <c r="D10" s="9"/>
      <c r="E10" s="9"/>
      <c r="F10" s="9">
        <f>F8-F9</f>
        <v>-30964.799999999999</v>
      </c>
      <c r="G10" s="9">
        <f t="shared" ref="G10:V10" si="2">G8-G9</f>
        <v>44855.199999999997</v>
      </c>
      <c r="H10" s="9">
        <f t="shared" si="2"/>
        <v>59776</v>
      </c>
      <c r="I10" s="9">
        <f t="shared" si="2"/>
        <v>53544.800000000003</v>
      </c>
      <c r="J10" s="9">
        <f t="shared" si="2"/>
        <v>66145.600000000006</v>
      </c>
      <c r="K10" s="9">
        <f t="shared" si="2"/>
        <v>28034.400000000001</v>
      </c>
      <c r="L10" s="9">
        <f t="shared" si="2"/>
        <v>52751.199999999997</v>
      </c>
      <c r="M10" s="9">
        <f t="shared" si="2"/>
        <v>25519.200000000001</v>
      </c>
      <c r="N10" s="9">
        <f t="shared" si="2"/>
        <v>60741.599999999999</v>
      </c>
      <c r="O10" s="9">
        <f t="shared" si="2"/>
        <v>51644</v>
      </c>
      <c r="P10" s="9">
        <f t="shared" si="2"/>
        <v>64776.800000000003</v>
      </c>
      <c r="Q10" s="9">
        <f t="shared" si="2"/>
        <v>37733.599999999999</v>
      </c>
      <c r="R10" s="9">
        <f t="shared" si="2"/>
        <v>237761.6</v>
      </c>
      <c r="S10" s="9">
        <f t="shared" si="2"/>
        <v>263865.59999999998</v>
      </c>
      <c r="T10" s="9">
        <f t="shared" si="2"/>
        <v>262106.4</v>
      </c>
      <c r="U10" s="9">
        <f t="shared" si="2"/>
        <v>293324</v>
      </c>
      <c r="V10" s="66">
        <f t="shared" si="2"/>
        <v>367088.8</v>
      </c>
    </row>
    <row r="11" spans="1:22" x14ac:dyDescent="0.35">
      <c r="A11" s="32" t="s">
        <v>120</v>
      </c>
      <c r="B11" s="12"/>
      <c r="C11" s="12"/>
      <c r="D11" s="12"/>
      <c r="E11" s="12"/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33">
        <f>IF(V10&gt;0,V10*Assumptions!D82,0)</f>
        <v>91772.2</v>
      </c>
    </row>
    <row r="12" spans="1:22" ht="41" customHeight="1" x14ac:dyDescent="0.35">
      <c r="A12" s="46" t="s">
        <v>122</v>
      </c>
      <c r="B12" s="20"/>
      <c r="C12" s="20"/>
      <c r="D12" s="20"/>
      <c r="E12" s="20"/>
      <c r="F12" s="20">
        <f t="shared" ref="F12:T12" si="3">F10-F11</f>
        <v>-30964.799999999999</v>
      </c>
      <c r="G12" s="20">
        <f t="shared" si="3"/>
        <v>44855.199999999997</v>
      </c>
      <c r="H12" s="20">
        <f t="shared" si="3"/>
        <v>59776</v>
      </c>
      <c r="I12" s="20">
        <f t="shared" si="3"/>
        <v>53544.800000000003</v>
      </c>
      <c r="J12" s="20">
        <f t="shared" si="3"/>
        <v>66145.600000000006</v>
      </c>
      <c r="K12" s="20">
        <f t="shared" si="3"/>
        <v>28034.400000000001</v>
      </c>
      <c r="L12" s="20">
        <f t="shared" si="3"/>
        <v>52751.199999999997</v>
      </c>
      <c r="M12" s="20">
        <f t="shared" si="3"/>
        <v>25519.200000000001</v>
      </c>
      <c r="N12" s="20">
        <f t="shared" si="3"/>
        <v>60741.599999999999</v>
      </c>
      <c r="O12" s="20">
        <f t="shared" si="3"/>
        <v>51644</v>
      </c>
      <c r="P12" s="20">
        <f t="shared" si="3"/>
        <v>64776.800000000003</v>
      </c>
      <c r="Q12" s="20">
        <f t="shared" si="3"/>
        <v>37733.599999999999</v>
      </c>
      <c r="R12" s="20">
        <f t="shared" si="3"/>
        <v>237761.6</v>
      </c>
      <c r="S12" s="20">
        <f t="shared" si="3"/>
        <v>263865.59999999998</v>
      </c>
      <c r="T12" s="20">
        <f t="shared" si="3"/>
        <v>262106.4</v>
      </c>
      <c r="U12" s="20">
        <f>U10-U11</f>
        <v>293324</v>
      </c>
      <c r="V12" s="34">
        <f>V10-V11</f>
        <v>275316.59999999998</v>
      </c>
    </row>
    <row r="20" spans="14:31" x14ac:dyDescent="0.35">
      <c r="N20" s="130" t="s">
        <v>6</v>
      </c>
      <c r="O20" s="131" t="s">
        <v>45</v>
      </c>
      <c r="P20" s="131" t="s">
        <v>46</v>
      </c>
      <c r="Q20" s="131" t="s">
        <v>47</v>
      </c>
      <c r="R20" s="131" t="s">
        <v>48</v>
      </c>
      <c r="S20" s="131" t="s">
        <v>49</v>
      </c>
      <c r="T20" s="131" t="s">
        <v>50</v>
      </c>
      <c r="U20" s="131" t="s">
        <v>51</v>
      </c>
      <c r="V20" s="131" t="s">
        <v>52</v>
      </c>
      <c r="W20" s="131" t="s">
        <v>53</v>
      </c>
      <c r="X20" s="131" t="s">
        <v>54</v>
      </c>
      <c r="Y20" s="131" t="s">
        <v>55</v>
      </c>
      <c r="Z20" s="131" t="s">
        <v>56</v>
      </c>
      <c r="AA20" s="131" t="s">
        <v>212</v>
      </c>
      <c r="AB20" s="131" t="s">
        <v>213</v>
      </c>
      <c r="AC20" s="131">
        <v>2027</v>
      </c>
      <c r="AD20" s="131">
        <v>2028</v>
      </c>
      <c r="AE20" s="131">
        <v>2029</v>
      </c>
    </row>
    <row r="21" spans="14:31" x14ac:dyDescent="0.35">
      <c r="N21" s="130" t="s">
        <v>119</v>
      </c>
      <c r="O21" s="132">
        <f>F10</f>
        <v>-30964.799999999999</v>
      </c>
      <c r="P21" s="132">
        <f t="shared" ref="P21:AE21" si="4">G10</f>
        <v>44855.199999999997</v>
      </c>
      <c r="Q21" s="132">
        <f t="shared" si="4"/>
        <v>59776</v>
      </c>
      <c r="R21" s="132">
        <f t="shared" si="4"/>
        <v>53544.800000000003</v>
      </c>
      <c r="S21" s="132">
        <f t="shared" si="4"/>
        <v>66145.600000000006</v>
      </c>
      <c r="T21" s="132">
        <f t="shared" si="4"/>
        <v>28034.400000000001</v>
      </c>
      <c r="U21" s="132">
        <f t="shared" si="4"/>
        <v>52751.199999999997</v>
      </c>
      <c r="V21" s="132">
        <f t="shared" si="4"/>
        <v>25519.200000000001</v>
      </c>
      <c r="W21" s="132">
        <f t="shared" si="4"/>
        <v>60741.599999999999</v>
      </c>
      <c r="X21" s="132">
        <f t="shared" si="4"/>
        <v>51644</v>
      </c>
      <c r="Y21" s="132">
        <f t="shared" si="4"/>
        <v>64776.800000000003</v>
      </c>
      <c r="Z21" s="132">
        <f t="shared" si="4"/>
        <v>37733.599999999999</v>
      </c>
      <c r="AA21" s="132">
        <f t="shared" si="4"/>
        <v>237761.6</v>
      </c>
      <c r="AB21" s="132">
        <f t="shared" si="4"/>
        <v>263865.59999999998</v>
      </c>
      <c r="AC21" s="132">
        <f t="shared" si="4"/>
        <v>262106.4</v>
      </c>
      <c r="AD21" s="132">
        <f t="shared" si="4"/>
        <v>293324</v>
      </c>
      <c r="AE21" s="132">
        <f t="shared" si="4"/>
        <v>367088.8</v>
      </c>
    </row>
    <row r="22" spans="14:31" x14ac:dyDescent="0.35">
      <c r="N22" s="130" t="s">
        <v>214</v>
      </c>
      <c r="O22" s="132">
        <f>F12</f>
        <v>-30964.799999999999</v>
      </c>
      <c r="P22" s="132">
        <f t="shared" ref="P22:AE22" si="5">G12</f>
        <v>44855.199999999997</v>
      </c>
      <c r="Q22" s="132">
        <f t="shared" si="5"/>
        <v>59776</v>
      </c>
      <c r="R22" s="132">
        <f t="shared" si="5"/>
        <v>53544.800000000003</v>
      </c>
      <c r="S22" s="132">
        <f t="shared" si="5"/>
        <v>66145.600000000006</v>
      </c>
      <c r="T22" s="132">
        <f t="shared" si="5"/>
        <v>28034.400000000001</v>
      </c>
      <c r="U22" s="132">
        <f t="shared" si="5"/>
        <v>52751.199999999997</v>
      </c>
      <c r="V22" s="132">
        <f t="shared" si="5"/>
        <v>25519.200000000001</v>
      </c>
      <c r="W22" s="132">
        <f t="shared" si="5"/>
        <v>60741.599999999999</v>
      </c>
      <c r="X22" s="132">
        <f t="shared" si="5"/>
        <v>51644</v>
      </c>
      <c r="Y22" s="132">
        <f t="shared" si="5"/>
        <v>64776.800000000003</v>
      </c>
      <c r="Z22" s="132">
        <f t="shared" si="5"/>
        <v>37733.599999999999</v>
      </c>
      <c r="AA22" s="132">
        <f t="shared" si="5"/>
        <v>237761.6</v>
      </c>
      <c r="AB22" s="132">
        <f t="shared" si="5"/>
        <v>263865.59999999998</v>
      </c>
      <c r="AC22" s="132">
        <f t="shared" si="5"/>
        <v>262106.4</v>
      </c>
      <c r="AD22" s="132">
        <f t="shared" si="5"/>
        <v>293324</v>
      </c>
      <c r="AE22" s="132">
        <f t="shared" si="5"/>
        <v>275316.59999999998</v>
      </c>
    </row>
    <row r="23" spans="14:31" x14ac:dyDescent="0.35">
      <c r="N23" s="130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404E-8190-4435-A4D5-73D8C0C79D90}">
  <dimension ref="A2:V27"/>
  <sheetViews>
    <sheetView zoomScale="55" zoomScaleNormal="87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L24" sqref="L24"/>
    </sheetView>
  </sheetViews>
  <sheetFormatPr defaultRowHeight="14.5" x14ac:dyDescent="0.35"/>
  <cols>
    <col min="2" max="2" width="12.08984375" customWidth="1"/>
  </cols>
  <sheetData>
    <row r="2" spans="1:22" x14ac:dyDescent="0.35">
      <c r="F2">
        <v>2025</v>
      </c>
      <c r="R2">
        <v>2026</v>
      </c>
      <c r="T2">
        <v>2027</v>
      </c>
      <c r="U2">
        <v>2028</v>
      </c>
      <c r="V2">
        <v>2029</v>
      </c>
    </row>
    <row r="3" spans="1:22" x14ac:dyDescent="0.35"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</row>
    <row r="4" spans="1:22" x14ac:dyDescent="0.35">
      <c r="D4" t="s">
        <v>5</v>
      </c>
      <c r="E4" t="s">
        <v>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3</v>
      </c>
      <c r="U4">
        <v>4</v>
      </c>
      <c r="V4">
        <v>5</v>
      </c>
    </row>
    <row r="5" spans="1:22" ht="29" x14ac:dyDescent="0.35">
      <c r="A5" s="7" t="s">
        <v>0</v>
      </c>
      <c r="B5" s="7" t="s">
        <v>1</v>
      </c>
      <c r="C5" s="7" t="s">
        <v>2</v>
      </c>
      <c r="D5" s="7" t="s">
        <v>3</v>
      </c>
      <c r="E5" t="s">
        <v>4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 t="s">
        <v>7</v>
      </c>
      <c r="S5" t="s">
        <v>8</v>
      </c>
      <c r="T5" t="s">
        <v>9</v>
      </c>
      <c r="U5" t="s">
        <v>9</v>
      </c>
      <c r="V5" t="s">
        <v>9</v>
      </c>
    </row>
    <row r="7" spans="1:22" x14ac:dyDescent="0.35">
      <c r="A7" s="67" t="s">
        <v>31</v>
      </c>
      <c r="B7" s="1"/>
      <c r="C7" s="1"/>
    </row>
    <row r="8" spans="1:22" x14ac:dyDescent="0.35">
      <c r="A8" s="1" t="str">
        <f>Assumptions!A91</f>
        <v>Cash</v>
      </c>
      <c r="B8" s="1">
        <f>Assumptions!B91</f>
        <v>0</v>
      </c>
      <c r="C8" s="1" t="str">
        <f>Assumptions!C91</f>
        <v>from CFS</v>
      </c>
      <c r="D8">
        <f>Assumptions!D91</f>
        <v>0</v>
      </c>
      <c r="E8">
        <f>Assumptions!E91</f>
        <v>0</v>
      </c>
      <c r="F8">
        <f>CFS!F28</f>
        <v>145323.93333333332</v>
      </c>
      <c r="G8">
        <f>CFS!G28</f>
        <v>205842.86666666664</v>
      </c>
      <c r="H8">
        <f>CFS!H28</f>
        <v>269273.36666666664</v>
      </c>
      <c r="I8">
        <f>CFS!I28</f>
        <v>319210.8</v>
      </c>
      <c r="J8">
        <f>CFS!J28</f>
        <v>389050.23333333334</v>
      </c>
      <c r="K8">
        <f>CFS!K28</f>
        <v>406352.63333333336</v>
      </c>
      <c r="L8">
        <f>CFS!L28</f>
        <v>468947.35000000003</v>
      </c>
      <c r="M8">
        <f>CFS!M28</f>
        <v>486206.13333333336</v>
      </c>
      <c r="N8">
        <f>CFS!N28</f>
        <v>556685.51666666672</v>
      </c>
      <c r="O8">
        <f>CFS!O28</f>
        <v>606190.9</v>
      </c>
      <c r="P8">
        <f>CFS!P28</f>
        <v>674863.41666666674</v>
      </c>
      <c r="Q8">
        <f>CFS!Q28</f>
        <v>705743.20000000007</v>
      </c>
      <c r="R8">
        <f>CFS!R28</f>
        <v>2019359.6361111114</v>
      </c>
      <c r="S8">
        <f>CFS!S28</f>
        <v>2315176.0250000004</v>
      </c>
      <c r="T8">
        <f>CFS!T28</f>
        <v>2990049.1722222227</v>
      </c>
      <c r="U8">
        <f>CFS!U28</f>
        <v>3371589.8583333339</v>
      </c>
      <c r="V8">
        <f>CFS!V28</f>
        <v>3693859.5899305558</v>
      </c>
    </row>
    <row r="9" spans="1:22" ht="58" x14ac:dyDescent="0.35">
      <c r="A9" s="1" t="str">
        <f>Assumptions!A92</f>
        <v>Accounts Recievable</v>
      </c>
      <c r="B9" s="1">
        <f>Assumptions!B92</f>
        <v>0</v>
      </c>
      <c r="C9" s="1" t="str">
        <f>Assumptions!C92</f>
        <v>1% of sales is credit for month</v>
      </c>
      <c r="D9" s="5">
        <f>Assumptions!D92</f>
        <v>0.01</v>
      </c>
      <c r="F9">
        <f>Assumptions!F92</f>
        <v>642.6</v>
      </c>
      <c r="G9">
        <f>Assumptions!G92</f>
        <v>1478.7</v>
      </c>
      <c r="H9">
        <f>Assumptions!H92</f>
        <v>1672.2</v>
      </c>
      <c r="I9">
        <f>Assumptions!I92</f>
        <v>1528.4</v>
      </c>
      <c r="J9">
        <f>Assumptions!J92</f>
        <v>1728.4</v>
      </c>
      <c r="K9">
        <f>Assumptions!K92</f>
        <v>1128.4000000000001</v>
      </c>
      <c r="L9">
        <f>Assumptions!L92</f>
        <v>1547.05</v>
      </c>
      <c r="M9">
        <f>Assumptions!M92</f>
        <v>1111.8</v>
      </c>
      <c r="N9">
        <f>Assumptions!N92</f>
        <v>1664.3500000000001</v>
      </c>
      <c r="O9">
        <f>Assumptions!O92</f>
        <v>1525.8</v>
      </c>
      <c r="P9">
        <f>Assumptions!P92</f>
        <v>1734.75</v>
      </c>
      <c r="Q9">
        <f>Assumptions!Q92</f>
        <v>1317.4</v>
      </c>
      <c r="R9">
        <f>Assumptions!R92</f>
        <v>1527.8000000000002</v>
      </c>
      <c r="S9">
        <f>Assumptions!S92</f>
        <v>1635.9833333333333</v>
      </c>
      <c r="T9">
        <f>Assumptions!T92</f>
        <v>1451.25</v>
      </c>
      <c r="U9">
        <f>Assumptions!U92</f>
        <v>1557.6750000000002</v>
      </c>
      <c r="V9">
        <f>Assumptions!V92</f>
        <v>1673.7749999999999</v>
      </c>
    </row>
    <row r="10" spans="1:22" ht="29" x14ac:dyDescent="0.35">
      <c r="A10" s="1" t="str">
        <f>Assumptions!A93</f>
        <v>Inventory</v>
      </c>
      <c r="B10" s="1">
        <f>Assumptions!B93</f>
        <v>0</v>
      </c>
      <c r="C10" s="1" t="str">
        <f>Assumptions!C93</f>
        <v>Inventory Turnover</v>
      </c>
      <c r="D10">
        <f>Assumptions!D93</f>
        <v>12</v>
      </c>
      <c r="F10">
        <f>Assumptions!F93</f>
        <v>1368</v>
      </c>
      <c r="G10">
        <f>Assumptions!G93</f>
        <v>2868.1666666666665</v>
      </c>
      <c r="H10">
        <f>Assumptions!H93</f>
        <v>3218.1666666666665</v>
      </c>
      <c r="I10">
        <f>Assumptions!I93</f>
        <v>2877.3333333333335</v>
      </c>
      <c r="J10">
        <f>Assumptions!J93</f>
        <v>3231.5</v>
      </c>
      <c r="K10">
        <f>Assumptions!K93</f>
        <v>2201.5</v>
      </c>
      <c r="L10">
        <f>Assumptions!L93</f>
        <v>2907.3333333333335</v>
      </c>
      <c r="M10">
        <f>Assumptions!M93</f>
        <v>2117</v>
      </c>
      <c r="N10">
        <f>Assumptions!N93</f>
        <v>3052.6666666666665</v>
      </c>
      <c r="O10">
        <f>Assumptions!O93</f>
        <v>2845.8333333333335</v>
      </c>
      <c r="P10">
        <f>Assumptions!P93</f>
        <v>3219.1666666666665</v>
      </c>
      <c r="Q10">
        <f>Assumptions!Q93</f>
        <v>2558.3333333333335</v>
      </c>
      <c r="R10">
        <f>Assumptions!R93</f>
        <v>3896.7638888888887</v>
      </c>
      <c r="S10">
        <f>Assumptions!S93</f>
        <v>4116.291666666667</v>
      </c>
      <c r="T10">
        <f>Assumptions!T93</f>
        <v>4642.5277777777783</v>
      </c>
      <c r="U10">
        <f>Assumptions!U93</f>
        <v>5006.604166666667</v>
      </c>
      <c r="V10">
        <f>Assumptions!V93</f>
        <v>5050.8194444444443</v>
      </c>
    </row>
    <row r="11" spans="1:22" ht="29" x14ac:dyDescent="0.35">
      <c r="A11" s="7" t="s">
        <v>135</v>
      </c>
      <c r="B11" s="1"/>
      <c r="C11" s="1"/>
      <c r="F11">
        <f>ROUND(SUM(F8:F10),0)</f>
        <v>147335</v>
      </c>
      <c r="G11">
        <f t="shared" ref="G11:V11" si="0">ROUND(SUM(G8:G10),0)</f>
        <v>210190</v>
      </c>
      <c r="H11">
        <f t="shared" si="0"/>
        <v>274164</v>
      </c>
      <c r="I11">
        <f t="shared" si="0"/>
        <v>323617</v>
      </c>
      <c r="J11">
        <f t="shared" si="0"/>
        <v>394010</v>
      </c>
      <c r="K11">
        <f t="shared" si="0"/>
        <v>409683</v>
      </c>
      <c r="L11">
        <f t="shared" si="0"/>
        <v>473402</v>
      </c>
      <c r="M11">
        <f t="shared" si="0"/>
        <v>489435</v>
      </c>
      <c r="N11">
        <f t="shared" si="0"/>
        <v>561403</v>
      </c>
      <c r="O11">
        <f t="shared" si="0"/>
        <v>610563</v>
      </c>
      <c r="P11">
        <f t="shared" si="0"/>
        <v>679817</v>
      </c>
      <c r="Q11">
        <f t="shared" si="0"/>
        <v>709619</v>
      </c>
      <c r="R11">
        <f t="shared" si="0"/>
        <v>2024784</v>
      </c>
      <c r="S11">
        <f t="shared" si="0"/>
        <v>2320928</v>
      </c>
      <c r="T11">
        <f t="shared" si="0"/>
        <v>2996143</v>
      </c>
      <c r="U11">
        <f t="shared" si="0"/>
        <v>3378154</v>
      </c>
      <c r="V11">
        <f t="shared" si="0"/>
        <v>3700584</v>
      </c>
    </row>
    <row r="12" spans="1:22" ht="29" x14ac:dyDescent="0.35">
      <c r="A12" s="7" t="s">
        <v>131</v>
      </c>
      <c r="B12" s="1"/>
      <c r="C12" s="1"/>
      <c r="F12">
        <f>Assumptions!F95</f>
        <v>116450</v>
      </c>
      <c r="G12">
        <f>Assumptions!G95</f>
        <v>116452</v>
      </c>
      <c r="H12">
        <f>Assumptions!H95</f>
        <v>116454</v>
      </c>
      <c r="I12">
        <f>Assumptions!I95</f>
        <v>116456</v>
      </c>
      <c r="J12">
        <f>Assumptions!J95</f>
        <v>116458</v>
      </c>
      <c r="K12">
        <f>Assumptions!K95</f>
        <v>116460</v>
      </c>
      <c r="L12">
        <f>Assumptions!L95</f>
        <v>116462</v>
      </c>
      <c r="M12">
        <f>Assumptions!M95</f>
        <v>116464</v>
      </c>
      <c r="N12">
        <f>Assumptions!N95</f>
        <v>116466</v>
      </c>
      <c r="O12">
        <f>Assumptions!O95</f>
        <v>116468</v>
      </c>
      <c r="P12">
        <f>Assumptions!P95</f>
        <v>116470</v>
      </c>
      <c r="Q12">
        <f>Assumptions!Q95</f>
        <v>116472</v>
      </c>
      <c r="R12">
        <f>Assumptions!R95</f>
        <v>108852</v>
      </c>
      <c r="S12">
        <f>Assumptions!S95</f>
        <v>108917</v>
      </c>
      <c r="T12">
        <f>Assumptions!T95</f>
        <v>99976</v>
      </c>
      <c r="U12">
        <f>Assumptions!U95</f>
        <v>100181</v>
      </c>
      <c r="V12">
        <f>Assumptions!V95</f>
        <v>97723</v>
      </c>
    </row>
    <row r="13" spans="1:22" ht="29" x14ac:dyDescent="0.35">
      <c r="A13" s="7" t="s">
        <v>136</v>
      </c>
      <c r="B13" s="1"/>
      <c r="C13" s="1"/>
      <c r="F13" s="9">
        <f>F11+F12</f>
        <v>263785</v>
      </c>
      <c r="G13" s="9">
        <f t="shared" ref="G13:V13" si="1">G11+G12</f>
        <v>326642</v>
      </c>
      <c r="H13" s="9">
        <f t="shared" si="1"/>
        <v>390618</v>
      </c>
      <c r="I13" s="9">
        <f t="shared" si="1"/>
        <v>440073</v>
      </c>
      <c r="J13" s="9">
        <f t="shared" si="1"/>
        <v>510468</v>
      </c>
      <c r="K13" s="9">
        <f t="shared" si="1"/>
        <v>526143</v>
      </c>
      <c r="L13" s="9">
        <f t="shared" si="1"/>
        <v>589864</v>
      </c>
      <c r="M13" s="9">
        <f t="shared" si="1"/>
        <v>605899</v>
      </c>
      <c r="N13" s="9">
        <f t="shared" si="1"/>
        <v>677869</v>
      </c>
      <c r="O13" s="9">
        <f t="shared" si="1"/>
        <v>727031</v>
      </c>
      <c r="P13" s="9">
        <f t="shared" si="1"/>
        <v>796287</v>
      </c>
      <c r="Q13" s="9">
        <f t="shared" si="1"/>
        <v>826091</v>
      </c>
      <c r="R13" s="9">
        <f t="shared" si="1"/>
        <v>2133636</v>
      </c>
      <c r="S13" s="9">
        <f t="shared" si="1"/>
        <v>2429845</v>
      </c>
      <c r="T13" s="9">
        <f t="shared" si="1"/>
        <v>3096119</v>
      </c>
      <c r="U13" s="9">
        <f t="shared" si="1"/>
        <v>3478335</v>
      </c>
      <c r="V13" s="9">
        <f t="shared" si="1"/>
        <v>3798307</v>
      </c>
    </row>
    <row r="14" spans="1:22" x14ac:dyDescent="0.35">
      <c r="A14" s="1"/>
      <c r="B14" s="1"/>
      <c r="C14" s="1"/>
    </row>
    <row r="15" spans="1:22" ht="43.5" x14ac:dyDescent="0.35">
      <c r="A15" s="67" t="s">
        <v>32</v>
      </c>
      <c r="B15" s="1"/>
      <c r="C15" s="1"/>
    </row>
    <row r="16" spans="1:22" x14ac:dyDescent="0.35">
      <c r="A16" s="1" t="s">
        <v>145</v>
      </c>
      <c r="B16" s="1"/>
      <c r="C16" s="1"/>
      <c r="F16">
        <f>Assumptions!F97</f>
        <v>91416</v>
      </c>
      <c r="G16">
        <f>Assumptions!G97</f>
        <v>109418</v>
      </c>
      <c r="H16">
        <f>Assumptions!H97</f>
        <v>113618</v>
      </c>
      <c r="I16">
        <f>Assumptions!I97</f>
        <v>109528</v>
      </c>
      <c r="J16">
        <f>Assumptions!J97</f>
        <v>113778</v>
      </c>
      <c r="K16">
        <f>Assumptions!K97</f>
        <v>101418</v>
      </c>
      <c r="L16">
        <f>Assumptions!L97</f>
        <v>112388</v>
      </c>
      <c r="M16">
        <f>Assumptions!M97</f>
        <v>102904</v>
      </c>
      <c r="N16">
        <f>Assumptions!N97</f>
        <v>114132</v>
      </c>
      <c r="O16">
        <f>Assumptions!O97</f>
        <v>111650</v>
      </c>
      <c r="P16">
        <f>Assumptions!P97</f>
        <v>116130</v>
      </c>
      <c r="Q16">
        <f>Assumptions!Q97</f>
        <v>108200</v>
      </c>
      <c r="R16">
        <f>Assumptions!R97</f>
        <v>761317</v>
      </c>
      <c r="S16">
        <f>Assumptions!S97</f>
        <v>793660.5</v>
      </c>
      <c r="T16">
        <f>Assumptions!T97</f>
        <v>1697827.75</v>
      </c>
      <c r="U16">
        <f>Assumptions!U97</f>
        <v>1786719.9375</v>
      </c>
      <c r="V16">
        <f>Assumptions!V97</f>
        <v>1831375.3843749999</v>
      </c>
    </row>
    <row r="17" spans="1:22" x14ac:dyDescent="0.35">
      <c r="A17" s="68" t="s">
        <v>168</v>
      </c>
      <c r="B17" s="1"/>
      <c r="C17" s="1"/>
    </row>
    <row r="18" spans="1:22" ht="77.5" customHeight="1" x14ac:dyDescent="0.35">
      <c r="A18" s="1" t="s">
        <v>146</v>
      </c>
      <c r="B18" s="1"/>
      <c r="C18" s="1" t="s">
        <v>169</v>
      </c>
      <c r="F18">
        <v>90000</v>
      </c>
      <c r="G18">
        <v>90000</v>
      </c>
      <c r="H18">
        <v>90000</v>
      </c>
      <c r="I18">
        <v>90000</v>
      </c>
      <c r="J18">
        <v>90000</v>
      </c>
      <c r="K18">
        <v>90000</v>
      </c>
      <c r="L18">
        <v>90000</v>
      </c>
      <c r="M18">
        <v>90000</v>
      </c>
      <c r="N18">
        <v>90000</v>
      </c>
      <c r="O18">
        <v>90000</v>
      </c>
      <c r="P18">
        <v>90000</v>
      </c>
      <c r="Q18">
        <v>90000</v>
      </c>
      <c r="R18">
        <v>90000</v>
      </c>
      <c r="S18">
        <v>90000</v>
      </c>
      <c r="T18">
        <v>90000</v>
      </c>
      <c r="U18">
        <v>90000</v>
      </c>
      <c r="V18">
        <v>90000</v>
      </c>
    </row>
    <row r="19" spans="1:22" ht="71.5" customHeight="1" x14ac:dyDescent="0.35">
      <c r="A19" s="1" t="s">
        <v>132</v>
      </c>
      <c r="B19" s="1" t="s">
        <v>150</v>
      </c>
      <c r="C19" s="1"/>
      <c r="F19">
        <f>Assumptions!F103</f>
        <v>83333.333333333328</v>
      </c>
      <c r="G19">
        <f>Assumptions!G103</f>
        <v>83333.333333333328</v>
      </c>
      <c r="H19">
        <f>Assumptions!H103</f>
        <v>83333.333333333328</v>
      </c>
      <c r="I19">
        <f>Assumptions!I103</f>
        <v>83333.333333333328</v>
      </c>
      <c r="J19">
        <f>Assumptions!J103</f>
        <v>83333.333333333328</v>
      </c>
      <c r="K19">
        <f>Assumptions!K103</f>
        <v>83333.333333333328</v>
      </c>
      <c r="L19">
        <f>Assumptions!L103</f>
        <v>83333.333333333328</v>
      </c>
      <c r="M19">
        <f>Assumptions!M103</f>
        <v>83333.333333333328</v>
      </c>
      <c r="N19">
        <f>Assumptions!N103</f>
        <v>83333.333333333328</v>
      </c>
      <c r="O19">
        <f>Assumptions!O103</f>
        <v>83333.333333333328</v>
      </c>
      <c r="P19">
        <f>Assumptions!P103</f>
        <v>83333.333333333328</v>
      </c>
      <c r="Q19">
        <f>Assumptions!Q103</f>
        <v>83333.333333333328</v>
      </c>
      <c r="R19">
        <f>Q19*6</f>
        <v>500000</v>
      </c>
      <c r="S19">
        <f>R19</f>
        <v>500000</v>
      </c>
      <c r="T19">
        <v>0</v>
      </c>
      <c r="U19">
        <v>0</v>
      </c>
      <c r="V19">
        <v>0</v>
      </c>
    </row>
    <row r="20" spans="1:22" x14ac:dyDescent="0.35">
      <c r="A20" s="68" t="s">
        <v>196</v>
      </c>
      <c r="B20" s="1"/>
      <c r="C20" s="1"/>
    </row>
    <row r="21" spans="1:22" ht="29" x14ac:dyDescent="0.35">
      <c r="A21" s="1" t="s">
        <v>147</v>
      </c>
      <c r="B21" s="1"/>
      <c r="C21" s="1" t="s">
        <v>144</v>
      </c>
      <c r="F21">
        <f>Assumptions!F105</f>
        <v>30000</v>
      </c>
      <c r="G21">
        <f>Assumptions!G105</f>
        <v>30000</v>
      </c>
      <c r="H21">
        <f>Assumptions!H105</f>
        <v>30000</v>
      </c>
      <c r="I21">
        <f>Assumptions!I105</f>
        <v>30000</v>
      </c>
      <c r="J21">
        <f>Assumptions!J105</f>
        <v>30000</v>
      </c>
      <c r="K21">
        <f>Assumptions!K105</f>
        <v>30000</v>
      </c>
      <c r="L21">
        <f>Assumptions!L105</f>
        <v>30000</v>
      </c>
      <c r="M21">
        <f>Assumptions!M105</f>
        <v>30000</v>
      </c>
      <c r="N21">
        <f>Assumptions!N105</f>
        <v>30000</v>
      </c>
      <c r="O21">
        <f>Assumptions!O105</f>
        <v>30000</v>
      </c>
      <c r="P21">
        <f>Assumptions!P105</f>
        <v>30000</v>
      </c>
      <c r="Q21">
        <f>Assumptions!Q105</f>
        <v>30000</v>
      </c>
      <c r="R21">
        <f>Assumptions!R105</f>
        <v>30000</v>
      </c>
      <c r="S21">
        <f>Assumptions!S105</f>
        <v>30000</v>
      </c>
      <c r="T21">
        <f>Assumptions!T105</f>
        <v>30000</v>
      </c>
      <c r="U21">
        <f>Assumptions!U105</f>
        <v>30000</v>
      </c>
      <c r="V21">
        <f>Assumptions!V105</f>
        <v>30000</v>
      </c>
    </row>
    <row r="22" spans="1:22" ht="29" x14ac:dyDescent="0.35">
      <c r="A22" s="1" t="s">
        <v>148</v>
      </c>
      <c r="B22" s="1"/>
      <c r="C22" s="1"/>
      <c r="F22">
        <f>PnL!F12</f>
        <v>-30964.799999999999</v>
      </c>
      <c r="G22">
        <f>F22+PnL!G12</f>
        <v>13890.399999999998</v>
      </c>
      <c r="H22">
        <f>G22+PnL!H12</f>
        <v>73666.399999999994</v>
      </c>
      <c r="I22">
        <f>H22+PnL!I12</f>
        <v>127211.2</v>
      </c>
      <c r="J22">
        <f>I22+PnL!J12</f>
        <v>193356.79999999999</v>
      </c>
      <c r="K22">
        <f>J22+PnL!K12</f>
        <v>221391.19999999998</v>
      </c>
      <c r="L22">
        <f>K22+PnL!L12</f>
        <v>274142.39999999997</v>
      </c>
      <c r="M22">
        <f>L22+PnL!M12</f>
        <v>299661.59999999998</v>
      </c>
      <c r="N22">
        <f>M22+PnL!N12</f>
        <v>360403.19999999995</v>
      </c>
      <c r="O22">
        <f>N22+PnL!O12</f>
        <v>412047.19999999995</v>
      </c>
      <c r="P22">
        <f>O22+PnL!P12</f>
        <v>476823.99999999994</v>
      </c>
      <c r="Q22">
        <f>P22+PnL!Q12</f>
        <v>514557.59999999992</v>
      </c>
      <c r="R22">
        <f>Q22+PnL!R12</f>
        <v>752319.2</v>
      </c>
      <c r="S22">
        <f>R22+PnL!S12</f>
        <v>1016184.7999999999</v>
      </c>
      <c r="T22">
        <f>S22+PnL!T12</f>
        <v>1278291.2</v>
      </c>
      <c r="U22">
        <f>T22+PnL!U12</f>
        <v>1571615.2</v>
      </c>
      <c r="V22">
        <f>U22+PnL!V12</f>
        <v>1846931.7999999998</v>
      </c>
    </row>
    <row r="23" spans="1:22" x14ac:dyDescent="0.35">
      <c r="A23" s="1"/>
      <c r="B23" s="1"/>
      <c r="C23" s="1"/>
    </row>
    <row r="24" spans="1:22" ht="58" x14ac:dyDescent="0.35">
      <c r="A24" s="7" t="s">
        <v>149</v>
      </c>
      <c r="B24" s="1"/>
      <c r="C24" s="1"/>
      <c r="F24" s="9">
        <f t="shared" ref="F24:V24" si="2">ROUND(SUM(F16:F22),0)</f>
        <v>263785</v>
      </c>
      <c r="G24" s="9">
        <f t="shared" si="2"/>
        <v>326642</v>
      </c>
      <c r="H24" s="9">
        <f t="shared" si="2"/>
        <v>390618</v>
      </c>
      <c r="I24" s="9">
        <f t="shared" si="2"/>
        <v>440073</v>
      </c>
      <c r="J24" s="9">
        <f t="shared" si="2"/>
        <v>510468</v>
      </c>
      <c r="K24" s="9">
        <f t="shared" si="2"/>
        <v>526143</v>
      </c>
      <c r="L24" s="9">
        <f t="shared" si="2"/>
        <v>589864</v>
      </c>
      <c r="M24" s="9">
        <f t="shared" si="2"/>
        <v>605899</v>
      </c>
      <c r="N24" s="9">
        <f t="shared" si="2"/>
        <v>677869</v>
      </c>
      <c r="O24" s="9">
        <f t="shared" si="2"/>
        <v>727031</v>
      </c>
      <c r="P24" s="9">
        <f t="shared" si="2"/>
        <v>796287</v>
      </c>
      <c r="Q24" s="9">
        <f t="shared" si="2"/>
        <v>826091</v>
      </c>
      <c r="R24" s="9">
        <f t="shared" si="2"/>
        <v>2133636</v>
      </c>
      <c r="S24" s="9">
        <f t="shared" si="2"/>
        <v>2429845</v>
      </c>
      <c r="T24" s="9">
        <f t="shared" si="2"/>
        <v>3096119</v>
      </c>
      <c r="U24" s="9">
        <f t="shared" si="2"/>
        <v>3478335</v>
      </c>
      <c r="V24" s="9">
        <f t="shared" si="2"/>
        <v>3798307</v>
      </c>
    </row>
    <row r="25" spans="1:22" x14ac:dyDescent="0.35">
      <c r="A25" s="1"/>
      <c r="B25" s="1"/>
      <c r="C25" s="1"/>
    </row>
    <row r="26" spans="1:22" x14ac:dyDescent="0.35">
      <c r="A26" s="1" t="s">
        <v>167</v>
      </c>
      <c r="B26" s="1"/>
      <c r="C26" s="1"/>
      <c r="F26">
        <f>F13-F24</f>
        <v>0</v>
      </c>
      <c r="G26">
        <f t="shared" ref="G26:V26" si="3">G13-G24</f>
        <v>0</v>
      </c>
      <c r="H26">
        <f t="shared" si="3"/>
        <v>0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  <c r="Q26">
        <f t="shared" si="3"/>
        <v>0</v>
      </c>
      <c r="R26">
        <f t="shared" si="3"/>
        <v>0</v>
      </c>
      <c r="S26">
        <f t="shared" si="3"/>
        <v>0</v>
      </c>
      <c r="T26">
        <f t="shared" si="3"/>
        <v>0</v>
      </c>
      <c r="U26">
        <f t="shared" si="3"/>
        <v>0</v>
      </c>
      <c r="V26">
        <f t="shared" si="3"/>
        <v>0</v>
      </c>
    </row>
    <row r="27" spans="1:22" x14ac:dyDescent="0.35">
      <c r="A27" s="1"/>
      <c r="B27" s="1"/>
      <c r="C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CC18-9B75-42EB-809A-015C8E78AA0B}">
  <dimension ref="A2:V31"/>
  <sheetViews>
    <sheetView zoomScale="47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27" sqref="A27"/>
    </sheetView>
  </sheetViews>
  <sheetFormatPr defaultRowHeight="14.5" x14ac:dyDescent="0.35"/>
  <cols>
    <col min="1" max="1" width="11.1796875" customWidth="1"/>
    <col min="6" max="6" width="14.54296875" customWidth="1"/>
    <col min="20" max="20" width="15.453125" customWidth="1"/>
  </cols>
  <sheetData>
    <row r="2" spans="1:22" x14ac:dyDescent="0.35">
      <c r="F2">
        <v>2025</v>
      </c>
    </row>
    <row r="3" spans="1:22" x14ac:dyDescent="0.35"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</row>
    <row r="4" spans="1:22" x14ac:dyDescent="0.35">
      <c r="D4" t="s">
        <v>5</v>
      </c>
      <c r="E4" t="s">
        <v>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3</v>
      </c>
      <c r="U4">
        <v>4</v>
      </c>
      <c r="V4">
        <v>5</v>
      </c>
    </row>
    <row r="5" spans="1:22" ht="29" x14ac:dyDescent="0.35">
      <c r="A5" s="7" t="s">
        <v>0</v>
      </c>
      <c r="B5" s="7" t="s">
        <v>1</v>
      </c>
      <c r="C5" s="7" t="s">
        <v>2</v>
      </c>
      <c r="D5" s="7" t="s">
        <v>3</v>
      </c>
      <c r="E5" t="s">
        <v>4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 t="s">
        <v>7</v>
      </c>
      <c r="S5" t="s">
        <v>8</v>
      </c>
      <c r="T5" t="s">
        <v>9</v>
      </c>
      <c r="U5" t="s">
        <v>9</v>
      </c>
      <c r="V5" t="s">
        <v>9</v>
      </c>
    </row>
    <row r="6" spans="1:22" x14ac:dyDescent="0.35">
      <c r="A6" s="1"/>
      <c r="B6" s="1"/>
      <c r="C6" s="1"/>
      <c r="D6" s="1"/>
    </row>
    <row r="7" spans="1:22" x14ac:dyDescent="0.35">
      <c r="A7" s="1" t="s">
        <v>152</v>
      </c>
      <c r="B7" s="1"/>
      <c r="C7" s="1"/>
      <c r="D7" s="1"/>
    </row>
    <row r="8" spans="1:22" x14ac:dyDescent="0.35">
      <c r="A8" s="1" t="s">
        <v>153</v>
      </c>
      <c r="B8" s="1"/>
      <c r="C8" s="1"/>
      <c r="D8" s="1"/>
      <c r="F8">
        <f>PnL!F10</f>
        <v>-30964.799999999999</v>
      </c>
      <c r="G8">
        <f>PnL!G10</f>
        <v>44855.199999999997</v>
      </c>
      <c r="H8">
        <f>PnL!H10</f>
        <v>59776</v>
      </c>
      <c r="I8">
        <f>PnL!I10</f>
        <v>53544.800000000003</v>
      </c>
      <c r="J8">
        <f>PnL!J10</f>
        <v>66145.600000000006</v>
      </c>
      <c r="K8">
        <f>PnL!K10</f>
        <v>28034.400000000001</v>
      </c>
      <c r="L8">
        <f>PnL!L10</f>
        <v>52751.199999999997</v>
      </c>
      <c r="M8">
        <f>PnL!M10</f>
        <v>25519.200000000001</v>
      </c>
      <c r="N8">
        <f>PnL!N10</f>
        <v>60741.599999999999</v>
      </c>
      <c r="O8">
        <f>PnL!O10</f>
        <v>51644</v>
      </c>
      <c r="P8">
        <f>PnL!P10</f>
        <v>64776.800000000003</v>
      </c>
      <c r="Q8">
        <f>PnL!Q10</f>
        <v>37733.599999999999</v>
      </c>
      <c r="R8">
        <f>PnL!R10</f>
        <v>237761.6</v>
      </c>
      <c r="S8">
        <f>PnL!S10</f>
        <v>263865.59999999998</v>
      </c>
      <c r="T8">
        <f>PnL!T10</f>
        <v>262106.4</v>
      </c>
      <c r="U8">
        <f>PnL!U10</f>
        <v>293324</v>
      </c>
      <c r="V8">
        <f>PnL!V10</f>
        <v>367088.8</v>
      </c>
    </row>
    <row r="9" spans="1:22" x14ac:dyDescent="0.35">
      <c r="A9" s="1"/>
      <c r="B9" s="1"/>
      <c r="C9" s="1"/>
      <c r="D9" s="1"/>
    </row>
    <row r="10" spans="1:22" ht="29" x14ac:dyDescent="0.35">
      <c r="A10" s="1" t="s">
        <v>154</v>
      </c>
      <c r="B10" s="1"/>
      <c r="C10" s="1"/>
      <c r="D10" s="1"/>
    </row>
    <row r="11" spans="1:22" ht="43.5" x14ac:dyDescent="0.35">
      <c r="A11" s="70" t="s">
        <v>155</v>
      </c>
      <c r="B11" s="1"/>
      <c r="C11" s="1"/>
      <c r="D11" s="1"/>
      <c r="F11">
        <f>-'Balance Sheet'!F10</f>
        <v>-1368</v>
      </c>
      <c r="G11">
        <f>'Balance Sheet'!F10-'Balance Sheet'!G10</f>
        <v>-1500.1666666666665</v>
      </c>
      <c r="H11">
        <f>'Balance Sheet'!G10-'Balance Sheet'!H10</f>
        <v>-350</v>
      </c>
      <c r="I11">
        <f>'Balance Sheet'!H10-'Balance Sheet'!I10</f>
        <v>340.83333333333303</v>
      </c>
      <c r="J11">
        <f>'Balance Sheet'!I10-'Balance Sheet'!J10</f>
        <v>-354.16666666666652</v>
      </c>
      <c r="K11">
        <f>'Balance Sheet'!J10-'Balance Sheet'!K10</f>
        <v>1030</v>
      </c>
      <c r="L11">
        <f>'Balance Sheet'!K10-'Balance Sheet'!L10</f>
        <v>-705.83333333333348</v>
      </c>
      <c r="M11">
        <f>'Balance Sheet'!L10-'Balance Sheet'!M10</f>
        <v>790.33333333333348</v>
      </c>
      <c r="N11">
        <f>'Balance Sheet'!M10-'Balance Sheet'!N10</f>
        <v>-935.66666666666652</v>
      </c>
      <c r="O11">
        <f>'Balance Sheet'!N10-'Balance Sheet'!O10</f>
        <v>206.83333333333303</v>
      </c>
      <c r="P11">
        <f>'Balance Sheet'!O10-'Balance Sheet'!P10</f>
        <v>-373.33333333333303</v>
      </c>
      <c r="Q11">
        <f>'Balance Sheet'!P10-'Balance Sheet'!Q10</f>
        <v>660.83333333333303</v>
      </c>
      <c r="R11">
        <f>'Balance Sheet'!Q10-'Balance Sheet'!R10</f>
        <v>-1338.4305555555552</v>
      </c>
      <c r="S11">
        <f>'Balance Sheet'!R10-'Balance Sheet'!S10</f>
        <v>-219.52777777777828</v>
      </c>
      <c r="T11">
        <f>'Balance Sheet'!S10-'Balance Sheet'!T10</f>
        <v>-526.23611111111131</v>
      </c>
      <c r="U11">
        <f>'Balance Sheet'!T10-'Balance Sheet'!U10</f>
        <v>-364.07638888888869</v>
      </c>
      <c r="V11">
        <f>'Balance Sheet'!U10-'Balance Sheet'!V10</f>
        <v>-44.215277777777374</v>
      </c>
    </row>
    <row r="12" spans="1:22" ht="29" x14ac:dyDescent="0.35">
      <c r="A12" s="70" t="s">
        <v>156</v>
      </c>
      <c r="B12" s="1"/>
      <c r="C12" s="1"/>
      <c r="D12" s="1"/>
      <c r="F12">
        <f>-'Balance Sheet'!F9</f>
        <v>-642.6</v>
      </c>
      <c r="G12">
        <f>'Balance Sheet'!F9-'Balance Sheet'!G9</f>
        <v>-836.1</v>
      </c>
      <c r="H12">
        <f>'Balance Sheet'!G9-'Balance Sheet'!H9</f>
        <v>-193.5</v>
      </c>
      <c r="I12">
        <f>'Balance Sheet'!H9-'Balance Sheet'!I9</f>
        <v>143.79999999999995</v>
      </c>
      <c r="J12">
        <f>'Balance Sheet'!I9-'Balance Sheet'!J9</f>
        <v>-200</v>
      </c>
      <c r="K12">
        <f>'Balance Sheet'!J9-'Balance Sheet'!K9</f>
        <v>600</v>
      </c>
      <c r="L12">
        <f>'Balance Sheet'!K9-'Balance Sheet'!L9</f>
        <v>-418.64999999999986</v>
      </c>
      <c r="M12">
        <f>'Balance Sheet'!L9-'Balance Sheet'!M9</f>
        <v>435.25</v>
      </c>
      <c r="N12">
        <f>'Balance Sheet'!M9-'Balance Sheet'!N9</f>
        <v>-552.55000000000018</v>
      </c>
      <c r="O12">
        <f>'Balance Sheet'!N9-'Balance Sheet'!O9</f>
        <v>138.55000000000018</v>
      </c>
      <c r="P12">
        <f>'Balance Sheet'!O9-'Balance Sheet'!P9</f>
        <v>-208.95000000000005</v>
      </c>
      <c r="Q12">
        <f>'Balance Sheet'!P9-'Balance Sheet'!Q9</f>
        <v>417.34999999999991</v>
      </c>
      <c r="R12">
        <f>'Balance Sheet'!Q9-'Balance Sheet'!R9</f>
        <v>-210.40000000000009</v>
      </c>
      <c r="S12">
        <f>'Balance Sheet'!R9-'Balance Sheet'!S9</f>
        <v>-108.18333333333317</v>
      </c>
      <c r="T12">
        <f>'Balance Sheet'!S9-'Balance Sheet'!T9</f>
        <v>184.73333333333335</v>
      </c>
      <c r="U12">
        <f>'Balance Sheet'!T9-'Balance Sheet'!U9</f>
        <v>-106.42500000000018</v>
      </c>
      <c r="V12">
        <f>'Balance Sheet'!U9-'Balance Sheet'!V9</f>
        <v>-116.09999999999968</v>
      </c>
    </row>
    <row r="13" spans="1:22" ht="29" x14ac:dyDescent="0.35">
      <c r="A13" s="70" t="s">
        <v>157</v>
      </c>
      <c r="B13" s="1"/>
      <c r="C13" s="1"/>
      <c r="D13" s="1"/>
      <c r="F13">
        <f>'Balance Sheet'!F16</f>
        <v>91416</v>
      </c>
      <c r="G13">
        <f>'Balance Sheet'!G16-'Balance Sheet'!F16</f>
        <v>18002</v>
      </c>
      <c r="H13">
        <f>'Balance Sheet'!H16-'Balance Sheet'!G16</f>
        <v>4200</v>
      </c>
      <c r="I13">
        <f>'Balance Sheet'!I16-'Balance Sheet'!H16</f>
        <v>-4090</v>
      </c>
      <c r="J13">
        <f>'Balance Sheet'!J16-'Balance Sheet'!I16</f>
        <v>4250</v>
      </c>
      <c r="K13">
        <f>'Balance Sheet'!K16-'Balance Sheet'!J16</f>
        <v>-12360</v>
      </c>
      <c r="L13">
        <f>'Balance Sheet'!L16-'Balance Sheet'!K16</f>
        <v>10970</v>
      </c>
      <c r="M13">
        <f>'Balance Sheet'!M16-'Balance Sheet'!L16</f>
        <v>-9484</v>
      </c>
      <c r="N13">
        <f>'Balance Sheet'!N16-'Balance Sheet'!M16</f>
        <v>11228</v>
      </c>
      <c r="O13">
        <f>'Balance Sheet'!O16-'Balance Sheet'!N16</f>
        <v>-2482</v>
      </c>
      <c r="P13">
        <f>'Balance Sheet'!P16-'Balance Sheet'!O16</f>
        <v>4480</v>
      </c>
      <c r="Q13">
        <f>'Balance Sheet'!Q16-'Balance Sheet'!P16</f>
        <v>-7930</v>
      </c>
      <c r="R13">
        <f>'Balance Sheet'!R16-'Balance Sheet'!Q16</f>
        <v>653117</v>
      </c>
      <c r="S13">
        <f>'Balance Sheet'!S16-'Balance Sheet'!R16</f>
        <v>32343.5</v>
      </c>
      <c r="T13">
        <f>'Balance Sheet'!T16-'Balance Sheet'!S16</f>
        <v>904167.25</v>
      </c>
      <c r="U13">
        <f>'Balance Sheet'!U16-'Balance Sheet'!T16</f>
        <v>88892.1875</v>
      </c>
      <c r="V13">
        <f>'Balance Sheet'!V16-'Balance Sheet'!U16</f>
        <v>44655.446874999907</v>
      </c>
    </row>
    <row r="14" spans="1:22" x14ac:dyDescent="0.35">
      <c r="A14" s="70"/>
      <c r="B14" s="1"/>
      <c r="C14" s="1"/>
      <c r="D14" s="1"/>
    </row>
    <row r="15" spans="1:22" x14ac:dyDescent="0.35">
      <c r="A15" s="1"/>
      <c r="B15" s="1"/>
      <c r="C15" s="1"/>
      <c r="D15" s="1"/>
    </row>
    <row r="16" spans="1:22" x14ac:dyDescent="0.35">
      <c r="A16" s="1"/>
      <c r="B16" s="1"/>
      <c r="C16" s="1"/>
      <c r="D16" s="1"/>
    </row>
    <row r="17" spans="1:22" x14ac:dyDescent="0.35">
      <c r="A17" s="1" t="s">
        <v>158</v>
      </c>
      <c r="B17" s="1"/>
      <c r="C17" s="1"/>
      <c r="D17" s="1"/>
    </row>
    <row r="18" spans="1:22" ht="29" x14ac:dyDescent="0.35">
      <c r="A18" s="1" t="s">
        <v>159</v>
      </c>
      <c r="B18" s="1"/>
      <c r="C18" s="1"/>
      <c r="D18" s="1"/>
      <c r="F18">
        <f>-'Balance Sheet'!F12</f>
        <v>-116450</v>
      </c>
      <c r="G18">
        <f>'Balance Sheet'!F12-'Balance Sheet'!G12</f>
        <v>-2</v>
      </c>
      <c r="H18">
        <f>'Balance Sheet'!G12-'Balance Sheet'!H12</f>
        <v>-2</v>
      </c>
      <c r="I18">
        <f>'Balance Sheet'!H12-'Balance Sheet'!I12</f>
        <v>-2</v>
      </c>
      <c r="J18">
        <f>'Balance Sheet'!I12-'Balance Sheet'!J12</f>
        <v>-2</v>
      </c>
      <c r="K18">
        <f>'Balance Sheet'!J12-'Balance Sheet'!K12</f>
        <v>-2</v>
      </c>
      <c r="L18">
        <f>'Balance Sheet'!K12-'Balance Sheet'!L12</f>
        <v>-2</v>
      </c>
      <c r="M18">
        <f>'Balance Sheet'!L12-'Balance Sheet'!M12</f>
        <v>-2</v>
      </c>
      <c r="N18">
        <f>'Balance Sheet'!M12-'Balance Sheet'!N12</f>
        <v>-2</v>
      </c>
      <c r="O18">
        <f>'Balance Sheet'!N12-'Balance Sheet'!O12</f>
        <v>-2</v>
      </c>
      <c r="P18">
        <f>'Balance Sheet'!O12-'Balance Sheet'!P12</f>
        <v>-2</v>
      </c>
      <c r="Q18">
        <f>'Balance Sheet'!P12-'Balance Sheet'!Q12</f>
        <v>-2</v>
      </c>
      <c r="R18">
        <f>'Balance Sheet'!Q12-'Balance Sheet'!R12</f>
        <v>7620</v>
      </c>
      <c r="S18">
        <f>'Balance Sheet'!R12-'Balance Sheet'!S12</f>
        <v>-65</v>
      </c>
      <c r="T18">
        <f>'Balance Sheet'!S12-'Balance Sheet'!T12</f>
        <v>8941</v>
      </c>
      <c r="U18">
        <f>'Balance Sheet'!T12-'Balance Sheet'!U12</f>
        <v>-205</v>
      </c>
      <c r="V18">
        <f>'Balance Sheet'!U12-'Balance Sheet'!V12</f>
        <v>2458</v>
      </c>
    </row>
    <row r="19" spans="1:22" x14ac:dyDescent="0.35">
      <c r="A19" s="1"/>
      <c r="B19" s="1"/>
      <c r="C19" s="1"/>
      <c r="D19" s="1"/>
    </row>
    <row r="20" spans="1:22" x14ac:dyDescent="0.35">
      <c r="A20" s="1" t="s">
        <v>160</v>
      </c>
      <c r="B20" s="1"/>
      <c r="C20" s="1"/>
      <c r="D20" s="1"/>
    </row>
    <row r="21" spans="1:22" ht="29" x14ac:dyDescent="0.35">
      <c r="A21" s="1" t="s">
        <v>161</v>
      </c>
      <c r="B21" s="1"/>
      <c r="C21" s="1"/>
      <c r="D21" s="1"/>
      <c r="F21">
        <f>'Balance Sheet'!F18-'Balance Sheet'!E18+'Balance Sheet'!F19-'Balance Sheet'!E19</f>
        <v>173333.33333333331</v>
      </c>
      <c r="G21">
        <f>'Balance Sheet'!G18-'Balance Sheet'!F18+'Balance Sheet'!G19-'Balance Sheet'!F19</f>
        <v>0</v>
      </c>
      <c r="H21">
        <f>'Balance Sheet'!H18-'Balance Sheet'!G18+'Balance Sheet'!H19-'Balance Sheet'!G19</f>
        <v>0</v>
      </c>
      <c r="I21">
        <f>'Balance Sheet'!I18-'Balance Sheet'!H18+'Balance Sheet'!I19-'Balance Sheet'!H19</f>
        <v>0</v>
      </c>
      <c r="J21">
        <f>'Balance Sheet'!J18-'Balance Sheet'!I18+'Balance Sheet'!J19-'Balance Sheet'!I19</f>
        <v>0</v>
      </c>
      <c r="K21">
        <f>'Balance Sheet'!K18-'Balance Sheet'!J18+'Balance Sheet'!K19-'Balance Sheet'!J19</f>
        <v>0</v>
      </c>
      <c r="L21">
        <f>'Balance Sheet'!L18-'Balance Sheet'!K18+'Balance Sheet'!L19-'Balance Sheet'!K19</f>
        <v>0</v>
      </c>
      <c r="M21">
        <f>'Balance Sheet'!M18-'Balance Sheet'!L18+'Balance Sheet'!M19-'Balance Sheet'!L19</f>
        <v>0</v>
      </c>
      <c r="N21">
        <f>'Balance Sheet'!N18-'Balance Sheet'!M18+'Balance Sheet'!N19-'Balance Sheet'!M19</f>
        <v>0</v>
      </c>
      <c r="O21">
        <f>'Balance Sheet'!O18-'Balance Sheet'!N18+'Balance Sheet'!O19-'Balance Sheet'!N19</f>
        <v>0</v>
      </c>
      <c r="P21">
        <f>'Balance Sheet'!P18-'Balance Sheet'!O18+'Balance Sheet'!P19-'Balance Sheet'!O19</f>
        <v>0</v>
      </c>
      <c r="Q21">
        <f>'Balance Sheet'!Q18-'Balance Sheet'!P18+'Balance Sheet'!Q19-'Balance Sheet'!P19</f>
        <v>0</v>
      </c>
      <c r="R21">
        <f>'Balance Sheet'!R18-'Balance Sheet'!Q18+'Balance Sheet'!R19-'Balance Sheet'!Q19</f>
        <v>416666.66666666669</v>
      </c>
      <c r="S21">
        <f>'Balance Sheet'!S18-'Balance Sheet'!R18+'Balance Sheet'!S19-'Balance Sheet'!R19</f>
        <v>0</v>
      </c>
      <c r="T21">
        <f>'Balance Sheet'!T18-'Balance Sheet'!S18+'Balance Sheet'!T19-'Balance Sheet'!S19</f>
        <v>-500000</v>
      </c>
      <c r="U21">
        <f>'Balance Sheet'!U18-'Balance Sheet'!T18+'Balance Sheet'!U19-'Balance Sheet'!T19</f>
        <v>0</v>
      </c>
      <c r="V21">
        <f>'Balance Sheet'!V18-'Balance Sheet'!U18+'Balance Sheet'!V19-'Balance Sheet'!U19</f>
        <v>0</v>
      </c>
    </row>
    <row r="22" spans="1:22" ht="29" x14ac:dyDescent="0.35">
      <c r="A22" s="1" t="s">
        <v>162</v>
      </c>
      <c r="B22" s="1"/>
      <c r="C22" s="1"/>
      <c r="D22" s="1"/>
      <c r="F22">
        <f>'Balance Sheet'!F21-'Balance Sheet'!E21</f>
        <v>30000</v>
      </c>
      <c r="G22">
        <f>'Balance Sheet'!G21-'Balance Sheet'!F21</f>
        <v>0</v>
      </c>
      <c r="H22">
        <f>'Balance Sheet'!H21-'Balance Sheet'!G21</f>
        <v>0</v>
      </c>
      <c r="I22">
        <f>'Balance Sheet'!I21-'Balance Sheet'!H21</f>
        <v>0</v>
      </c>
      <c r="J22">
        <f>'Balance Sheet'!J21-'Balance Sheet'!I21</f>
        <v>0</v>
      </c>
      <c r="K22">
        <f>'Balance Sheet'!K21-'Balance Sheet'!J21</f>
        <v>0</v>
      </c>
      <c r="L22">
        <f>'Balance Sheet'!L21-'Balance Sheet'!K21</f>
        <v>0</v>
      </c>
      <c r="M22">
        <f>'Balance Sheet'!M21-'Balance Sheet'!L21</f>
        <v>0</v>
      </c>
      <c r="N22">
        <f>'Balance Sheet'!N21-'Balance Sheet'!M21</f>
        <v>0</v>
      </c>
      <c r="O22">
        <f>'Balance Sheet'!O21-'Balance Sheet'!N21</f>
        <v>0</v>
      </c>
      <c r="P22">
        <f>'Balance Sheet'!P21-'Balance Sheet'!O21</f>
        <v>0</v>
      </c>
      <c r="Q22">
        <f>'Balance Sheet'!Q21-'Balance Sheet'!P21</f>
        <v>0</v>
      </c>
      <c r="R22">
        <f>'Balance Sheet'!R21-'Balance Sheet'!Q21</f>
        <v>0</v>
      </c>
      <c r="S22">
        <f>'Balance Sheet'!S21-'Balance Sheet'!R21</f>
        <v>0</v>
      </c>
      <c r="T22">
        <f>'Balance Sheet'!T21-'Balance Sheet'!S21</f>
        <v>0</v>
      </c>
      <c r="U22">
        <f>'Balance Sheet'!U21-'Balance Sheet'!T21</f>
        <v>0</v>
      </c>
      <c r="V22">
        <f>'Balance Sheet'!V21-'Balance Sheet'!U21</f>
        <v>0</v>
      </c>
    </row>
    <row r="23" spans="1:22" ht="29" x14ac:dyDescent="0.35">
      <c r="A23" s="1" t="s">
        <v>163</v>
      </c>
      <c r="B23" s="1"/>
      <c r="C23" s="1"/>
      <c r="D23" s="1"/>
      <c r="F23">
        <f>-PnL!F11</f>
        <v>0</v>
      </c>
      <c r="G23">
        <f>-PnL!G11</f>
        <v>0</v>
      </c>
      <c r="H23">
        <f>-PnL!H11</f>
        <v>0</v>
      </c>
      <c r="I23">
        <f>-PnL!I11</f>
        <v>0</v>
      </c>
      <c r="J23">
        <f>-PnL!J11</f>
        <v>0</v>
      </c>
      <c r="K23">
        <f>-PnL!K11</f>
        <v>0</v>
      </c>
      <c r="L23">
        <f>-PnL!L11</f>
        <v>0</v>
      </c>
      <c r="M23">
        <f>-PnL!M11</f>
        <v>0</v>
      </c>
      <c r="N23">
        <f>-PnL!N11</f>
        <v>0</v>
      </c>
      <c r="O23">
        <f>-PnL!O11</f>
        <v>0</v>
      </c>
      <c r="P23">
        <f>-PnL!P11</f>
        <v>0</v>
      </c>
      <c r="Q23">
        <f>-PnL!Q11</f>
        <v>0</v>
      </c>
      <c r="R23">
        <f>-PnL!R11</f>
        <v>0</v>
      </c>
      <c r="S23">
        <f>-PnL!S11</f>
        <v>0</v>
      </c>
      <c r="T23">
        <f>-PnL!T11</f>
        <v>0</v>
      </c>
      <c r="U23">
        <f>-PnL!U11</f>
        <v>0</v>
      </c>
      <c r="V23">
        <f>-PnL!V11</f>
        <v>-91772.2</v>
      </c>
    </row>
    <row r="24" spans="1:22" x14ac:dyDescent="0.35">
      <c r="A24" s="1"/>
      <c r="B24" s="1"/>
      <c r="C24" s="1"/>
      <c r="D24" s="1"/>
    </row>
    <row r="25" spans="1:22" ht="29" x14ac:dyDescent="0.35">
      <c r="A25" s="48" t="s">
        <v>164</v>
      </c>
      <c r="B25" s="11"/>
      <c r="C25" s="11"/>
      <c r="D25" s="11"/>
      <c r="E25" s="12"/>
      <c r="F25" s="12">
        <f>SUM(F7:F23)</f>
        <v>145323.93333333332</v>
      </c>
      <c r="G25" s="12">
        <f t="shared" ref="G25:V25" si="0">SUM(G7:G23)</f>
        <v>60518.933333333334</v>
      </c>
      <c r="H25" s="12">
        <f t="shared" si="0"/>
        <v>63430.5</v>
      </c>
      <c r="I25" s="12">
        <f t="shared" si="0"/>
        <v>49937.433333333342</v>
      </c>
      <c r="J25" s="12">
        <f t="shared" si="0"/>
        <v>69839.433333333334</v>
      </c>
      <c r="K25" s="12">
        <f t="shared" si="0"/>
        <v>17302.400000000001</v>
      </c>
      <c r="L25" s="12">
        <f t="shared" si="0"/>
        <v>62594.71666666666</v>
      </c>
      <c r="M25" s="12">
        <f t="shared" si="0"/>
        <v>17258.783333333333</v>
      </c>
      <c r="N25" s="12">
        <f t="shared" si="0"/>
        <v>70479.383333333331</v>
      </c>
      <c r="O25" s="12">
        <f t="shared" si="0"/>
        <v>49505.383333333339</v>
      </c>
      <c r="P25" s="12">
        <f t="shared" si="0"/>
        <v>68672.516666666663</v>
      </c>
      <c r="Q25" s="12">
        <f t="shared" si="0"/>
        <v>30879.783333333333</v>
      </c>
      <c r="R25" s="12">
        <f t="shared" si="0"/>
        <v>1313616.4361111112</v>
      </c>
      <c r="S25" s="12">
        <f t="shared" si="0"/>
        <v>295816.38888888888</v>
      </c>
      <c r="T25" s="12">
        <f t="shared" si="0"/>
        <v>674873.14722222229</v>
      </c>
      <c r="U25" s="12">
        <f t="shared" si="0"/>
        <v>381540.68611111114</v>
      </c>
      <c r="V25" s="33">
        <f t="shared" si="0"/>
        <v>322269.73159722215</v>
      </c>
    </row>
    <row r="26" spans="1:22" x14ac:dyDescent="0.35">
      <c r="A26" s="43"/>
      <c r="B26" s="1"/>
      <c r="C26" s="1"/>
      <c r="D26" s="1"/>
      <c r="V26" s="45"/>
    </row>
    <row r="27" spans="1:22" ht="29" x14ac:dyDescent="0.35">
      <c r="A27" s="43" t="s">
        <v>165</v>
      </c>
      <c r="B27" s="1"/>
      <c r="C27" s="1"/>
      <c r="D27" s="1"/>
      <c r="G27">
        <f>F28</f>
        <v>145323.93333333332</v>
      </c>
      <c r="H27">
        <f t="shared" ref="H27:V27" si="1">G28</f>
        <v>205842.86666666664</v>
      </c>
      <c r="I27">
        <f t="shared" si="1"/>
        <v>269273.36666666664</v>
      </c>
      <c r="J27">
        <f t="shared" si="1"/>
        <v>319210.8</v>
      </c>
      <c r="K27">
        <f t="shared" si="1"/>
        <v>389050.23333333334</v>
      </c>
      <c r="L27">
        <f t="shared" si="1"/>
        <v>406352.63333333336</v>
      </c>
      <c r="M27">
        <f t="shared" si="1"/>
        <v>468947.35000000003</v>
      </c>
      <c r="N27">
        <f t="shared" si="1"/>
        <v>486206.13333333336</v>
      </c>
      <c r="O27">
        <f t="shared" si="1"/>
        <v>556685.51666666672</v>
      </c>
      <c r="P27">
        <f t="shared" si="1"/>
        <v>606190.9</v>
      </c>
      <c r="Q27">
        <f t="shared" si="1"/>
        <v>674863.41666666674</v>
      </c>
      <c r="R27">
        <f t="shared" si="1"/>
        <v>705743.20000000007</v>
      </c>
      <c r="S27">
        <f t="shared" si="1"/>
        <v>2019359.6361111114</v>
      </c>
      <c r="T27">
        <f t="shared" si="1"/>
        <v>2315176.0250000004</v>
      </c>
      <c r="U27">
        <f t="shared" si="1"/>
        <v>2990049.1722222227</v>
      </c>
      <c r="V27" s="45">
        <f t="shared" si="1"/>
        <v>3371589.8583333339</v>
      </c>
    </row>
    <row r="28" spans="1:22" x14ac:dyDescent="0.35">
      <c r="A28" s="46" t="s">
        <v>166</v>
      </c>
      <c r="B28" s="19"/>
      <c r="C28" s="19"/>
      <c r="D28" s="19"/>
      <c r="E28" s="20"/>
      <c r="F28" s="20">
        <f>F25</f>
        <v>145323.93333333332</v>
      </c>
      <c r="G28" s="20">
        <f>G27+G25</f>
        <v>205842.86666666664</v>
      </c>
      <c r="H28" s="20">
        <f t="shared" ref="H28:V28" si="2">H27+H25</f>
        <v>269273.36666666664</v>
      </c>
      <c r="I28" s="20">
        <f t="shared" si="2"/>
        <v>319210.8</v>
      </c>
      <c r="J28" s="20">
        <f t="shared" si="2"/>
        <v>389050.23333333334</v>
      </c>
      <c r="K28" s="20">
        <f t="shared" si="2"/>
        <v>406352.63333333336</v>
      </c>
      <c r="L28" s="20">
        <f t="shared" si="2"/>
        <v>468947.35000000003</v>
      </c>
      <c r="M28" s="20">
        <f t="shared" si="2"/>
        <v>486206.13333333336</v>
      </c>
      <c r="N28" s="20">
        <f t="shared" si="2"/>
        <v>556685.51666666672</v>
      </c>
      <c r="O28" s="20">
        <f t="shared" si="2"/>
        <v>606190.9</v>
      </c>
      <c r="P28" s="20">
        <f t="shared" si="2"/>
        <v>674863.41666666674</v>
      </c>
      <c r="Q28" s="20">
        <f t="shared" si="2"/>
        <v>705743.20000000007</v>
      </c>
      <c r="R28" s="20">
        <f t="shared" si="2"/>
        <v>2019359.6361111114</v>
      </c>
      <c r="S28" s="20">
        <f t="shared" si="2"/>
        <v>2315176.0250000004</v>
      </c>
      <c r="T28" s="20">
        <f t="shared" si="2"/>
        <v>2990049.1722222227</v>
      </c>
      <c r="U28" s="20">
        <f t="shared" si="2"/>
        <v>3371589.8583333339</v>
      </c>
      <c r="V28" s="34">
        <f t="shared" si="2"/>
        <v>3693859.5899305558</v>
      </c>
    </row>
    <row r="29" spans="1:22" x14ac:dyDescent="0.35">
      <c r="A29" s="1"/>
      <c r="B29" s="1"/>
      <c r="C29" s="1"/>
      <c r="D29" s="1"/>
    </row>
    <row r="30" spans="1:22" x14ac:dyDescent="0.35">
      <c r="A30" s="1"/>
      <c r="B30" s="1"/>
      <c r="C30" s="1"/>
      <c r="D30" s="1"/>
    </row>
    <row r="31" spans="1:22" x14ac:dyDescent="0.35">
      <c r="A31" s="1"/>
      <c r="B31" s="1"/>
      <c r="C31" s="1"/>
      <c r="D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8EA0-A0FC-446D-B329-2DB11328F9F1}">
  <dimension ref="B2:N20"/>
  <sheetViews>
    <sheetView zoomScale="52" zoomScaleNormal="52" workbookViewId="0">
      <selection activeCell="U21" sqref="U21"/>
    </sheetView>
  </sheetViews>
  <sheetFormatPr defaultRowHeight="14.5" x14ac:dyDescent="0.35"/>
  <cols>
    <col min="2" max="2" width="19.6328125" customWidth="1"/>
    <col min="3" max="3" width="32.6328125" customWidth="1"/>
    <col min="4" max="4" width="15.08984375" customWidth="1"/>
    <col min="5" max="5" width="10.1796875" bestFit="1" customWidth="1"/>
    <col min="6" max="6" width="14" customWidth="1"/>
    <col min="7" max="7" width="14.36328125" customWidth="1"/>
    <col min="8" max="9" width="22.26953125" customWidth="1"/>
    <col min="10" max="10" width="16.1796875" customWidth="1"/>
    <col min="11" max="11" width="13.26953125" customWidth="1"/>
    <col min="12" max="12" width="22.7265625" customWidth="1"/>
    <col min="14" max="14" width="15.54296875" customWidth="1"/>
    <col min="16" max="16" width="14.54296875" customWidth="1"/>
  </cols>
  <sheetData>
    <row r="2" spans="2:14" ht="2.5" customHeight="1" thickBot="1" x14ac:dyDescent="0.4"/>
    <row r="3" spans="2:14" ht="32" customHeight="1" x14ac:dyDescent="0.35">
      <c r="B3" s="118" t="s">
        <v>210</v>
      </c>
      <c r="C3" s="103"/>
      <c r="D3" s="103"/>
      <c r="E3" s="103"/>
      <c r="F3" s="103"/>
      <c r="G3" s="119"/>
    </row>
    <row r="4" spans="2:14" x14ac:dyDescent="0.35">
      <c r="B4" s="120"/>
      <c r="C4" s="104"/>
      <c r="D4" s="104"/>
      <c r="E4" s="104"/>
      <c r="F4" s="104"/>
      <c r="G4" s="121"/>
    </row>
    <row r="5" spans="2:14" ht="60" customHeight="1" thickBot="1" x14ac:dyDescent="0.4">
      <c r="B5" s="122"/>
      <c r="C5" s="123"/>
      <c r="D5" s="123"/>
      <c r="E5" s="123"/>
      <c r="F5" s="123"/>
      <c r="G5" s="124"/>
    </row>
    <row r="6" spans="2:14" ht="35" thickBot="1" x14ac:dyDescent="0.85">
      <c r="B6" s="125" t="s">
        <v>211</v>
      </c>
      <c r="C6" s="125"/>
      <c r="D6" s="125"/>
      <c r="E6" s="125"/>
      <c r="F6" s="126"/>
    </row>
    <row r="7" spans="2:14" ht="30.5" x14ac:dyDescent="0.5">
      <c r="B7" s="129" t="s">
        <v>6</v>
      </c>
      <c r="C7" s="105">
        <v>1</v>
      </c>
      <c r="D7" s="106">
        <v>2</v>
      </c>
      <c r="E7" s="106">
        <v>3</v>
      </c>
      <c r="F7" s="107">
        <v>4</v>
      </c>
      <c r="G7" s="108">
        <v>5</v>
      </c>
      <c r="H7" s="75" t="s">
        <v>172</v>
      </c>
    </row>
    <row r="8" spans="2:14" ht="75.5" customHeight="1" x14ac:dyDescent="0.5">
      <c r="B8" s="117" t="s">
        <v>173</v>
      </c>
      <c r="C8" s="77">
        <f>SUM(CFS!F8:Q21)</f>
        <v>675743.19999999972</v>
      </c>
      <c r="D8" s="74">
        <f>SUM(CFS!R8:S21)</f>
        <v>1609432.825</v>
      </c>
      <c r="E8" s="74">
        <f>SUM(CFS!T8:T21)</f>
        <v>674873.14722222229</v>
      </c>
      <c r="F8" s="76">
        <f>SUM(CFS!U8:U21)</f>
        <v>381540.68611111114</v>
      </c>
      <c r="G8" s="109">
        <f>SUM(CFS!V8:V21)</f>
        <v>414041.93159722217</v>
      </c>
      <c r="H8" s="78">
        <f>G8*(1+$G$16)</f>
        <v>443024.86680902774</v>
      </c>
    </row>
    <row r="9" spans="2:14" ht="63.5" customHeight="1" x14ac:dyDescent="0.5">
      <c r="B9" s="117" t="s">
        <v>174</v>
      </c>
      <c r="C9" s="110"/>
      <c r="D9" s="110"/>
      <c r="E9" s="111"/>
      <c r="F9" s="111"/>
      <c r="G9" s="109">
        <f>H8/(G15-G16)</f>
        <v>2606028.6282883985</v>
      </c>
      <c r="H9" s="8"/>
      <c r="M9" s="7"/>
      <c r="N9" s="9"/>
    </row>
    <row r="10" spans="2:14" ht="40.5" customHeight="1" x14ac:dyDescent="0.5">
      <c r="B10" s="117" t="s">
        <v>175</v>
      </c>
      <c r="C10" s="77">
        <f>C8/(1+$G$15)^C7</f>
        <v>544954.19354838692</v>
      </c>
      <c r="D10" s="74">
        <f>D8/(1+$G$15)^D7</f>
        <v>1046717.4980489073</v>
      </c>
      <c r="E10" s="74">
        <f>E8/(1+$G$15)^E7</f>
        <v>353962.36868004507</v>
      </c>
      <c r="F10" s="76">
        <f>F8/(1+$G$15)^F7</f>
        <v>161381.63670577365</v>
      </c>
      <c r="G10" s="109">
        <f>G8/(1+$G$15)^G7</f>
        <v>141232.90761413507</v>
      </c>
      <c r="H10" s="8"/>
    </row>
    <row r="11" spans="2:14" x14ac:dyDescent="0.35">
      <c r="B11" s="94"/>
      <c r="C11" s="111"/>
      <c r="D11" s="111"/>
      <c r="E11" s="111"/>
      <c r="F11" s="111"/>
      <c r="G11" s="112"/>
      <c r="H11" s="8"/>
    </row>
    <row r="12" spans="2:14" ht="53" customHeight="1" thickBot="1" x14ac:dyDescent="0.6">
      <c r="B12" s="113" t="s">
        <v>176</v>
      </c>
      <c r="C12" s="114">
        <f>SUM(C10:G10)</f>
        <v>2248248.6045972481</v>
      </c>
      <c r="D12" s="115"/>
      <c r="E12" s="115"/>
      <c r="F12" s="115"/>
      <c r="G12" s="116"/>
      <c r="H12" s="8"/>
    </row>
    <row r="13" spans="2:14" ht="40" customHeight="1" x14ac:dyDescent="0.35"/>
    <row r="15" spans="2:14" ht="29" x14ac:dyDescent="0.35">
      <c r="B15" s="48" t="s">
        <v>180</v>
      </c>
      <c r="C15" s="11" t="s">
        <v>208</v>
      </c>
      <c r="D15" s="33"/>
      <c r="F15" s="81" t="s">
        <v>170</v>
      </c>
      <c r="G15" s="80">
        <f>D16</f>
        <v>0.24</v>
      </c>
      <c r="H15" s="81" t="s">
        <v>197</v>
      </c>
    </row>
    <row r="16" spans="2:14" ht="29" x14ac:dyDescent="0.35">
      <c r="B16" s="127" t="s">
        <v>181</v>
      </c>
      <c r="C16" s="71" t="s">
        <v>207</v>
      </c>
      <c r="D16" s="72">
        <v>0.24</v>
      </c>
      <c r="F16" s="81" t="s">
        <v>171</v>
      </c>
      <c r="G16" s="82">
        <v>7.0000000000000007E-2</v>
      </c>
      <c r="H16" s="81" t="s">
        <v>184</v>
      </c>
    </row>
    <row r="17" spans="2:4" ht="43.5" x14ac:dyDescent="0.35">
      <c r="B17" s="127" t="s">
        <v>182</v>
      </c>
      <c r="C17" s="71" t="s">
        <v>183</v>
      </c>
      <c r="D17" s="73">
        <f>8%+1.2*6%</f>
        <v>0.152</v>
      </c>
    </row>
    <row r="18" spans="2:4" ht="29" x14ac:dyDescent="0.35">
      <c r="B18" s="127" t="s">
        <v>185</v>
      </c>
      <c r="C18" s="71" t="s">
        <v>205</v>
      </c>
      <c r="D18" s="72">
        <v>0.06</v>
      </c>
    </row>
    <row r="19" spans="2:4" ht="29" x14ac:dyDescent="0.35">
      <c r="B19" s="128" t="s">
        <v>206</v>
      </c>
      <c r="C19" s="20"/>
      <c r="D19" s="89">
        <f>SUM(D17:D18)</f>
        <v>0.21199999999999999</v>
      </c>
    </row>
    <row r="20" spans="2:4" ht="29" x14ac:dyDescent="0.35">
      <c r="B20" s="90" t="s">
        <v>177</v>
      </c>
      <c r="C20" s="91" cm="1">
        <f t="array" ref="C20">_xlfn.STDEV.S(C8:G8/AVERAGE(C8:G8))</f>
        <v>0.66513642707945364</v>
      </c>
    </row>
  </sheetData>
  <mergeCells count="2">
    <mergeCell ref="B3:G5"/>
    <mergeCell ref="B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PnL</vt:lpstr>
      <vt:lpstr>Balance Sheet</vt:lpstr>
      <vt:lpstr>CFS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RAHIM SHAIKH - 26570</dc:creator>
  <cp:lastModifiedBy>ABDUL RAHIM SHAIKH - 26570</cp:lastModifiedBy>
  <dcterms:created xsi:type="dcterms:W3CDTF">2024-10-15T13:35:01Z</dcterms:created>
  <dcterms:modified xsi:type="dcterms:W3CDTF">2024-12-30T11:32:29Z</dcterms:modified>
</cp:coreProperties>
</file>