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harts/chart9.xml" ContentType="application/vnd.openxmlformats-officedocument.drawingml.chart+xml"/>
  <Override PartName="/xl/drawings/drawing9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harts/chart11.xml" ContentType="application/vnd.openxmlformats-officedocument.drawingml.chart+xml"/>
  <Override PartName="/xl/drawings/drawing11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workbookProtection workbookPassword="BE6C" lockStructure="1"/>
  <bookViews>
    <workbookView xWindow="240" yWindow="60" windowWidth="20115" windowHeight="8010"/>
  </bookViews>
  <sheets>
    <sheet name="G&amp;H" sheetId="3" r:id="rId1"/>
    <sheet name="4.0" sheetId="4" r:id="rId2"/>
    <sheet name="4.5" sheetId="26" r:id="rId3"/>
    <sheet name="5.0" sheetId="25" r:id="rId4"/>
    <sheet name="5.5" sheetId="24" r:id="rId5"/>
    <sheet name="6.0" sheetId="23" r:id="rId6"/>
    <sheet name="6.5" sheetId="22" r:id="rId7"/>
    <sheet name="7.0" sheetId="21" r:id="rId8"/>
    <sheet name="7.5" sheetId="20" r:id="rId9"/>
    <sheet name="8.0" sheetId="18" r:id="rId10"/>
    <sheet name="Results" sheetId="17" r:id="rId11"/>
    <sheet name="Tools1" sheetId="13" state="hidden" r:id="rId12"/>
  </sheets>
  <definedNames>
    <definedName name="▲_">'G&amp;H'!$C$10</definedName>
    <definedName name="▼_">Tools1!$J$27</definedName>
    <definedName name="ABT">Tools1!$J$25</definedName>
    <definedName name="AMID">Tools1!$J$24</definedName>
    <definedName name="BREADTH">Tools1!$J$22</definedName>
    <definedName name="CB">'G&amp;H'!$C$12</definedName>
    <definedName name="CF’" localSheetId="0">'G&amp;H'!$F$30</definedName>
    <definedName name="CP">'G&amp;H'!$C$11</definedName>
    <definedName name="DRAFT">Tools1!$J$23</definedName>
    <definedName name="Fn" localSheetId="0">'G&amp;H'!$C$39</definedName>
    <definedName name="g">'G&amp;H'!$I$8</definedName>
    <definedName name="LBP">Tools1!$J$21</definedName>
    <definedName name="LCB">Tools1!$J$26</definedName>
    <definedName name="RF" localSheetId="11">OFFSET(Tools1!$E$23,,,Tools1!$AH$1,1)</definedName>
    <definedName name="Rn" localSheetId="0">'G&amp;H'!$F$29</definedName>
    <definedName name="V">'G&amp;H'!$I$5</definedName>
    <definedName name="Velocities" localSheetId="11">OFFSET(Tools1!$A$23,,,Tools1!$AH$1,1)</definedName>
    <definedName name="ρ">'G&amp;H'!$I$9</definedName>
  </definedNames>
  <calcPr calcId="144525"/>
</workbook>
</file>

<file path=xl/calcChain.xml><?xml version="1.0" encoding="utf-8"?>
<calcChain xmlns="http://schemas.openxmlformats.org/spreadsheetml/2006/main">
  <c r="K6" i="17" l="1"/>
  <c r="AI111" i="13"/>
  <c r="AG110" i="13"/>
  <c r="AG109" i="13"/>
  <c r="AG108" i="13"/>
  <c r="AG107" i="13"/>
  <c r="AG106" i="13"/>
  <c r="AG105" i="13"/>
  <c r="AG104" i="13"/>
  <c r="AG103" i="13"/>
  <c r="AG102" i="13"/>
  <c r="AG101" i="13"/>
  <c r="AG100" i="13"/>
  <c r="AG99" i="13"/>
  <c r="AG98" i="13"/>
  <c r="AG97" i="13"/>
  <c r="AG96" i="13"/>
  <c r="AG95" i="13"/>
  <c r="AG94" i="13"/>
  <c r="AG93" i="13"/>
  <c r="AG92" i="13"/>
  <c r="AG91" i="13"/>
  <c r="AG90" i="13"/>
  <c r="AG89" i="13"/>
  <c r="AG88" i="13"/>
  <c r="AG87" i="13"/>
  <c r="AG86" i="13"/>
  <c r="AG85" i="13"/>
  <c r="AG84" i="13"/>
  <c r="AG83" i="13"/>
  <c r="AG82" i="13"/>
  <c r="AG81" i="13"/>
  <c r="AG80" i="13"/>
  <c r="AG79" i="13"/>
  <c r="AG78" i="13"/>
  <c r="AG77" i="13"/>
  <c r="AG76" i="13"/>
  <c r="AG75" i="13"/>
  <c r="AG74" i="13"/>
  <c r="AG73" i="13"/>
  <c r="AG72" i="13"/>
  <c r="AG71" i="13"/>
  <c r="AG70" i="13"/>
  <c r="AG69" i="13"/>
  <c r="AG68" i="13"/>
  <c r="AG67" i="13"/>
  <c r="AG66" i="13"/>
  <c r="AG65" i="13"/>
  <c r="AG64" i="13"/>
  <c r="AG63" i="13"/>
  <c r="AG62" i="13"/>
  <c r="AG61" i="13"/>
  <c r="AG60" i="13"/>
  <c r="AG59" i="13"/>
  <c r="AG58" i="13"/>
  <c r="AG57" i="13"/>
  <c r="AG56" i="13"/>
  <c r="AG55" i="13"/>
  <c r="AG54" i="13"/>
  <c r="AG53" i="13"/>
  <c r="AG52" i="13"/>
  <c r="AG51" i="13"/>
  <c r="AG50" i="13"/>
  <c r="AG49" i="13"/>
  <c r="AG48" i="13"/>
  <c r="AG47" i="13"/>
  <c r="AG46" i="13"/>
  <c r="AG45" i="13"/>
  <c r="AG44" i="13"/>
  <c r="AG43" i="13"/>
  <c r="AG42" i="13"/>
  <c r="AG41" i="13"/>
  <c r="AG40" i="13"/>
  <c r="AG39" i="13"/>
  <c r="AG38" i="13"/>
  <c r="AG37" i="13"/>
  <c r="AG36" i="13"/>
  <c r="AG35" i="13"/>
  <c r="AG34" i="13"/>
  <c r="AG33" i="13"/>
  <c r="AG32" i="13"/>
  <c r="AG31" i="13"/>
  <c r="AG30" i="13"/>
  <c r="AG29" i="13"/>
  <c r="AG28" i="13"/>
  <c r="AG27" i="13"/>
  <c r="AG26" i="13"/>
  <c r="AG25" i="13"/>
  <c r="AG24" i="13"/>
  <c r="AG23" i="13"/>
  <c r="AG22" i="13"/>
  <c r="AG21" i="13"/>
  <c r="AG20" i="13"/>
  <c r="AG19" i="13"/>
  <c r="AG18" i="13"/>
  <c r="AG17" i="13"/>
  <c r="AG16" i="13"/>
  <c r="AG15" i="13"/>
  <c r="AG14" i="13"/>
  <c r="AG13" i="13"/>
  <c r="AG12" i="13"/>
  <c r="AG11" i="13"/>
  <c r="AG10" i="13"/>
  <c r="AG9" i="13"/>
  <c r="AG8" i="13"/>
  <c r="AG7" i="13"/>
  <c r="AG6" i="13"/>
  <c r="AG5" i="13"/>
  <c r="AG4" i="13"/>
  <c r="AG3" i="13"/>
  <c r="AG2" i="13"/>
  <c r="I4" i="3"/>
  <c r="J7" i="17"/>
  <c r="BJ111" i="13" l="1"/>
  <c r="BJ107" i="13"/>
  <c r="BJ103" i="13"/>
  <c r="BJ99" i="13"/>
  <c r="BJ95" i="13"/>
  <c r="BJ91" i="13"/>
  <c r="BJ87" i="13"/>
  <c r="BJ83" i="13"/>
  <c r="BJ79" i="13"/>
  <c r="BJ75" i="13"/>
  <c r="BJ71" i="13"/>
  <c r="BJ67" i="13"/>
  <c r="BJ63" i="13"/>
  <c r="BJ59" i="13"/>
  <c r="BJ55" i="13"/>
  <c r="BJ51" i="13"/>
  <c r="BJ47" i="13"/>
  <c r="BJ43" i="13"/>
  <c r="BJ39" i="13"/>
  <c r="BJ35" i="13"/>
  <c r="BJ31" i="13"/>
  <c r="BJ27" i="13"/>
  <c r="BJ23" i="13"/>
  <c r="BJ19" i="13"/>
  <c r="BJ110" i="13"/>
  <c r="BJ106" i="13"/>
  <c r="BJ102" i="13"/>
  <c r="BJ98" i="13"/>
  <c r="BJ94" i="13"/>
  <c r="BJ90" i="13"/>
  <c r="BJ86" i="13"/>
  <c r="BJ82" i="13"/>
  <c r="BJ78" i="13"/>
  <c r="BJ74" i="13"/>
  <c r="BJ70" i="13"/>
  <c r="BJ66" i="13"/>
  <c r="BJ62" i="13"/>
  <c r="BJ58" i="13"/>
  <c r="BJ54" i="13"/>
  <c r="BJ50" i="13"/>
  <c r="BJ46" i="13"/>
  <c r="BJ42" i="13"/>
  <c r="BJ38" i="13"/>
  <c r="BJ34" i="13"/>
  <c r="BJ30" i="13"/>
  <c r="BJ26" i="13"/>
  <c r="BJ22" i="13"/>
  <c r="BJ18" i="13"/>
  <c r="BJ14" i="13"/>
  <c r="BJ3" i="13"/>
  <c r="BJ109" i="13"/>
  <c r="BJ105" i="13"/>
  <c r="BJ101" i="13"/>
  <c r="BJ97" i="13"/>
  <c r="BJ93" i="13"/>
  <c r="BJ89" i="13"/>
  <c r="BJ85" i="13"/>
  <c r="BJ81" i="13"/>
  <c r="BJ77" i="13"/>
  <c r="BJ73" i="13"/>
  <c r="BJ69" i="13"/>
  <c r="BJ65" i="13"/>
  <c r="BJ61" i="13"/>
  <c r="BJ57" i="13"/>
  <c r="BJ53" i="13"/>
  <c r="BJ49" i="13"/>
  <c r="BJ45" i="13"/>
  <c r="BJ41" i="13"/>
  <c r="BJ37" i="13"/>
  <c r="BJ33" i="13"/>
  <c r="BJ29" i="13"/>
  <c r="BJ25" i="13"/>
  <c r="BJ21" i="13"/>
  <c r="BJ17" i="13"/>
  <c r="BJ13" i="13"/>
  <c r="BJ9" i="13"/>
  <c r="BJ5" i="13"/>
  <c r="BJ2" i="13"/>
  <c r="BJ108" i="13"/>
  <c r="BJ104" i="13"/>
  <c r="BJ100" i="13"/>
  <c r="BJ96" i="13"/>
  <c r="BJ92" i="13"/>
  <c r="BJ88" i="13"/>
  <c r="BJ84" i="13"/>
  <c r="BJ80" i="13"/>
  <c r="BJ76" i="13"/>
  <c r="BJ72" i="13"/>
  <c r="BJ68" i="13"/>
  <c r="BJ64" i="13"/>
  <c r="BJ60" i="13"/>
  <c r="BJ56" i="13"/>
  <c r="BJ52" i="13"/>
  <c r="BJ48" i="13"/>
  <c r="BJ44" i="13"/>
  <c r="BJ40" i="13"/>
  <c r="BJ36" i="13"/>
  <c r="BJ32" i="13"/>
  <c r="BJ28" i="13"/>
  <c r="BJ24" i="13"/>
  <c r="BJ20" i="13"/>
  <c r="BJ16" i="13"/>
  <c r="BJ12" i="13"/>
  <c r="BJ8" i="13"/>
  <c r="BJ4" i="13"/>
  <c r="BJ7" i="13"/>
  <c r="BJ10" i="13"/>
  <c r="BJ11" i="13"/>
  <c r="BJ6" i="13"/>
  <c r="BJ15" i="13"/>
  <c r="L31" i="18"/>
  <c r="L31" i="20"/>
  <c r="L31" i="21"/>
  <c r="L31" i="22"/>
  <c r="L31" i="24"/>
  <c r="L31" i="25"/>
  <c r="L31" i="26"/>
  <c r="L31" i="4"/>
  <c r="L31" i="23"/>
  <c r="J27" i="13"/>
  <c r="C10" i="3" s="1"/>
  <c r="J26" i="13"/>
  <c r="J25" i="13"/>
  <c r="J24" i="13"/>
  <c r="J23" i="13"/>
  <c r="J22" i="13"/>
  <c r="J21" i="13"/>
  <c r="CF11" i="13" l="1"/>
  <c r="CB11" i="13"/>
  <c r="BX11" i="13"/>
  <c r="BT11" i="13"/>
  <c r="BP11" i="13"/>
  <c r="BL11" i="13"/>
  <c r="CE11" i="13"/>
  <c r="CA11" i="13"/>
  <c r="BW11" i="13"/>
  <c r="BS11" i="13"/>
  <c r="BO11" i="13"/>
  <c r="BK11" i="13"/>
  <c r="CH11" i="13"/>
  <c r="CD11" i="13"/>
  <c r="BZ11" i="13"/>
  <c r="BV11" i="13"/>
  <c r="BR11" i="13"/>
  <c r="BN11" i="13"/>
  <c r="CG11" i="13"/>
  <c r="CC11" i="13"/>
  <c r="BY11" i="13"/>
  <c r="BU11" i="13"/>
  <c r="BQ11" i="13"/>
  <c r="BM11" i="13"/>
  <c r="CF8" i="13"/>
  <c r="CB8" i="13"/>
  <c r="BX8" i="13"/>
  <c r="BT8" i="13"/>
  <c r="BP8" i="13"/>
  <c r="BL8" i="13"/>
  <c r="CE8" i="13"/>
  <c r="CA8" i="13"/>
  <c r="BW8" i="13"/>
  <c r="BS8" i="13"/>
  <c r="BO8" i="13"/>
  <c r="BK8" i="13"/>
  <c r="CH8" i="13"/>
  <c r="CD8" i="13"/>
  <c r="BZ8" i="13"/>
  <c r="BV8" i="13"/>
  <c r="BR8" i="13"/>
  <c r="BN8" i="13"/>
  <c r="CG8" i="13"/>
  <c r="CC8" i="13"/>
  <c r="BY8" i="13"/>
  <c r="BU8" i="13"/>
  <c r="BQ8" i="13"/>
  <c r="BM8" i="13"/>
  <c r="CH24" i="13"/>
  <c r="CG24" i="13"/>
  <c r="CC24" i="13"/>
  <c r="BY24" i="13"/>
  <c r="BU24" i="13"/>
  <c r="BQ24" i="13"/>
  <c r="BM24" i="13"/>
  <c r="CF24" i="13"/>
  <c r="CB24" i="13"/>
  <c r="BX24" i="13"/>
  <c r="BT24" i="13"/>
  <c r="BP24" i="13"/>
  <c r="BL24" i="13"/>
  <c r="CA24" i="13"/>
  <c r="BS24" i="13"/>
  <c r="BK24" i="13"/>
  <c r="BZ24" i="13"/>
  <c r="BR24" i="13"/>
  <c r="CE24" i="13"/>
  <c r="BW24" i="13"/>
  <c r="BO24" i="13"/>
  <c r="CD24" i="13"/>
  <c r="BV24" i="13"/>
  <c r="BN24" i="13"/>
  <c r="CE40" i="13"/>
  <c r="CA40" i="13"/>
  <c r="BW40" i="13"/>
  <c r="BS40" i="13"/>
  <c r="BO40" i="13"/>
  <c r="BK40" i="13"/>
  <c r="CG40" i="13"/>
  <c r="CC40" i="13"/>
  <c r="BY40" i="13"/>
  <c r="BU40" i="13"/>
  <c r="BQ40" i="13"/>
  <c r="BM40" i="13"/>
  <c r="CD40" i="13"/>
  <c r="BV40" i="13"/>
  <c r="BN40" i="13"/>
  <c r="CB40" i="13"/>
  <c r="BT40" i="13"/>
  <c r="BL40" i="13"/>
  <c r="CH40" i="13"/>
  <c r="BZ40" i="13"/>
  <c r="BR40" i="13"/>
  <c r="CF40" i="13"/>
  <c r="BX40" i="13"/>
  <c r="BP40" i="13"/>
  <c r="CH56" i="13"/>
  <c r="CD56" i="13"/>
  <c r="BZ56" i="13"/>
  <c r="BV56" i="13"/>
  <c r="BR56" i="13"/>
  <c r="BN56" i="13"/>
  <c r="CE56" i="13"/>
  <c r="BY56" i="13"/>
  <c r="BT56" i="13"/>
  <c r="BO56" i="13"/>
  <c r="CC56" i="13"/>
  <c r="BX56" i="13"/>
  <c r="BS56" i="13"/>
  <c r="BM56" i="13"/>
  <c r="CG56" i="13"/>
  <c r="CB56" i="13"/>
  <c r="BW56" i="13"/>
  <c r="BQ56" i="13"/>
  <c r="BL56" i="13"/>
  <c r="BP56" i="13"/>
  <c r="CF56" i="13"/>
  <c r="BK56" i="13"/>
  <c r="CA56" i="13"/>
  <c r="BU56" i="13"/>
  <c r="CG72" i="13"/>
  <c r="CC72" i="13"/>
  <c r="BY72" i="13"/>
  <c r="BU72" i="13"/>
  <c r="BQ72" i="13"/>
  <c r="BM72" i="13"/>
  <c r="CF72" i="13"/>
  <c r="CB72" i="13"/>
  <c r="BX72" i="13"/>
  <c r="BT72" i="13"/>
  <c r="BP72" i="13"/>
  <c r="BL72" i="13"/>
  <c r="CH72" i="13"/>
  <c r="CD72" i="13"/>
  <c r="BZ72" i="13"/>
  <c r="BV72" i="13"/>
  <c r="BR72" i="13"/>
  <c r="BN72" i="13"/>
  <c r="CA72" i="13"/>
  <c r="BK72" i="13"/>
  <c r="BW72" i="13"/>
  <c r="BS72" i="13"/>
  <c r="CE72" i="13"/>
  <c r="BO72" i="13"/>
  <c r="CE88" i="13"/>
  <c r="CA88" i="13"/>
  <c r="BW88" i="13"/>
  <c r="BS88" i="13"/>
  <c r="BO88" i="13"/>
  <c r="BK88" i="13"/>
  <c r="CG88" i="13"/>
  <c r="CB88" i="13"/>
  <c r="BV88" i="13"/>
  <c r="BQ88" i="13"/>
  <c r="BL88" i="13"/>
  <c r="CF88" i="13"/>
  <c r="BZ88" i="13"/>
  <c r="BU88" i="13"/>
  <c r="BP88" i="13"/>
  <c r="CD88" i="13"/>
  <c r="BY88" i="13"/>
  <c r="BT88" i="13"/>
  <c r="BN88" i="13"/>
  <c r="CH88" i="13"/>
  <c r="BM88" i="13"/>
  <c r="CC88" i="13"/>
  <c r="BR88" i="13"/>
  <c r="BX88" i="13"/>
  <c r="CG104" i="13"/>
  <c r="CC104" i="13"/>
  <c r="BY104" i="13"/>
  <c r="BU104" i="13"/>
  <c r="BQ104" i="13"/>
  <c r="BM104" i="13"/>
  <c r="CE104" i="13"/>
  <c r="CA104" i="13"/>
  <c r="BW104" i="13"/>
  <c r="BS104" i="13"/>
  <c r="BO104" i="13"/>
  <c r="BK104" i="13"/>
  <c r="CD104" i="13"/>
  <c r="BV104" i="13"/>
  <c r="BN104" i="13"/>
  <c r="CH104" i="13"/>
  <c r="BZ104" i="13"/>
  <c r="BR104" i="13"/>
  <c r="CF104" i="13"/>
  <c r="BX104" i="13"/>
  <c r="BP104" i="13"/>
  <c r="CB104" i="13"/>
  <c r="BT104" i="13"/>
  <c r="BL104" i="13"/>
  <c r="CF9" i="13"/>
  <c r="CB9" i="13"/>
  <c r="BX9" i="13"/>
  <c r="BT9" i="13"/>
  <c r="BP9" i="13"/>
  <c r="BL9" i="13"/>
  <c r="CE9" i="13"/>
  <c r="CA9" i="13"/>
  <c r="BW9" i="13"/>
  <c r="BS9" i="13"/>
  <c r="BO9" i="13"/>
  <c r="BK9" i="13"/>
  <c r="CH9" i="13"/>
  <c r="CD9" i="13"/>
  <c r="BZ9" i="13"/>
  <c r="BV9" i="13"/>
  <c r="BR9" i="13"/>
  <c r="BN9" i="13"/>
  <c r="CG9" i="13"/>
  <c r="CC9" i="13"/>
  <c r="BY9" i="13"/>
  <c r="BU9" i="13"/>
  <c r="BQ9" i="13"/>
  <c r="BM9" i="13"/>
  <c r="CH25" i="13"/>
  <c r="CD25" i="13"/>
  <c r="BZ25" i="13"/>
  <c r="BV25" i="13"/>
  <c r="BR25" i="13"/>
  <c r="BN25" i="13"/>
  <c r="CG25" i="13"/>
  <c r="CC25" i="13"/>
  <c r="BY25" i="13"/>
  <c r="BU25" i="13"/>
  <c r="BQ25" i="13"/>
  <c r="BM25" i="13"/>
  <c r="CF25" i="13"/>
  <c r="CB25" i="13"/>
  <c r="BX25" i="13"/>
  <c r="BT25" i="13"/>
  <c r="BP25" i="13"/>
  <c r="BL25" i="13"/>
  <c r="CE25" i="13"/>
  <c r="BO25" i="13"/>
  <c r="CA25" i="13"/>
  <c r="BK25" i="13"/>
  <c r="BW25" i="13"/>
  <c r="BS25" i="13"/>
  <c r="CE41" i="13"/>
  <c r="CA41" i="13"/>
  <c r="BW41" i="13"/>
  <c r="BS41" i="13"/>
  <c r="BO41" i="13"/>
  <c r="BK41" i="13"/>
  <c r="CG41" i="13"/>
  <c r="CC41" i="13"/>
  <c r="BY41" i="13"/>
  <c r="BU41" i="13"/>
  <c r="BQ41" i="13"/>
  <c r="BM41" i="13"/>
  <c r="CD41" i="13"/>
  <c r="BV41" i="13"/>
  <c r="BN41" i="13"/>
  <c r="CB41" i="13"/>
  <c r="BT41" i="13"/>
  <c r="BL41" i="13"/>
  <c r="CH41" i="13"/>
  <c r="BZ41" i="13"/>
  <c r="BR41" i="13"/>
  <c r="CF41" i="13"/>
  <c r="BX41" i="13"/>
  <c r="BP41" i="13"/>
  <c r="CH57" i="13"/>
  <c r="CD57" i="13"/>
  <c r="BZ57" i="13"/>
  <c r="BV57" i="13"/>
  <c r="BR57" i="13"/>
  <c r="BN57" i="13"/>
  <c r="CG57" i="13"/>
  <c r="CB57" i="13"/>
  <c r="BW57" i="13"/>
  <c r="BQ57" i="13"/>
  <c r="BL57" i="13"/>
  <c r="CF57" i="13"/>
  <c r="CA57" i="13"/>
  <c r="BU57" i="13"/>
  <c r="BP57" i="13"/>
  <c r="BK57" i="13"/>
  <c r="CE57" i="13"/>
  <c r="BY57" i="13"/>
  <c r="BT57" i="13"/>
  <c r="BO57" i="13"/>
  <c r="BM57" i="13"/>
  <c r="CC57" i="13"/>
  <c r="BX57" i="13"/>
  <c r="BS57" i="13"/>
  <c r="CG73" i="13"/>
  <c r="CC73" i="13"/>
  <c r="BY73" i="13"/>
  <c r="BU73" i="13"/>
  <c r="BQ73" i="13"/>
  <c r="BM73" i="13"/>
  <c r="CF73" i="13"/>
  <c r="CB73" i="13"/>
  <c r="BX73" i="13"/>
  <c r="BT73" i="13"/>
  <c r="BP73" i="13"/>
  <c r="BL73" i="13"/>
  <c r="CH73" i="13"/>
  <c r="CD73" i="13"/>
  <c r="BZ73" i="13"/>
  <c r="BV73" i="13"/>
  <c r="BR73" i="13"/>
  <c r="BN73" i="13"/>
  <c r="BS73" i="13"/>
  <c r="CE73" i="13"/>
  <c r="BO73" i="13"/>
  <c r="CA73" i="13"/>
  <c r="BK73" i="13"/>
  <c r="BW73" i="13"/>
  <c r="CE89" i="13"/>
  <c r="CA89" i="13"/>
  <c r="BW89" i="13"/>
  <c r="BS89" i="13"/>
  <c r="BO89" i="13"/>
  <c r="BK89" i="13"/>
  <c r="CD89" i="13"/>
  <c r="BY89" i="13"/>
  <c r="BT89" i="13"/>
  <c r="BN89" i="13"/>
  <c r="CH89" i="13"/>
  <c r="CC89" i="13"/>
  <c r="BX89" i="13"/>
  <c r="BR89" i="13"/>
  <c r="BM89" i="13"/>
  <c r="CG89" i="13"/>
  <c r="CB89" i="13"/>
  <c r="BV89" i="13"/>
  <c r="BQ89" i="13"/>
  <c r="BL89" i="13"/>
  <c r="CF89" i="13"/>
  <c r="BZ89" i="13"/>
  <c r="BP89" i="13"/>
  <c r="BU89" i="13"/>
  <c r="CG105" i="13"/>
  <c r="CC105" i="13"/>
  <c r="BY105" i="13"/>
  <c r="BU105" i="13"/>
  <c r="BQ105" i="13"/>
  <c r="BM105" i="13"/>
  <c r="CE105" i="13"/>
  <c r="CA105" i="13"/>
  <c r="BW105" i="13"/>
  <c r="BS105" i="13"/>
  <c r="BO105" i="13"/>
  <c r="BK105" i="13"/>
  <c r="CD105" i="13"/>
  <c r="BV105" i="13"/>
  <c r="BN105" i="13"/>
  <c r="CH105" i="13"/>
  <c r="BZ105" i="13"/>
  <c r="BR105" i="13"/>
  <c r="CF105" i="13"/>
  <c r="BX105" i="13"/>
  <c r="BP105" i="13"/>
  <c r="BL105" i="13"/>
  <c r="CB105" i="13"/>
  <c r="BT105" i="13"/>
  <c r="CF18" i="13"/>
  <c r="CB18" i="13"/>
  <c r="BX18" i="13"/>
  <c r="BT18" i="13"/>
  <c r="BP18" i="13"/>
  <c r="BL18" i="13"/>
  <c r="CE18" i="13"/>
  <c r="CA18" i="13"/>
  <c r="BW18" i="13"/>
  <c r="BS18" i="13"/>
  <c r="BO18" i="13"/>
  <c r="BK18" i="13"/>
  <c r="CH18" i="13"/>
  <c r="CD18" i="13"/>
  <c r="BZ18" i="13"/>
  <c r="BV18" i="13"/>
  <c r="BR18" i="13"/>
  <c r="BN18" i="13"/>
  <c r="CG18" i="13"/>
  <c r="CC18" i="13"/>
  <c r="BY18" i="13"/>
  <c r="BU18" i="13"/>
  <c r="BQ18" i="13"/>
  <c r="BM18" i="13"/>
  <c r="CH34" i="13"/>
  <c r="CD34" i="13"/>
  <c r="BZ34" i="13"/>
  <c r="BV34" i="13"/>
  <c r="BR34" i="13"/>
  <c r="BN34" i="13"/>
  <c r="CG34" i="13"/>
  <c r="CC34" i="13"/>
  <c r="BY34" i="13"/>
  <c r="BU34" i="13"/>
  <c r="BQ34" i="13"/>
  <c r="BM34" i="13"/>
  <c r="CF34" i="13"/>
  <c r="CB34" i="13"/>
  <c r="BX34" i="13"/>
  <c r="BT34" i="13"/>
  <c r="BP34" i="13"/>
  <c r="BL34" i="13"/>
  <c r="BW34" i="13"/>
  <c r="BS34" i="13"/>
  <c r="CE34" i="13"/>
  <c r="BO34" i="13"/>
  <c r="CA34" i="13"/>
  <c r="BK34" i="13"/>
  <c r="CH50" i="13"/>
  <c r="CD50" i="13"/>
  <c r="BZ50" i="13"/>
  <c r="BV50" i="13"/>
  <c r="BR50" i="13"/>
  <c r="BN50" i="13"/>
  <c r="CE50" i="13"/>
  <c r="BY50" i="13"/>
  <c r="BT50" i="13"/>
  <c r="BO50" i="13"/>
  <c r="CC50" i="13"/>
  <c r="BX50" i="13"/>
  <c r="BS50" i="13"/>
  <c r="BM50" i="13"/>
  <c r="CG50" i="13"/>
  <c r="CB50" i="13"/>
  <c r="BW50" i="13"/>
  <c r="BQ50" i="13"/>
  <c r="BL50" i="13"/>
  <c r="CF50" i="13"/>
  <c r="BK50" i="13"/>
  <c r="CA50" i="13"/>
  <c r="BU50" i="13"/>
  <c r="BP50" i="13"/>
  <c r="CH66" i="13"/>
  <c r="CD66" i="13"/>
  <c r="BZ66" i="13"/>
  <c r="BV66" i="13"/>
  <c r="BR66" i="13"/>
  <c r="BN66" i="13"/>
  <c r="CE66" i="13"/>
  <c r="BY66" i="13"/>
  <c r="BT66" i="13"/>
  <c r="BO66" i="13"/>
  <c r="CC66" i="13"/>
  <c r="BX66" i="13"/>
  <c r="BS66" i="13"/>
  <c r="BM66" i="13"/>
  <c r="CG66" i="13"/>
  <c r="CB66" i="13"/>
  <c r="BW66" i="13"/>
  <c r="BQ66" i="13"/>
  <c r="BL66" i="13"/>
  <c r="CF66" i="13"/>
  <c r="BK66" i="13"/>
  <c r="CA66" i="13"/>
  <c r="BU66" i="13"/>
  <c r="BP66" i="13"/>
  <c r="CE82" i="13"/>
  <c r="CA82" i="13"/>
  <c r="BW82" i="13"/>
  <c r="BS82" i="13"/>
  <c r="BO82" i="13"/>
  <c r="BK82" i="13"/>
  <c r="CG82" i="13"/>
  <c r="CB82" i="13"/>
  <c r="BV82" i="13"/>
  <c r="BQ82" i="13"/>
  <c r="BL82" i="13"/>
  <c r="CD82" i="13"/>
  <c r="BY82" i="13"/>
  <c r="BT82" i="13"/>
  <c r="BN82" i="13"/>
  <c r="CC82" i="13"/>
  <c r="BR82" i="13"/>
  <c r="BZ82" i="13"/>
  <c r="BP82" i="13"/>
  <c r="CF82" i="13"/>
  <c r="BU82" i="13"/>
  <c r="CH82" i="13"/>
  <c r="BX82" i="13"/>
  <c r="BM82" i="13"/>
  <c r="CG98" i="13"/>
  <c r="CC98" i="13"/>
  <c r="BY98" i="13"/>
  <c r="BU98" i="13"/>
  <c r="BQ98" i="13"/>
  <c r="BM98" i="13"/>
  <c r="CE98" i="13"/>
  <c r="CA98" i="13"/>
  <c r="BW98" i="13"/>
  <c r="BS98" i="13"/>
  <c r="BO98" i="13"/>
  <c r="BK98" i="13"/>
  <c r="CD98" i="13"/>
  <c r="BV98" i="13"/>
  <c r="BN98" i="13"/>
  <c r="CH98" i="13"/>
  <c r="BZ98" i="13"/>
  <c r="BR98" i="13"/>
  <c r="CF98" i="13"/>
  <c r="BX98" i="13"/>
  <c r="BP98" i="13"/>
  <c r="BT98" i="13"/>
  <c r="BL98" i="13"/>
  <c r="CB98" i="13"/>
  <c r="CF19" i="13"/>
  <c r="CB19" i="13"/>
  <c r="BX19" i="13"/>
  <c r="CD19" i="13"/>
  <c r="BY19" i="13"/>
  <c r="BT19" i="13"/>
  <c r="BP19" i="13"/>
  <c r="BL19" i="13"/>
  <c r="CH19" i="13"/>
  <c r="CC19" i="13"/>
  <c r="BW19" i="13"/>
  <c r="BS19" i="13"/>
  <c r="BO19" i="13"/>
  <c r="BK19" i="13"/>
  <c r="CG19" i="13"/>
  <c r="CA19" i="13"/>
  <c r="BV19" i="13"/>
  <c r="BR19" i="13"/>
  <c r="BN19" i="13"/>
  <c r="CE19" i="13"/>
  <c r="BZ19" i="13"/>
  <c r="BU19" i="13"/>
  <c r="BQ19" i="13"/>
  <c r="BM19" i="13"/>
  <c r="CH35" i="13"/>
  <c r="CD35" i="13"/>
  <c r="BZ35" i="13"/>
  <c r="BV35" i="13"/>
  <c r="BR35" i="13"/>
  <c r="BN35" i="13"/>
  <c r="CG35" i="13"/>
  <c r="CC35" i="13"/>
  <c r="BY35" i="13"/>
  <c r="BU35" i="13"/>
  <c r="BQ35" i="13"/>
  <c r="BM35" i="13"/>
  <c r="CF35" i="13"/>
  <c r="CB35" i="13"/>
  <c r="BX35" i="13"/>
  <c r="BT35" i="13"/>
  <c r="BP35" i="13"/>
  <c r="BL35" i="13"/>
  <c r="CE35" i="13"/>
  <c r="BO35" i="13"/>
  <c r="CA35" i="13"/>
  <c r="BK35" i="13"/>
  <c r="BW35" i="13"/>
  <c r="BS35" i="13"/>
  <c r="CH51" i="13"/>
  <c r="CD51" i="13"/>
  <c r="BZ51" i="13"/>
  <c r="BV51" i="13"/>
  <c r="BR51" i="13"/>
  <c r="BN51" i="13"/>
  <c r="CG51" i="13"/>
  <c r="CB51" i="13"/>
  <c r="BW51" i="13"/>
  <c r="BQ51" i="13"/>
  <c r="BL51" i="13"/>
  <c r="CF51" i="13"/>
  <c r="CA51" i="13"/>
  <c r="BU51" i="13"/>
  <c r="BP51" i="13"/>
  <c r="BK51" i="13"/>
  <c r="CE51" i="13"/>
  <c r="BY51" i="13"/>
  <c r="BT51" i="13"/>
  <c r="BO51" i="13"/>
  <c r="CC51" i="13"/>
  <c r="BX51" i="13"/>
  <c r="BS51" i="13"/>
  <c r="BM51" i="13"/>
  <c r="CH67" i="13"/>
  <c r="CD67" i="13"/>
  <c r="BZ67" i="13"/>
  <c r="BV67" i="13"/>
  <c r="BR67" i="13"/>
  <c r="BN67" i="13"/>
  <c r="CG67" i="13"/>
  <c r="CB67" i="13"/>
  <c r="BW67" i="13"/>
  <c r="BQ67" i="13"/>
  <c r="BL67" i="13"/>
  <c r="CF67" i="13"/>
  <c r="CA67" i="13"/>
  <c r="BU67" i="13"/>
  <c r="BP67" i="13"/>
  <c r="BK67" i="13"/>
  <c r="CE67" i="13"/>
  <c r="BY67" i="13"/>
  <c r="BT67" i="13"/>
  <c r="BO67" i="13"/>
  <c r="CC67" i="13"/>
  <c r="BX67" i="13"/>
  <c r="BS67" i="13"/>
  <c r="BM67" i="13"/>
  <c r="CE83" i="13"/>
  <c r="CA83" i="13"/>
  <c r="BW83" i="13"/>
  <c r="BS83" i="13"/>
  <c r="BO83" i="13"/>
  <c r="BK83" i="13"/>
  <c r="CD83" i="13"/>
  <c r="BY83" i="13"/>
  <c r="BT83" i="13"/>
  <c r="BN83" i="13"/>
  <c r="CG83" i="13"/>
  <c r="CB83" i="13"/>
  <c r="BV83" i="13"/>
  <c r="BQ83" i="13"/>
  <c r="BL83" i="13"/>
  <c r="BZ83" i="13"/>
  <c r="BP83" i="13"/>
  <c r="CH83" i="13"/>
  <c r="BX83" i="13"/>
  <c r="BM83" i="13"/>
  <c r="CC83" i="13"/>
  <c r="BR83" i="13"/>
  <c r="BU83" i="13"/>
  <c r="CF83" i="13"/>
  <c r="CG99" i="13"/>
  <c r="CC99" i="13"/>
  <c r="BY99" i="13"/>
  <c r="BU99" i="13"/>
  <c r="BQ99" i="13"/>
  <c r="BM99" i="13"/>
  <c r="CE99" i="13"/>
  <c r="CA99" i="13"/>
  <c r="BW99" i="13"/>
  <c r="BS99" i="13"/>
  <c r="BO99" i="13"/>
  <c r="BK99" i="13"/>
  <c r="CD99" i="13"/>
  <c r="BV99" i="13"/>
  <c r="BN99" i="13"/>
  <c r="CH99" i="13"/>
  <c r="BZ99" i="13"/>
  <c r="BR99" i="13"/>
  <c r="CF99" i="13"/>
  <c r="BX99" i="13"/>
  <c r="BP99" i="13"/>
  <c r="CB99" i="13"/>
  <c r="BT99" i="13"/>
  <c r="BL99" i="13"/>
  <c r="CF10" i="13"/>
  <c r="CB10" i="13"/>
  <c r="BX10" i="13"/>
  <c r="BT10" i="13"/>
  <c r="BP10" i="13"/>
  <c r="BL10" i="13"/>
  <c r="CE10" i="13"/>
  <c r="CA10" i="13"/>
  <c r="BW10" i="13"/>
  <c r="BS10" i="13"/>
  <c r="BO10" i="13"/>
  <c r="BK10" i="13"/>
  <c r="CH10" i="13"/>
  <c r="CD10" i="13"/>
  <c r="BZ10" i="13"/>
  <c r="BV10" i="13"/>
  <c r="BR10" i="13"/>
  <c r="BN10" i="13"/>
  <c r="CG10" i="13"/>
  <c r="CC10" i="13"/>
  <c r="BY10" i="13"/>
  <c r="BU10" i="13"/>
  <c r="BQ10" i="13"/>
  <c r="BM10" i="13"/>
  <c r="CF12" i="13"/>
  <c r="CB12" i="13"/>
  <c r="BX12" i="13"/>
  <c r="BT12" i="13"/>
  <c r="BP12" i="13"/>
  <c r="BL12" i="13"/>
  <c r="CE12" i="13"/>
  <c r="CA12" i="13"/>
  <c r="BW12" i="13"/>
  <c r="BS12" i="13"/>
  <c r="BO12" i="13"/>
  <c r="BK12" i="13"/>
  <c r="CH12" i="13"/>
  <c r="CD12" i="13"/>
  <c r="BZ12" i="13"/>
  <c r="BV12" i="13"/>
  <c r="BR12" i="13"/>
  <c r="BN12" i="13"/>
  <c r="CG12" i="13"/>
  <c r="CC12" i="13"/>
  <c r="BY12" i="13"/>
  <c r="BU12" i="13"/>
  <c r="BQ12" i="13"/>
  <c r="BM12" i="13"/>
  <c r="CH28" i="13"/>
  <c r="CD28" i="13"/>
  <c r="BZ28" i="13"/>
  <c r="BV28" i="13"/>
  <c r="BR28" i="13"/>
  <c r="BN28" i="13"/>
  <c r="CG28" i="13"/>
  <c r="CC28" i="13"/>
  <c r="BY28" i="13"/>
  <c r="BU28" i="13"/>
  <c r="BQ28" i="13"/>
  <c r="BM28" i="13"/>
  <c r="CF28" i="13"/>
  <c r="CB28" i="13"/>
  <c r="BX28" i="13"/>
  <c r="BT28" i="13"/>
  <c r="BP28" i="13"/>
  <c r="BL28" i="13"/>
  <c r="BW28" i="13"/>
  <c r="BS28" i="13"/>
  <c r="CE28" i="13"/>
  <c r="BO28" i="13"/>
  <c r="CA28" i="13"/>
  <c r="BK28" i="13"/>
  <c r="CE44" i="13"/>
  <c r="CA44" i="13"/>
  <c r="BW44" i="13"/>
  <c r="BS44" i="13"/>
  <c r="BO44" i="13"/>
  <c r="BK44" i="13"/>
  <c r="CG44" i="13"/>
  <c r="CC44" i="13"/>
  <c r="BY44" i="13"/>
  <c r="BU44" i="13"/>
  <c r="BQ44" i="13"/>
  <c r="BM44" i="13"/>
  <c r="CD44" i="13"/>
  <c r="BV44" i="13"/>
  <c r="BN44" i="13"/>
  <c r="CB44" i="13"/>
  <c r="BT44" i="13"/>
  <c r="BL44" i="13"/>
  <c r="CH44" i="13"/>
  <c r="BZ44" i="13"/>
  <c r="BR44" i="13"/>
  <c r="CF44" i="13"/>
  <c r="BX44" i="13"/>
  <c r="BP44" i="13"/>
  <c r="CH60" i="13"/>
  <c r="CD60" i="13"/>
  <c r="BZ60" i="13"/>
  <c r="BV60" i="13"/>
  <c r="BR60" i="13"/>
  <c r="BN60" i="13"/>
  <c r="CE60" i="13"/>
  <c r="BY60" i="13"/>
  <c r="BT60" i="13"/>
  <c r="BO60" i="13"/>
  <c r="CC60" i="13"/>
  <c r="BX60" i="13"/>
  <c r="BS60" i="13"/>
  <c r="BM60" i="13"/>
  <c r="CG60" i="13"/>
  <c r="CB60" i="13"/>
  <c r="BW60" i="13"/>
  <c r="BQ60" i="13"/>
  <c r="BL60" i="13"/>
  <c r="CA60" i="13"/>
  <c r="BU60" i="13"/>
  <c r="BP60" i="13"/>
  <c r="CF60" i="13"/>
  <c r="BK60" i="13"/>
  <c r="CE76" i="13"/>
  <c r="CA76" i="13"/>
  <c r="BW76" i="13"/>
  <c r="CF76" i="13"/>
  <c r="BZ76" i="13"/>
  <c r="BU76" i="13"/>
  <c r="BQ76" i="13"/>
  <c r="BM76" i="13"/>
  <c r="CD76" i="13"/>
  <c r="BY76" i="13"/>
  <c r="BT76" i="13"/>
  <c r="BP76" i="13"/>
  <c r="BL76" i="13"/>
  <c r="CG76" i="13"/>
  <c r="CB76" i="13"/>
  <c r="BV76" i="13"/>
  <c r="BR76" i="13"/>
  <c r="BN76" i="13"/>
  <c r="CC76" i="13"/>
  <c r="BK76" i="13"/>
  <c r="BX76" i="13"/>
  <c r="BS76" i="13"/>
  <c r="CH76" i="13"/>
  <c r="BO76" i="13"/>
  <c r="CH92" i="13"/>
  <c r="CD92" i="13"/>
  <c r="BZ92" i="13"/>
  <c r="BV92" i="13"/>
  <c r="BR92" i="13"/>
  <c r="BN92" i="13"/>
  <c r="CF92" i="13"/>
  <c r="CB92" i="13"/>
  <c r="BX92" i="13"/>
  <c r="BT92" i="13"/>
  <c r="BP92" i="13"/>
  <c r="CE92" i="13"/>
  <c r="CA92" i="13"/>
  <c r="BW92" i="13"/>
  <c r="BS92" i="13"/>
  <c r="BO92" i="13"/>
  <c r="BK92" i="13"/>
  <c r="CC92" i="13"/>
  <c r="BM92" i="13"/>
  <c r="BY92" i="13"/>
  <c r="BL92" i="13"/>
  <c r="BU92" i="13"/>
  <c r="CG92" i="13"/>
  <c r="BQ92" i="13"/>
  <c r="CG108" i="13"/>
  <c r="CC108" i="13"/>
  <c r="BY108" i="13"/>
  <c r="BU108" i="13"/>
  <c r="BQ108" i="13"/>
  <c r="BM108" i="13"/>
  <c r="CE108" i="13"/>
  <c r="CA108" i="13"/>
  <c r="BW108" i="13"/>
  <c r="BS108" i="13"/>
  <c r="BO108" i="13"/>
  <c r="BK108" i="13"/>
  <c r="CD108" i="13"/>
  <c r="BV108" i="13"/>
  <c r="BN108" i="13"/>
  <c r="CH108" i="13"/>
  <c r="BZ108" i="13"/>
  <c r="BR108" i="13"/>
  <c r="CF108" i="13"/>
  <c r="BX108" i="13"/>
  <c r="BP108" i="13"/>
  <c r="CB108" i="13"/>
  <c r="BT108" i="13"/>
  <c r="BL108" i="13"/>
  <c r="CF13" i="13"/>
  <c r="CB13" i="13"/>
  <c r="BX13" i="13"/>
  <c r="BT13" i="13"/>
  <c r="BP13" i="13"/>
  <c r="BL13" i="13"/>
  <c r="CE13" i="13"/>
  <c r="CA13" i="13"/>
  <c r="BW13" i="13"/>
  <c r="BS13" i="13"/>
  <c r="BO13" i="13"/>
  <c r="BK13" i="13"/>
  <c r="CH13" i="13"/>
  <c r="CD13" i="13"/>
  <c r="BZ13" i="13"/>
  <c r="BV13" i="13"/>
  <c r="BR13" i="13"/>
  <c r="BN13" i="13"/>
  <c r="CG13" i="13"/>
  <c r="CC13" i="13"/>
  <c r="BY13" i="13"/>
  <c r="BU13" i="13"/>
  <c r="BQ13" i="13"/>
  <c r="BM13" i="13"/>
  <c r="CH29" i="13"/>
  <c r="CD29" i="13"/>
  <c r="BZ29" i="13"/>
  <c r="BV29" i="13"/>
  <c r="BR29" i="13"/>
  <c r="BN29" i="13"/>
  <c r="CG29" i="13"/>
  <c r="CC29" i="13"/>
  <c r="BY29" i="13"/>
  <c r="BU29" i="13"/>
  <c r="BQ29" i="13"/>
  <c r="BM29" i="13"/>
  <c r="CF29" i="13"/>
  <c r="CB29" i="13"/>
  <c r="BX29" i="13"/>
  <c r="BT29" i="13"/>
  <c r="BP29" i="13"/>
  <c r="BL29" i="13"/>
  <c r="CE29" i="13"/>
  <c r="BO29" i="13"/>
  <c r="CA29" i="13"/>
  <c r="BK29" i="13"/>
  <c r="BW29" i="13"/>
  <c r="BS29" i="13"/>
  <c r="CE45" i="13"/>
  <c r="CA45" i="13"/>
  <c r="BW45" i="13"/>
  <c r="BS45" i="13"/>
  <c r="BO45" i="13"/>
  <c r="BK45" i="13"/>
  <c r="CH45" i="13"/>
  <c r="CG45" i="13"/>
  <c r="CC45" i="13"/>
  <c r="BY45" i="13"/>
  <c r="BU45" i="13"/>
  <c r="BQ45" i="13"/>
  <c r="BM45" i="13"/>
  <c r="CD45" i="13"/>
  <c r="BV45" i="13"/>
  <c r="BN45" i="13"/>
  <c r="CB45" i="13"/>
  <c r="BT45" i="13"/>
  <c r="BL45" i="13"/>
  <c r="BZ45" i="13"/>
  <c r="BR45" i="13"/>
  <c r="CF45" i="13"/>
  <c r="BX45" i="13"/>
  <c r="BP45" i="13"/>
  <c r="CH61" i="13"/>
  <c r="CD61" i="13"/>
  <c r="BZ61" i="13"/>
  <c r="BV61" i="13"/>
  <c r="BR61" i="13"/>
  <c r="BN61" i="13"/>
  <c r="CG61" i="13"/>
  <c r="CB61" i="13"/>
  <c r="BW61" i="13"/>
  <c r="BQ61" i="13"/>
  <c r="BL61" i="13"/>
  <c r="CF61" i="13"/>
  <c r="CA61" i="13"/>
  <c r="BU61" i="13"/>
  <c r="BP61" i="13"/>
  <c r="BK61" i="13"/>
  <c r="CE61" i="13"/>
  <c r="BY61" i="13"/>
  <c r="BT61" i="13"/>
  <c r="BO61" i="13"/>
  <c r="BX61" i="13"/>
  <c r="BS61" i="13"/>
  <c r="BM61" i="13"/>
  <c r="CC61" i="13"/>
  <c r="CE77" i="13"/>
  <c r="CA77" i="13"/>
  <c r="BW77" i="13"/>
  <c r="BS77" i="13"/>
  <c r="BO77" i="13"/>
  <c r="BK77" i="13"/>
  <c r="CG77" i="13"/>
  <c r="CB77" i="13"/>
  <c r="BV77" i="13"/>
  <c r="CF77" i="13"/>
  <c r="BY77" i="13"/>
  <c r="BR77" i="13"/>
  <c r="BM77" i="13"/>
  <c r="CD77" i="13"/>
  <c r="BX77" i="13"/>
  <c r="BQ77" i="13"/>
  <c r="BL77" i="13"/>
  <c r="CH77" i="13"/>
  <c r="BZ77" i="13"/>
  <c r="BT77" i="13"/>
  <c r="BN77" i="13"/>
  <c r="CC77" i="13"/>
  <c r="BU77" i="13"/>
  <c r="BP77" i="13"/>
  <c r="CH93" i="13"/>
  <c r="CD93" i="13"/>
  <c r="BZ93" i="13"/>
  <c r="BV93" i="13"/>
  <c r="BR93" i="13"/>
  <c r="BN93" i="13"/>
  <c r="CF93" i="13"/>
  <c r="CB93" i="13"/>
  <c r="BX93" i="13"/>
  <c r="BT93" i="13"/>
  <c r="BP93" i="13"/>
  <c r="BL93" i="13"/>
  <c r="CE93" i="13"/>
  <c r="CA93" i="13"/>
  <c r="BW93" i="13"/>
  <c r="BS93" i="13"/>
  <c r="BO93" i="13"/>
  <c r="BK93" i="13"/>
  <c r="BU93" i="13"/>
  <c r="CG93" i="13"/>
  <c r="BQ93" i="13"/>
  <c r="CC93" i="13"/>
  <c r="BM93" i="13"/>
  <c r="BY93" i="13"/>
  <c r="CG109" i="13"/>
  <c r="CC109" i="13"/>
  <c r="BY109" i="13"/>
  <c r="BU109" i="13"/>
  <c r="BQ109" i="13"/>
  <c r="BM109" i="13"/>
  <c r="CE109" i="13"/>
  <c r="CA109" i="13"/>
  <c r="BW109" i="13"/>
  <c r="BS109" i="13"/>
  <c r="BO109" i="13"/>
  <c r="BK109" i="13"/>
  <c r="CD109" i="13"/>
  <c r="BV109" i="13"/>
  <c r="BN109" i="13"/>
  <c r="CH109" i="13"/>
  <c r="BZ109" i="13"/>
  <c r="BR109" i="13"/>
  <c r="CF109" i="13"/>
  <c r="BX109" i="13"/>
  <c r="BP109" i="13"/>
  <c r="BL109" i="13"/>
  <c r="CB109" i="13"/>
  <c r="BT109" i="13"/>
  <c r="CF22" i="13"/>
  <c r="CB22" i="13"/>
  <c r="BX22" i="13"/>
  <c r="BT22" i="13"/>
  <c r="BP22" i="13"/>
  <c r="BL22" i="13"/>
  <c r="CG22" i="13"/>
  <c r="CA22" i="13"/>
  <c r="BV22" i="13"/>
  <c r="BQ22" i="13"/>
  <c r="BK22" i="13"/>
  <c r="CE22" i="13"/>
  <c r="BZ22" i="13"/>
  <c r="BU22" i="13"/>
  <c r="BO22" i="13"/>
  <c r="CD22" i="13"/>
  <c r="BY22" i="13"/>
  <c r="BS22" i="13"/>
  <c r="BN22" i="13"/>
  <c r="CH22" i="13"/>
  <c r="CC22" i="13"/>
  <c r="BW22" i="13"/>
  <c r="BR22" i="13"/>
  <c r="BM22" i="13"/>
  <c r="CH38" i="13"/>
  <c r="CD38" i="13"/>
  <c r="BZ38" i="13"/>
  <c r="BV38" i="13"/>
  <c r="BR38" i="13"/>
  <c r="BN38" i="13"/>
  <c r="CG38" i="13"/>
  <c r="CC38" i="13"/>
  <c r="BY38" i="13"/>
  <c r="BU38" i="13"/>
  <c r="BQ38" i="13"/>
  <c r="BM38" i="13"/>
  <c r="CF38" i="13"/>
  <c r="CB38" i="13"/>
  <c r="BX38" i="13"/>
  <c r="BT38" i="13"/>
  <c r="BP38" i="13"/>
  <c r="BL38" i="13"/>
  <c r="CE38" i="13"/>
  <c r="CA38" i="13"/>
  <c r="BW38" i="13"/>
  <c r="BS38" i="13"/>
  <c r="BO38" i="13"/>
  <c r="BK38" i="13"/>
  <c r="CH54" i="13"/>
  <c r="CD54" i="13"/>
  <c r="BZ54" i="13"/>
  <c r="BV54" i="13"/>
  <c r="BR54" i="13"/>
  <c r="BN54" i="13"/>
  <c r="CE54" i="13"/>
  <c r="BY54" i="13"/>
  <c r="BT54" i="13"/>
  <c r="BO54" i="13"/>
  <c r="CC54" i="13"/>
  <c r="BX54" i="13"/>
  <c r="BS54" i="13"/>
  <c r="BM54" i="13"/>
  <c r="CG54" i="13"/>
  <c r="CB54" i="13"/>
  <c r="BW54" i="13"/>
  <c r="BQ54" i="13"/>
  <c r="BL54" i="13"/>
  <c r="BU54" i="13"/>
  <c r="BP54" i="13"/>
  <c r="CF54" i="13"/>
  <c r="BK54" i="13"/>
  <c r="CA54" i="13"/>
  <c r="CG70" i="13"/>
  <c r="CC70" i="13"/>
  <c r="BY70" i="13"/>
  <c r="BU70" i="13"/>
  <c r="BQ70" i="13"/>
  <c r="BM70" i="13"/>
  <c r="CF70" i="13"/>
  <c r="CB70" i="13"/>
  <c r="BX70" i="13"/>
  <c r="BT70" i="13"/>
  <c r="BP70" i="13"/>
  <c r="BL70" i="13"/>
  <c r="CH70" i="13"/>
  <c r="CD70" i="13"/>
  <c r="BZ70" i="13"/>
  <c r="BV70" i="13"/>
  <c r="BR70" i="13"/>
  <c r="BN70" i="13"/>
  <c r="CA70" i="13"/>
  <c r="BK70" i="13"/>
  <c r="BW70" i="13"/>
  <c r="BS70" i="13"/>
  <c r="CE70" i="13"/>
  <c r="BO70" i="13"/>
  <c r="CE86" i="13"/>
  <c r="CA86" i="13"/>
  <c r="BW86" i="13"/>
  <c r="BS86" i="13"/>
  <c r="BO86" i="13"/>
  <c r="BK86" i="13"/>
  <c r="CG86" i="13"/>
  <c r="CB86" i="13"/>
  <c r="BV86" i="13"/>
  <c r="BQ86" i="13"/>
  <c r="BL86" i="13"/>
  <c r="CF86" i="13"/>
  <c r="BZ86" i="13"/>
  <c r="BU86" i="13"/>
  <c r="BP86" i="13"/>
  <c r="CD86" i="13"/>
  <c r="BY86" i="13"/>
  <c r="BT86" i="13"/>
  <c r="BN86" i="13"/>
  <c r="BR86" i="13"/>
  <c r="CH86" i="13"/>
  <c r="BM86" i="13"/>
  <c r="BX86" i="13"/>
  <c r="CC86" i="13"/>
  <c r="CG102" i="13"/>
  <c r="CC102" i="13"/>
  <c r="BY102" i="13"/>
  <c r="BU102" i="13"/>
  <c r="BQ102" i="13"/>
  <c r="BM102" i="13"/>
  <c r="CE102" i="13"/>
  <c r="CA102" i="13"/>
  <c r="BW102" i="13"/>
  <c r="BS102" i="13"/>
  <c r="BO102" i="13"/>
  <c r="BK102" i="13"/>
  <c r="CD102" i="13"/>
  <c r="BV102" i="13"/>
  <c r="BN102" i="13"/>
  <c r="CH102" i="13"/>
  <c r="BZ102" i="13"/>
  <c r="BR102" i="13"/>
  <c r="CF102" i="13"/>
  <c r="BX102" i="13"/>
  <c r="BP102" i="13"/>
  <c r="BT102" i="13"/>
  <c r="BL102" i="13"/>
  <c r="CB102" i="13"/>
  <c r="CF23" i="13"/>
  <c r="CB23" i="13"/>
  <c r="BX23" i="13"/>
  <c r="BT23" i="13"/>
  <c r="BP23" i="13"/>
  <c r="BL23" i="13"/>
  <c r="CD23" i="13"/>
  <c r="BY23" i="13"/>
  <c r="BS23" i="13"/>
  <c r="BN23" i="13"/>
  <c r="CH23" i="13"/>
  <c r="CC23" i="13"/>
  <c r="BW23" i="13"/>
  <c r="BR23" i="13"/>
  <c r="BM23" i="13"/>
  <c r="CG23" i="13"/>
  <c r="CA23" i="13"/>
  <c r="BV23" i="13"/>
  <c r="BQ23" i="13"/>
  <c r="BK23" i="13"/>
  <c r="CE23" i="13"/>
  <c r="BZ23" i="13"/>
  <c r="BU23" i="13"/>
  <c r="BO23" i="13"/>
  <c r="CE39" i="13"/>
  <c r="CA39" i="13"/>
  <c r="BW39" i="13"/>
  <c r="BS39" i="13"/>
  <c r="BO39" i="13"/>
  <c r="BK39" i="13"/>
  <c r="CG39" i="13"/>
  <c r="CC39" i="13"/>
  <c r="BY39" i="13"/>
  <c r="BU39" i="13"/>
  <c r="CD39" i="13"/>
  <c r="BV39" i="13"/>
  <c r="BP39" i="13"/>
  <c r="CB39" i="13"/>
  <c r="BT39" i="13"/>
  <c r="BN39" i="13"/>
  <c r="CH39" i="13"/>
  <c r="BZ39" i="13"/>
  <c r="BR39" i="13"/>
  <c r="BM39" i="13"/>
  <c r="CF39" i="13"/>
  <c r="BX39" i="13"/>
  <c r="BQ39" i="13"/>
  <c r="BL39" i="13"/>
  <c r="CH55" i="13"/>
  <c r="CD55" i="13"/>
  <c r="BZ55" i="13"/>
  <c r="BV55" i="13"/>
  <c r="BR55" i="13"/>
  <c r="BN55" i="13"/>
  <c r="CG55" i="13"/>
  <c r="CB55" i="13"/>
  <c r="BW55" i="13"/>
  <c r="BQ55" i="13"/>
  <c r="BL55" i="13"/>
  <c r="CF55" i="13"/>
  <c r="CA55" i="13"/>
  <c r="BU55" i="13"/>
  <c r="BP55" i="13"/>
  <c r="BK55" i="13"/>
  <c r="CE55" i="13"/>
  <c r="BY55" i="13"/>
  <c r="BT55" i="13"/>
  <c r="BO55" i="13"/>
  <c r="BS55" i="13"/>
  <c r="BM55" i="13"/>
  <c r="CC55" i="13"/>
  <c r="BX55" i="13"/>
  <c r="CG71" i="13"/>
  <c r="CC71" i="13"/>
  <c r="BY71" i="13"/>
  <c r="BU71" i="13"/>
  <c r="BQ71" i="13"/>
  <c r="BM71" i="13"/>
  <c r="CF71" i="13"/>
  <c r="CB71" i="13"/>
  <c r="BX71" i="13"/>
  <c r="BT71" i="13"/>
  <c r="BP71" i="13"/>
  <c r="BL71" i="13"/>
  <c r="CH71" i="13"/>
  <c r="CD71" i="13"/>
  <c r="BZ71" i="13"/>
  <c r="BV71" i="13"/>
  <c r="BR71" i="13"/>
  <c r="BN71" i="13"/>
  <c r="BS71" i="13"/>
  <c r="CE71" i="13"/>
  <c r="BO71" i="13"/>
  <c r="CA71" i="13"/>
  <c r="BK71" i="13"/>
  <c r="BW71" i="13"/>
  <c r="CE87" i="13"/>
  <c r="CA87" i="13"/>
  <c r="BW87" i="13"/>
  <c r="BS87" i="13"/>
  <c r="BO87" i="13"/>
  <c r="BK87" i="13"/>
  <c r="CD87" i="13"/>
  <c r="BY87" i="13"/>
  <c r="BT87" i="13"/>
  <c r="BN87" i="13"/>
  <c r="CH87" i="13"/>
  <c r="CC87" i="13"/>
  <c r="BX87" i="13"/>
  <c r="BR87" i="13"/>
  <c r="BM87" i="13"/>
  <c r="CG87" i="13"/>
  <c r="CB87" i="13"/>
  <c r="BV87" i="13"/>
  <c r="BQ87" i="13"/>
  <c r="BL87" i="13"/>
  <c r="BP87" i="13"/>
  <c r="CF87" i="13"/>
  <c r="BU87" i="13"/>
  <c r="BZ87" i="13"/>
  <c r="CG103" i="13"/>
  <c r="CC103" i="13"/>
  <c r="BY103" i="13"/>
  <c r="BU103" i="13"/>
  <c r="BQ103" i="13"/>
  <c r="BM103" i="13"/>
  <c r="CE103" i="13"/>
  <c r="CA103" i="13"/>
  <c r="BW103" i="13"/>
  <c r="BS103" i="13"/>
  <c r="BO103" i="13"/>
  <c r="BK103" i="13"/>
  <c r="CD103" i="13"/>
  <c r="BV103" i="13"/>
  <c r="BN103" i="13"/>
  <c r="CH103" i="13"/>
  <c r="BZ103" i="13"/>
  <c r="BR103" i="13"/>
  <c r="CF103" i="13"/>
  <c r="BX103" i="13"/>
  <c r="BP103" i="13"/>
  <c r="CB103" i="13"/>
  <c r="BT103" i="13"/>
  <c r="BL103" i="13"/>
  <c r="CF7" i="13"/>
  <c r="CB7" i="13"/>
  <c r="BX7" i="13"/>
  <c r="BT7" i="13"/>
  <c r="BP7" i="13"/>
  <c r="BL7" i="13"/>
  <c r="CE7" i="13"/>
  <c r="CA7" i="13"/>
  <c r="BW7" i="13"/>
  <c r="BS7" i="13"/>
  <c r="BO7" i="13"/>
  <c r="BK7" i="13"/>
  <c r="CH7" i="13"/>
  <c r="CD7" i="13"/>
  <c r="BZ7" i="13"/>
  <c r="BV7" i="13"/>
  <c r="BR7" i="13"/>
  <c r="BN7" i="13"/>
  <c r="CG7" i="13"/>
  <c r="CC7" i="13"/>
  <c r="BY7" i="13"/>
  <c r="BU7" i="13"/>
  <c r="BQ7" i="13"/>
  <c r="BM7" i="13"/>
  <c r="CH32" i="13"/>
  <c r="CD32" i="13"/>
  <c r="BZ32" i="13"/>
  <c r="BV32" i="13"/>
  <c r="BR32" i="13"/>
  <c r="BN32" i="13"/>
  <c r="CG32" i="13"/>
  <c r="CC32" i="13"/>
  <c r="BY32" i="13"/>
  <c r="BU32" i="13"/>
  <c r="BQ32" i="13"/>
  <c r="BM32" i="13"/>
  <c r="CF32" i="13"/>
  <c r="CB32" i="13"/>
  <c r="BX32" i="13"/>
  <c r="BT32" i="13"/>
  <c r="BP32" i="13"/>
  <c r="BL32" i="13"/>
  <c r="BW32" i="13"/>
  <c r="BS32" i="13"/>
  <c r="CE32" i="13"/>
  <c r="BO32" i="13"/>
  <c r="CA32" i="13"/>
  <c r="BK32" i="13"/>
  <c r="CH48" i="13"/>
  <c r="CE48" i="13"/>
  <c r="CA48" i="13"/>
  <c r="BW48" i="13"/>
  <c r="BS48" i="13"/>
  <c r="BO48" i="13"/>
  <c r="BK48" i="13"/>
  <c r="CD48" i="13"/>
  <c r="BZ48" i="13"/>
  <c r="BV48" i="13"/>
  <c r="BR48" i="13"/>
  <c r="BN48" i="13"/>
  <c r="CG48" i="13"/>
  <c r="CC48" i="13"/>
  <c r="BY48" i="13"/>
  <c r="BU48" i="13"/>
  <c r="BQ48" i="13"/>
  <c r="BM48" i="13"/>
  <c r="BT48" i="13"/>
  <c r="CF48" i="13"/>
  <c r="BP48" i="13"/>
  <c r="CB48" i="13"/>
  <c r="BL48" i="13"/>
  <c r="BX48" i="13"/>
  <c r="CH64" i="13"/>
  <c r="CD64" i="13"/>
  <c r="BZ64" i="13"/>
  <c r="BV64" i="13"/>
  <c r="BR64" i="13"/>
  <c r="BN64" i="13"/>
  <c r="CE64" i="13"/>
  <c r="BY64" i="13"/>
  <c r="BT64" i="13"/>
  <c r="BO64" i="13"/>
  <c r="CC64" i="13"/>
  <c r="BX64" i="13"/>
  <c r="BS64" i="13"/>
  <c r="BM64" i="13"/>
  <c r="CG64" i="13"/>
  <c r="CB64" i="13"/>
  <c r="BW64" i="13"/>
  <c r="BQ64" i="13"/>
  <c r="BL64" i="13"/>
  <c r="BP64" i="13"/>
  <c r="CF64" i="13"/>
  <c r="BK64" i="13"/>
  <c r="CA64" i="13"/>
  <c r="BU64" i="13"/>
  <c r="CE80" i="13"/>
  <c r="CA80" i="13"/>
  <c r="BW80" i="13"/>
  <c r="BS80" i="13"/>
  <c r="BO80" i="13"/>
  <c r="BK80" i="13"/>
  <c r="CG80" i="13"/>
  <c r="CB80" i="13"/>
  <c r="CD80" i="13"/>
  <c r="BY80" i="13"/>
  <c r="BT80" i="13"/>
  <c r="BN80" i="13"/>
  <c r="CH80" i="13"/>
  <c r="BX80" i="13"/>
  <c r="BQ80" i="13"/>
  <c r="CF80" i="13"/>
  <c r="BV80" i="13"/>
  <c r="BP80" i="13"/>
  <c r="BZ80" i="13"/>
  <c r="BR80" i="13"/>
  <c r="BL80" i="13"/>
  <c r="BM80" i="13"/>
  <c r="CC80" i="13"/>
  <c r="BU80" i="13"/>
  <c r="CH96" i="13"/>
  <c r="CD96" i="13"/>
  <c r="BZ96" i="13"/>
  <c r="BV96" i="13"/>
  <c r="BR96" i="13"/>
  <c r="BN96" i="13"/>
  <c r="CF96" i="13"/>
  <c r="CB96" i="13"/>
  <c r="BX96" i="13"/>
  <c r="BT96" i="13"/>
  <c r="BP96" i="13"/>
  <c r="BL96" i="13"/>
  <c r="CE96" i="13"/>
  <c r="CA96" i="13"/>
  <c r="BW96" i="13"/>
  <c r="BS96" i="13"/>
  <c r="BO96" i="13"/>
  <c r="BK96" i="13"/>
  <c r="CC96" i="13"/>
  <c r="BM96" i="13"/>
  <c r="BY96" i="13"/>
  <c r="BU96" i="13"/>
  <c r="BQ96" i="13"/>
  <c r="CG96" i="13"/>
  <c r="CE2" i="13"/>
  <c r="CA2" i="13"/>
  <c r="BW2" i="13"/>
  <c r="BS2" i="13"/>
  <c r="BO2" i="13"/>
  <c r="BK2" i="13"/>
  <c r="CH2" i="13"/>
  <c r="CD2" i="13"/>
  <c r="BZ2" i="13"/>
  <c r="BV2" i="13"/>
  <c r="BR2" i="13"/>
  <c r="BN2" i="13"/>
  <c r="CG2" i="13"/>
  <c r="CC2" i="13"/>
  <c r="BY2" i="13"/>
  <c r="BU2" i="13"/>
  <c r="BQ2" i="13"/>
  <c r="BM2" i="13"/>
  <c r="CF2" i="13"/>
  <c r="CB2" i="13"/>
  <c r="BX2" i="13"/>
  <c r="BT2" i="13"/>
  <c r="BP2" i="13"/>
  <c r="BL2" i="13"/>
  <c r="CF17" i="13"/>
  <c r="CB17" i="13"/>
  <c r="BX17" i="13"/>
  <c r="BT17" i="13"/>
  <c r="BP17" i="13"/>
  <c r="BL17" i="13"/>
  <c r="CE17" i="13"/>
  <c r="CA17" i="13"/>
  <c r="BW17" i="13"/>
  <c r="BS17" i="13"/>
  <c r="BO17" i="13"/>
  <c r="BK17" i="13"/>
  <c r="CH17" i="13"/>
  <c r="CD17" i="13"/>
  <c r="BZ17" i="13"/>
  <c r="BV17" i="13"/>
  <c r="BR17" i="13"/>
  <c r="BN17" i="13"/>
  <c r="CG17" i="13"/>
  <c r="CC17" i="13"/>
  <c r="BY17" i="13"/>
  <c r="BU17" i="13"/>
  <c r="BQ17" i="13"/>
  <c r="BM17" i="13"/>
  <c r="CH33" i="13"/>
  <c r="CD33" i="13"/>
  <c r="BZ33" i="13"/>
  <c r="BV33" i="13"/>
  <c r="BR33" i="13"/>
  <c r="BN33" i="13"/>
  <c r="CG33" i="13"/>
  <c r="CC33" i="13"/>
  <c r="BY33" i="13"/>
  <c r="BU33" i="13"/>
  <c r="BQ33" i="13"/>
  <c r="BM33" i="13"/>
  <c r="CF33" i="13"/>
  <c r="CB33" i="13"/>
  <c r="BX33" i="13"/>
  <c r="BT33" i="13"/>
  <c r="BP33" i="13"/>
  <c r="BL33" i="13"/>
  <c r="CE33" i="13"/>
  <c r="BO33" i="13"/>
  <c r="CA33" i="13"/>
  <c r="BK33" i="13"/>
  <c r="BW33" i="13"/>
  <c r="BS33" i="13"/>
  <c r="CH49" i="13"/>
  <c r="CD49" i="13"/>
  <c r="BZ49" i="13"/>
  <c r="BV49" i="13"/>
  <c r="BR49" i="13"/>
  <c r="BN49" i="13"/>
  <c r="CG49" i="13"/>
  <c r="CB49" i="13"/>
  <c r="BW49" i="13"/>
  <c r="BQ49" i="13"/>
  <c r="BL49" i="13"/>
  <c r="CF49" i="13"/>
  <c r="CA49" i="13"/>
  <c r="BU49" i="13"/>
  <c r="BP49" i="13"/>
  <c r="BK49" i="13"/>
  <c r="CE49" i="13"/>
  <c r="BY49" i="13"/>
  <c r="BT49" i="13"/>
  <c r="BO49" i="13"/>
  <c r="BM49" i="13"/>
  <c r="CC49" i="13"/>
  <c r="BX49" i="13"/>
  <c r="BS49" i="13"/>
  <c r="CH65" i="13"/>
  <c r="CD65" i="13"/>
  <c r="BZ65" i="13"/>
  <c r="BV65" i="13"/>
  <c r="BR65" i="13"/>
  <c r="BN65" i="13"/>
  <c r="CG65" i="13"/>
  <c r="CB65" i="13"/>
  <c r="BW65" i="13"/>
  <c r="BQ65" i="13"/>
  <c r="BL65" i="13"/>
  <c r="CF65" i="13"/>
  <c r="CA65" i="13"/>
  <c r="BU65" i="13"/>
  <c r="BP65" i="13"/>
  <c r="BK65" i="13"/>
  <c r="CE65" i="13"/>
  <c r="BY65" i="13"/>
  <c r="BT65" i="13"/>
  <c r="BO65" i="13"/>
  <c r="BM65" i="13"/>
  <c r="CC65" i="13"/>
  <c r="BX65" i="13"/>
  <c r="BS65" i="13"/>
  <c r="CE81" i="13"/>
  <c r="CA81" i="13"/>
  <c r="BW81" i="13"/>
  <c r="BS81" i="13"/>
  <c r="BO81" i="13"/>
  <c r="BK81" i="13"/>
  <c r="CD81" i="13"/>
  <c r="BY81" i="13"/>
  <c r="BT81" i="13"/>
  <c r="BN81" i="13"/>
  <c r="CG81" i="13"/>
  <c r="CB81" i="13"/>
  <c r="BV81" i="13"/>
  <c r="BQ81" i="13"/>
  <c r="BL81" i="13"/>
  <c r="CF81" i="13"/>
  <c r="BU81" i="13"/>
  <c r="CC81" i="13"/>
  <c r="BR81" i="13"/>
  <c r="CH81" i="13"/>
  <c r="BX81" i="13"/>
  <c r="BM81" i="13"/>
  <c r="BZ81" i="13"/>
  <c r="BP81" i="13"/>
  <c r="CG97" i="13"/>
  <c r="CE97" i="13"/>
  <c r="CD97" i="13"/>
  <c r="BZ97" i="13"/>
  <c r="BV97" i="13"/>
  <c r="BR97" i="13"/>
  <c r="BN97" i="13"/>
  <c r="CH97" i="13"/>
  <c r="CB97" i="13"/>
  <c r="BX97" i="13"/>
  <c r="BT97" i="13"/>
  <c r="BP97" i="13"/>
  <c r="BL97" i="13"/>
  <c r="CF97" i="13"/>
  <c r="CA97" i="13"/>
  <c r="BW97" i="13"/>
  <c r="BS97" i="13"/>
  <c r="BO97" i="13"/>
  <c r="BK97" i="13"/>
  <c r="BU97" i="13"/>
  <c r="BQ97" i="13"/>
  <c r="CC97" i="13"/>
  <c r="BM97" i="13"/>
  <c r="BY97" i="13"/>
  <c r="CE3" i="13"/>
  <c r="CA3" i="13"/>
  <c r="BW3" i="13"/>
  <c r="BS3" i="13"/>
  <c r="BO3" i="13"/>
  <c r="BK3" i="13"/>
  <c r="CH3" i="13"/>
  <c r="CD3" i="13"/>
  <c r="BZ3" i="13"/>
  <c r="BV3" i="13"/>
  <c r="BR3" i="13"/>
  <c r="BN3" i="13"/>
  <c r="CG3" i="13"/>
  <c r="CC3" i="13"/>
  <c r="BY3" i="13"/>
  <c r="BU3" i="13"/>
  <c r="BQ3" i="13"/>
  <c r="BM3" i="13"/>
  <c r="CF3" i="13"/>
  <c r="CB3" i="13"/>
  <c r="BX3" i="13"/>
  <c r="BT3" i="13"/>
  <c r="BP3" i="13"/>
  <c r="BL3" i="13"/>
  <c r="CH26" i="13"/>
  <c r="CD26" i="13"/>
  <c r="BZ26" i="13"/>
  <c r="BV26" i="13"/>
  <c r="BR26" i="13"/>
  <c r="BN26" i="13"/>
  <c r="CG26" i="13"/>
  <c r="CC26" i="13"/>
  <c r="BY26" i="13"/>
  <c r="BU26" i="13"/>
  <c r="BQ26" i="13"/>
  <c r="BM26" i="13"/>
  <c r="CF26" i="13"/>
  <c r="CB26" i="13"/>
  <c r="BX26" i="13"/>
  <c r="BT26" i="13"/>
  <c r="BP26" i="13"/>
  <c r="BL26" i="13"/>
  <c r="BW26" i="13"/>
  <c r="BS26" i="13"/>
  <c r="CE26" i="13"/>
  <c r="BO26" i="13"/>
  <c r="CA26" i="13"/>
  <c r="BK26" i="13"/>
  <c r="CE42" i="13"/>
  <c r="CA42" i="13"/>
  <c r="BW42" i="13"/>
  <c r="BS42" i="13"/>
  <c r="BO42" i="13"/>
  <c r="BK42" i="13"/>
  <c r="CG42" i="13"/>
  <c r="CC42" i="13"/>
  <c r="BY42" i="13"/>
  <c r="BU42" i="13"/>
  <c r="BQ42" i="13"/>
  <c r="BM42" i="13"/>
  <c r="CD42" i="13"/>
  <c r="BV42" i="13"/>
  <c r="BN42" i="13"/>
  <c r="CB42" i="13"/>
  <c r="BT42" i="13"/>
  <c r="BL42" i="13"/>
  <c r="CH42" i="13"/>
  <c r="BZ42" i="13"/>
  <c r="BR42" i="13"/>
  <c r="CF42" i="13"/>
  <c r="BX42" i="13"/>
  <c r="BP42" i="13"/>
  <c r="CH58" i="13"/>
  <c r="CD58" i="13"/>
  <c r="BZ58" i="13"/>
  <c r="BV58" i="13"/>
  <c r="BR58" i="13"/>
  <c r="BN58" i="13"/>
  <c r="CE58" i="13"/>
  <c r="BY58" i="13"/>
  <c r="BT58" i="13"/>
  <c r="BO58" i="13"/>
  <c r="CC58" i="13"/>
  <c r="BX58" i="13"/>
  <c r="BS58" i="13"/>
  <c r="BM58" i="13"/>
  <c r="CG58" i="13"/>
  <c r="CB58" i="13"/>
  <c r="BW58" i="13"/>
  <c r="BQ58" i="13"/>
  <c r="BL58" i="13"/>
  <c r="CF58" i="13"/>
  <c r="BK58" i="13"/>
  <c r="CA58" i="13"/>
  <c r="BU58" i="13"/>
  <c r="BP58" i="13"/>
  <c r="CG74" i="13"/>
  <c r="CC74" i="13"/>
  <c r="BY74" i="13"/>
  <c r="BU74" i="13"/>
  <c r="BQ74" i="13"/>
  <c r="BM74" i="13"/>
  <c r="CF74" i="13"/>
  <c r="CB74" i="13"/>
  <c r="BX74" i="13"/>
  <c r="BT74" i="13"/>
  <c r="BP74" i="13"/>
  <c r="BL74" i="13"/>
  <c r="CH74" i="13"/>
  <c r="CD74" i="13"/>
  <c r="BZ74" i="13"/>
  <c r="BV74" i="13"/>
  <c r="BR74" i="13"/>
  <c r="BN74" i="13"/>
  <c r="CA74" i="13"/>
  <c r="BK74" i="13"/>
  <c r="BW74" i="13"/>
  <c r="BS74" i="13"/>
  <c r="BO74" i="13"/>
  <c r="CE74" i="13"/>
  <c r="CE90" i="13"/>
  <c r="CA90" i="13"/>
  <c r="BW90" i="13"/>
  <c r="BS90" i="13"/>
  <c r="BO90" i="13"/>
  <c r="BK90" i="13"/>
  <c r="CG90" i="13"/>
  <c r="CB90" i="13"/>
  <c r="BV90" i="13"/>
  <c r="BQ90" i="13"/>
  <c r="BL90" i="13"/>
  <c r="CF90" i="13"/>
  <c r="BZ90" i="13"/>
  <c r="BU90" i="13"/>
  <c r="BP90" i="13"/>
  <c r="CD90" i="13"/>
  <c r="BY90" i="13"/>
  <c r="BT90" i="13"/>
  <c r="BN90" i="13"/>
  <c r="CC90" i="13"/>
  <c r="BX90" i="13"/>
  <c r="CH90" i="13"/>
  <c r="BM90" i="13"/>
  <c r="BR90" i="13"/>
  <c r="CG106" i="13"/>
  <c r="CC106" i="13"/>
  <c r="BY106" i="13"/>
  <c r="BU106" i="13"/>
  <c r="BQ106" i="13"/>
  <c r="BM106" i="13"/>
  <c r="CE106" i="13"/>
  <c r="CA106" i="13"/>
  <c r="BW106" i="13"/>
  <c r="BS106" i="13"/>
  <c r="BO106" i="13"/>
  <c r="BK106" i="13"/>
  <c r="CD106" i="13"/>
  <c r="BV106" i="13"/>
  <c r="BN106" i="13"/>
  <c r="CH106" i="13"/>
  <c r="BZ106" i="13"/>
  <c r="BR106" i="13"/>
  <c r="CF106" i="13"/>
  <c r="BX106" i="13"/>
  <c r="BP106" i="13"/>
  <c r="BT106" i="13"/>
  <c r="BL106" i="13"/>
  <c r="CB106" i="13"/>
  <c r="CH27" i="13"/>
  <c r="CD27" i="13"/>
  <c r="BZ27" i="13"/>
  <c r="BV27" i="13"/>
  <c r="BR27" i="13"/>
  <c r="BN27" i="13"/>
  <c r="CG27" i="13"/>
  <c r="CC27" i="13"/>
  <c r="BY27" i="13"/>
  <c r="BU27" i="13"/>
  <c r="BQ27" i="13"/>
  <c r="BM27" i="13"/>
  <c r="CF27" i="13"/>
  <c r="CB27" i="13"/>
  <c r="BX27" i="13"/>
  <c r="BT27" i="13"/>
  <c r="BP27" i="13"/>
  <c r="BL27" i="13"/>
  <c r="CE27" i="13"/>
  <c r="BO27" i="13"/>
  <c r="CA27" i="13"/>
  <c r="BK27" i="13"/>
  <c r="BW27" i="13"/>
  <c r="BS27" i="13"/>
  <c r="CE43" i="13"/>
  <c r="CA43" i="13"/>
  <c r="BW43" i="13"/>
  <c r="BS43" i="13"/>
  <c r="BO43" i="13"/>
  <c r="BK43" i="13"/>
  <c r="CG43" i="13"/>
  <c r="CC43" i="13"/>
  <c r="BY43" i="13"/>
  <c r="BU43" i="13"/>
  <c r="BQ43" i="13"/>
  <c r="BM43" i="13"/>
  <c r="CD43" i="13"/>
  <c r="BV43" i="13"/>
  <c r="BN43" i="13"/>
  <c r="CB43" i="13"/>
  <c r="BT43" i="13"/>
  <c r="BL43" i="13"/>
  <c r="CH43" i="13"/>
  <c r="BZ43" i="13"/>
  <c r="BR43" i="13"/>
  <c r="CF43" i="13"/>
  <c r="BX43" i="13"/>
  <c r="BP43" i="13"/>
  <c r="CH59" i="13"/>
  <c r="CD59" i="13"/>
  <c r="BZ59" i="13"/>
  <c r="BV59" i="13"/>
  <c r="BR59" i="13"/>
  <c r="BN59" i="13"/>
  <c r="CG59" i="13"/>
  <c r="CB59" i="13"/>
  <c r="BW59" i="13"/>
  <c r="BQ59" i="13"/>
  <c r="BL59" i="13"/>
  <c r="CF59" i="13"/>
  <c r="CA59" i="13"/>
  <c r="BU59" i="13"/>
  <c r="BP59" i="13"/>
  <c r="BK59" i="13"/>
  <c r="CE59" i="13"/>
  <c r="BY59" i="13"/>
  <c r="BT59" i="13"/>
  <c r="BO59" i="13"/>
  <c r="CC59" i="13"/>
  <c r="BX59" i="13"/>
  <c r="BS59" i="13"/>
  <c r="BM59" i="13"/>
  <c r="CG75" i="13"/>
  <c r="CC75" i="13"/>
  <c r="BY75" i="13"/>
  <c r="BU75" i="13"/>
  <c r="BQ75" i="13"/>
  <c r="BM75" i="13"/>
  <c r="CF75" i="13"/>
  <c r="CB75" i="13"/>
  <c r="BX75" i="13"/>
  <c r="BT75" i="13"/>
  <c r="BP75" i="13"/>
  <c r="BL75" i="13"/>
  <c r="CH75" i="13"/>
  <c r="CD75" i="13"/>
  <c r="BZ75" i="13"/>
  <c r="BV75" i="13"/>
  <c r="BR75" i="13"/>
  <c r="BN75" i="13"/>
  <c r="BS75" i="13"/>
  <c r="CE75" i="13"/>
  <c r="BO75" i="13"/>
  <c r="CA75" i="13"/>
  <c r="BK75" i="13"/>
  <c r="BW75" i="13"/>
  <c r="CH91" i="13"/>
  <c r="CE91" i="13"/>
  <c r="CA91" i="13"/>
  <c r="BW91" i="13"/>
  <c r="BS91" i="13"/>
  <c r="BO91" i="13"/>
  <c r="BK91" i="13"/>
  <c r="CD91" i="13"/>
  <c r="BY91" i="13"/>
  <c r="BT91" i="13"/>
  <c r="BN91" i="13"/>
  <c r="CC91" i="13"/>
  <c r="BX91" i="13"/>
  <c r="BR91" i="13"/>
  <c r="BM91" i="13"/>
  <c r="CG91" i="13"/>
  <c r="CB91" i="13"/>
  <c r="BV91" i="13"/>
  <c r="BQ91" i="13"/>
  <c r="BL91" i="13"/>
  <c r="BZ91" i="13"/>
  <c r="BU91" i="13"/>
  <c r="CF91" i="13"/>
  <c r="BP91" i="13"/>
  <c r="CG107" i="13"/>
  <c r="CC107" i="13"/>
  <c r="BY107" i="13"/>
  <c r="BU107" i="13"/>
  <c r="BQ107" i="13"/>
  <c r="BM107" i="13"/>
  <c r="CE107" i="13"/>
  <c r="CA107" i="13"/>
  <c r="BW107" i="13"/>
  <c r="BS107" i="13"/>
  <c r="BO107" i="13"/>
  <c r="BK107" i="13"/>
  <c r="CD107" i="13"/>
  <c r="BV107" i="13"/>
  <c r="BN107" i="13"/>
  <c r="CH107" i="13"/>
  <c r="BZ107" i="13"/>
  <c r="BR107" i="13"/>
  <c r="CF107" i="13"/>
  <c r="BX107" i="13"/>
  <c r="BP107" i="13"/>
  <c r="CB107" i="13"/>
  <c r="BT107" i="13"/>
  <c r="BL107" i="13"/>
  <c r="CF15" i="13"/>
  <c r="CB15" i="13"/>
  <c r="BX15" i="13"/>
  <c r="BT15" i="13"/>
  <c r="BP15" i="13"/>
  <c r="BL15" i="13"/>
  <c r="CE15" i="13"/>
  <c r="CA15" i="13"/>
  <c r="BW15" i="13"/>
  <c r="BS15" i="13"/>
  <c r="BO15" i="13"/>
  <c r="BK15" i="13"/>
  <c r="CH15" i="13"/>
  <c r="CD15" i="13"/>
  <c r="BZ15" i="13"/>
  <c r="BV15" i="13"/>
  <c r="BR15" i="13"/>
  <c r="BN15" i="13"/>
  <c r="CG15" i="13"/>
  <c r="CC15" i="13"/>
  <c r="BY15" i="13"/>
  <c r="BU15" i="13"/>
  <c r="BQ15" i="13"/>
  <c r="BM15" i="13"/>
  <c r="CF16" i="13"/>
  <c r="CB16" i="13"/>
  <c r="BX16" i="13"/>
  <c r="BT16" i="13"/>
  <c r="BP16" i="13"/>
  <c r="BL16" i="13"/>
  <c r="CE16" i="13"/>
  <c r="CA16" i="13"/>
  <c r="BW16" i="13"/>
  <c r="BS16" i="13"/>
  <c r="BO16" i="13"/>
  <c r="BK16" i="13"/>
  <c r="CH16" i="13"/>
  <c r="CD16" i="13"/>
  <c r="BZ16" i="13"/>
  <c r="BV16" i="13"/>
  <c r="BR16" i="13"/>
  <c r="BN16" i="13"/>
  <c r="CG16" i="13"/>
  <c r="CC16" i="13"/>
  <c r="BY16" i="13"/>
  <c r="BU16" i="13"/>
  <c r="BQ16" i="13"/>
  <c r="BM16" i="13"/>
  <c r="CF6" i="13"/>
  <c r="CB6" i="13"/>
  <c r="BX6" i="13"/>
  <c r="BT6" i="13"/>
  <c r="BP6" i="13"/>
  <c r="BL6" i="13"/>
  <c r="CE6" i="13"/>
  <c r="CA6" i="13"/>
  <c r="BW6" i="13"/>
  <c r="BS6" i="13"/>
  <c r="BO6" i="13"/>
  <c r="BK6" i="13"/>
  <c r="CH6" i="13"/>
  <c r="CD6" i="13"/>
  <c r="BZ6" i="13"/>
  <c r="BV6" i="13"/>
  <c r="BR6" i="13"/>
  <c r="BN6" i="13"/>
  <c r="CG6" i="13"/>
  <c r="CC6" i="13"/>
  <c r="BY6" i="13"/>
  <c r="BU6" i="13"/>
  <c r="BQ6" i="13"/>
  <c r="BM6" i="13"/>
  <c r="CF4" i="13"/>
  <c r="CB4" i="13"/>
  <c r="BX4" i="13"/>
  <c r="BT4" i="13"/>
  <c r="BP4" i="13"/>
  <c r="BL4" i="13"/>
  <c r="CE4" i="13"/>
  <c r="CA4" i="13"/>
  <c r="BW4" i="13"/>
  <c r="BS4" i="13"/>
  <c r="BO4" i="13"/>
  <c r="BK4" i="13"/>
  <c r="CH4" i="13"/>
  <c r="CD4" i="13"/>
  <c r="BZ4" i="13"/>
  <c r="BV4" i="13"/>
  <c r="BR4" i="13"/>
  <c r="BN4" i="13"/>
  <c r="CG4" i="13"/>
  <c r="CC4" i="13"/>
  <c r="BY4" i="13"/>
  <c r="BU4" i="13"/>
  <c r="BQ4" i="13"/>
  <c r="BM4" i="13"/>
  <c r="CF20" i="13"/>
  <c r="CB20" i="13"/>
  <c r="BX20" i="13"/>
  <c r="BT20" i="13"/>
  <c r="BP20" i="13"/>
  <c r="BL20" i="13"/>
  <c r="CG20" i="13"/>
  <c r="CA20" i="13"/>
  <c r="BV20" i="13"/>
  <c r="BQ20" i="13"/>
  <c r="BK20" i="13"/>
  <c r="CE20" i="13"/>
  <c r="BZ20" i="13"/>
  <c r="BU20" i="13"/>
  <c r="BO20" i="13"/>
  <c r="CD20" i="13"/>
  <c r="BY20" i="13"/>
  <c r="BS20" i="13"/>
  <c r="BN20" i="13"/>
  <c r="CH20" i="13"/>
  <c r="CC20" i="13"/>
  <c r="BW20" i="13"/>
  <c r="BR20" i="13"/>
  <c r="BM20" i="13"/>
  <c r="CH36" i="13"/>
  <c r="CD36" i="13"/>
  <c r="BZ36" i="13"/>
  <c r="BV36" i="13"/>
  <c r="BR36" i="13"/>
  <c r="BN36" i="13"/>
  <c r="CG36" i="13"/>
  <c r="CC36" i="13"/>
  <c r="BY36" i="13"/>
  <c r="BU36" i="13"/>
  <c r="BQ36" i="13"/>
  <c r="BM36" i="13"/>
  <c r="CF36" i="13"/>
  <c r="CB36" i="13"/>
  <c r="BX36" i="13"/>
  <c r="BT36" i="13"/>
  <c r="BP36" i="13"/>
  <c r="BL36" i="13"/>
  <c r="CE36" i="13"/>
  <c r="CA36" i="13"/>
  <c r="BW36" i="13"/>
  <c r="BS36" i="13"/>
  <c r="BO36" i="13"/>
  <c r="BK36" i="13"/>
  <c r="CH52" i="13"/>
  <c r="CD52" i="13"/>
  <c r="BZ52" i="13"/>
  <c r="BV52" i="13"/>
  <c r="BR52" i="13"/>
  <c r="BN52" i="13"/>
  <c r="CE52" i="13"/>
  <c r="BY52" i="13"/>
  <c r="BT52" i="13"/>
  <c r="BO52" i="13"/>
  <c r="CC52" i="13"/>
  <c r="BX52" i="13"/>
  <c r="BS52" i="13"/>
  <c r="BM52" i="13"/>
  <c r="CG52" i="13"/>
  <c r="CB52" i="13"/>
  <c r="BW52" i="13"/>
  <c r="BQ52" i="13"/>
  <c r="BL52" i="13"/>
  <c r="CA52" i="13"/>
  <c r="BU52" i="13"/>
  <c r="BP52" i="13"/>
  <c r="CF52" i="13"/>
  <c r="BK52" i="13"/>
  <c r="CG68" i="13"/>
  <c r="CC68" i="13"/>
  <c r="CF68" i="13"/>
  <c r="CB68" i="13"/>
  <c r="BX68" i="13"/>
  <c r="CH68" i="13"/>
  <c r="CD68" i="13"/>
  <c r="BZ68" i="13"/>
  <c r="BV68" i="13"/>
  <c r="BR68" i="13"/>
  <c r="BN68" i="13"/>
  <c r="CA68" i="13"/>
  <c r="BT68" i="13"/>
  <c r="BO68" i="13"/>
  <c r="BY68" i="13"/>
  <c r="BS68" i="13"/>
  <c r="BM68" i="13"/>
  <c r="BW68" i="13"/>
  <c r="BQ68" i="13"/>
  <c r="BL68" i="13"/>
  <c r="CE68" i="13"/>
  <c r="BU68" i="13"/>
  <c r="BP68" i="13"/>
  <c r="BK68" i="13"/>
  <c r="CE84" i="13"/>
  <c r="CA84" i="13"/>
  <c r="BW84" i="13"/>
  <c r="BS84" i="13"/>
  <c r="BO84" i="13"/>
  <c r="BK84" i="13"/>
  <c r="CG84" i="13"/>
  <c r="CB84" i="13"/>
  <c r="BV84" i="13"/>
  <c r="BQ84" i="13"/>
  <c r="BL84" i="13"/>
  <c r="CD84" i="13"/>
  <c r="BY84" i="13"/>
  <c r="BT84" i="13"/>
  <c r="BN84" i="13"/>
  <c r="CH84" i="13"/>
  <c r="BX84" i="13"/>
  <c r="BM84" i="13"/>
  <c r="CF84" i="13"/>
  <c r="BU84" i="13"/>
  <c r="BZ84" i="13"/>
  <c r="BP84" i="13"/>
  <c r="CC84" i="13"/>
  <c r="BR84" i="13"/>
  <c r="CG100" i="13"/>
  <c r="CC100" i="13"/>
  <c r="BY100" i="13"/>
  <c r="BU100" i="13"/>
  <c r="BQ100" i="13"/>
  <c r="BM100" i="13"/>
  <c r="CE100" i="13"/>
  <c r="CA100" i="13"/>
  <c r="BW100" i="13"/>
  <c r="BS100" i="13"/>
  <c r="BO100" i="13"/>
  <c r="BK100" i="13"/>
  <c r="CD100" i="13"/>
  <c r="BV100" i="13"/>
  <c r="BN100" i="13"/>
  <c r="CH100" i="13"/>
  <c r="BZ100" i="13"/>
  <c r="BR100" i="13"/>
  <c r="CF100" i="13"/>
  <c r="BX100" i="13"/>
  <c r="BP100" i="13"/>
  <c r="CB100" i="13"/>
  <c r="BT100" i="13"/>
  <c r="BL100" i="13"/>
  <c r="CF5" i="13"/>
  <c r="CB5" i="13"/>
  <c r="BX5" i="13"/>
  <c r="BT5" i="13"/>
  <c r="BP5" i="13"/>
  <c r="BL5" i="13"/>
  <c r="CE5" i="13"/>
  <c r="CA5" i="13"/>
  <c r="BW5" i="13"/>
  <c r="BS5" i="13"/>
  <c r="BO5" i="13"/>
  <c r="BK5" i="13"/>
  <c r="CH5" i="13"/>
  <c r="CD5" i="13"/>
  <c r="BZ5" i="13"/>
  <c r="BV5" i="13"/>
  <c r="BR5" i="13"/>
  <c r="BN5" i="13"/>
  <c r="CG5" i="13"/>
  <c r="CC5" i="13"/>
  <c r="BY5" i="13"/>
  <c r="BU5" i="13"/>
  <c r="BQ5" i="13"/>
  <c r="BM5" i="13"/>
  <c r="CF21" i="13"/>
  <c r="CB21" i="13"/>
  <c r="BX21" i="13"/>
  <c r="BT21" i="13"/>
  <c r="BP21" i="13"/>
  <c r="BL21" i="13"/>
  <c r="CD21" i="13"/>
  <c r="BY21" i="13"/>
  <c r="BS21" i="13"/>
  <c r="BN21" i="13"/>
  <c r="CH21" i="13"/>
  <c r="CC21" i="13"/>
  <c r="BW21" i="13"/>
  <c r="BR21" i="13"/>
  <c r="BM21" i="13"/>
  <c r="CG21" i="13"/>
  <c r="CA21" i="13"/>
  <c r="BV21" i="13"/>
  <c r="BQ21" i="13"/>
  <c r="BK21" i="13"/>
  <c r="CE21" i="13"/>
  <c r="BZ21" i="13"/>
  <c r="BU21" i="13"/>
  <c r="BO21" i="13"/>
  <c r="CH37" i="13"/>
  <c r="CD37" i="13"/>
  <c r="BZ37" i="13"/>
  <c r="BV37" i="13"/>
  <c r="BR37" i="13"/>
  <c r="BN37" i="13"/>
  <c r="CG37" i="13"/>
  <c r="CC37" i="13"/>
  <c r="BY37" i="13"/>
  <c r="BU37" i="13"/>
  <c r="BQ37" i="13"/>
  <c r="BM37" i="13"/>
  <c r="CF37" i="13"/>
  <c r="CB37" i="13"/>
  <c r="BX37" i="13"/>
  <c r="BT37" i="13"/>
  <c r="BP37" i="13"/>
  <c r="BL37" i="13"/>
  <c r="CE37" i="13"/>
  <c r="CA37" i="13"/>
  <c r="BW37" i="13"/>
  <c r="BS37" i="13"/>
  <c r="BO37" i="13"/>
  <c r="BK37" i="13"/>
  <c r="CH53" i="13"/>
  <c r="CD53" i="13"/>
  <c r="BZ53" i="13"/>
  <c r="BV53" i="13"/>
  <c r="BR53" i="13"/>
  <c r="BN53" i="13"/>
  <c r="CG53" i="13"/>
  <c r="CB53" i="13"/>
  <c r="BW53" i="13"/>
  <c r="BQ53" i="13"/>
  <c r="BL53" i="13"/>
  <c r="CF53" i="13"/>
  <c r="CA53" i="13"/>
  <c r="BU53" i="13"/>
  <c r="BP53" i="13"/>
  <c r="BK53" i="13"/>
  <c r="CE53" i="13"/>
  <c r="BY53" i="13"/>
  <c r="BT53" i="13"/>
  <c r="BO53" i="13"/>
  <c r="BX53" i="13"/>
  <c r="BS53" i="13"/>
  <c r="BM53" i="13"/>
  <c r="CC53" i="13"/>
  <c r="CG69" i="13"/>
  <c r="CC69" i="13"/>
  <c r="BY69" i="13"/>
  <c r="BU69" i="13"/>
  <c r="BQ69" i="13"/>
  <c r="BM69" i="13"/>
  <c r="CF69" i="13"/>
  <c r="CB69" i="13"/>
  <c r="BX69" i="13"/>
  <c r="BT69" i="13"/>
  <c r="BP69" i="13"/>
  <c r="BL69" i="13"/>
  <c r="CH69" i="13"/>
  <c r="CD69" i="13"/>
  <c r="BZ69" i="13"/>
  <c r="BV69" i="13"/>
  <c r="BR69" i="13"/>
  <c r="BN69" i="13"/>
  <c r="BS69" i="13"/>
  <c r="CE69" i="13"/>
  <c r="BO69" i="13"/>
  <c r="CA69" i="13"/>
  <c r="BK69" i="13"/>
  <c r="BW69" i="13"/>
  <c r="CE85" i="13"/>
  <c r="CA85" i="13"/>
  <c r="BW85" i="13"/>
  <c r="BS85" i="13"/>
  <c r="BO85" i="13"/>
  <c r="BK85" i="13"/>
  <c r="CD85" i="13"/>
  <c r="BY85" i="13"/>
  <c r="BT85" i="13"/>
  <c r="BN85" i="13"/>
  <c r="CH85" i="13"/>
  <c r="CC85" i="13"/>
  <c r="BX85" i="13"/>
  <c r="CG85" i="13"/>
  <c r="CB85" i="13"/>
  <c r="BV85" i="13"/>
  <c r="BQ85" i="13"/>
  <c r="BL85" i="13"/>
  <c r="BU85" i="13"/>
  <c r="BR85" i="13"/>
  <c r="BZ85" i="13"/>
  <c r="BM85" i="13"/>
  <c r="BP85" i="13"/>
  <c r="CF85" i="13"/>
  <c r="CG101" i="13"/>
  <c r="CC101" i="13"/>
  <c r="BY101" i="13"/>
  <c r="BU101" i="13"/>
  <c r="BQ101" i="13"/>
  <c r="BM101" i="13"/>
  <c r="CE101" i="13"/>
  <c r="CA101" i="13"/>
  <c r="BW101" i="13"/>
  <c r="BS101" i="13"/>
  <c r="BO101" i="13"/>
  <c r="BK101" i="13"/>
  <c r="CD101" i="13"/>
  <c r="BV101" i="13"/>
  <c r="BN101" i="13"/>
  <c r="CH101" i="13"/>
  <c r="BZ101" i="13"/>
  <c r="BR101" i="13"/>
  <c r="CF101" i="13"/>
  <c r="BX101" i="13"/>
  <c r="BP101" i="13"/>
  <c r="BL101" i="13"/>
  <c r="CB101" i="13"/>
  <c r="BT101" i="13"/>
  <c r="CF14" i="13"/>
  <c r="CB14" i="13"/>
  <c r="BX14" i="13"/>
  <c r="BT14" i="13"/>
  <c r="BP14" i="13"/>
  <c r="BL14" i="13"/>
  <c r="CE14" i="13"/>
  <c r="CA14" i="13"/>
  <c r="BW14" i="13"/>
  <c r="BS14" i="13"/>
  <c r="BO14" i="13"/>
  <c r="BK14" i="13"/>
  <c r="CH14" i="13"/>
  <c r="CD14" i="13"/>
  <c r="BZ14" i="13"/>
  <c r="BV14" i="13"/>
  <c r="BR14" i="13"/>
  <c r="BN14" i="13"/>
  <c r="CG14" i="13"/>
  <c r="CC14" i="13"/>
  <c r="BY14" i="13"/>
  <c r="BU14" i="13"/>
  <c r="BQ14" i="13"/>
  <c r="BM14" i="13"/>
  <c r="CH30" i="13"/>
  <c r="CD30" i="13"/>
  <c r="BZ30" i="13"/>
  <c r="BV30" i="13"/>
  <c r="BR30" i="13"/>
  <c r="BN30" i="13"/>
  <c r="CG30" i="13"/>
  <c r="CC30" i="13"/>
  <c r="BY30" i="13"/>
  <c r="BU30" i="13"/>
  <c r="BQ30" i="13"/>
  <c r="BM30" i="13"/>
  <c r="CF30" i="13"/>
  <c r="CB30" i="13"/>
  <c r="BX30" i="13"/>
  <c r="BT30" i="13"/>
  <c r="BP30" i="13"/>
  <c r="BL30" i="13"/>
  <c r="BW30" i="13"/>
  <c r="BS30" i="13"/>
  <c r="CE30" i="13"/>
  <c r="BO30" i="13"/>
  <c r="CA30" i="13"/>
  <c r="BK30" i="13"/>
  <c r="CE46" i="13"/>
  <c r="CA46" i="13"/>
  <c r="BW46" i="13"/>
  <c r="BS46" i="13"/>
  <c r="BO46" i="13"/>
  <c r="BK46" i="13"/>
  <c r="CH46" i="13"/>
  <c r="CD46" i="13"/>
  <c r="BZ46" i="13"/>
  <c r="BV46" i="13"/>
  <c r="BR46" i="13"/>
  <c r="BN46" i="13"/>
  <c r="CG46" i="13"/>
  <c r="CC46" i="13"/>
  <c r="BY46" i="13"/>
  <c r="BU46" i="13"/>
  <c r="BQ46" i="13"/>
  <c r="BM46" i="13"/>
  <c r="BT46" i="13"/>
  <c r="CF46" i="13"/>
  <c r="BP46" i="13"/>
  <c r="CB46" i="13"/>
  <c r="BL46" i="13"/>
  <c r="BX46" i="13"/>
  <c r="CH62" i="13"/>
  <c r="CD62" i="13"/>
  <c r="BZ62" i="13"/>
  <c r="BV62" i="13"/>
  <c r="BR62" i="13"/>
  <c r="BN62" i="13"/>
  <c r="CE62" i="13"/>
  <c r="BY62" i="13"/>
  <c r="BT62" i="13"/>
  <c r="BO62" i="13"/>
  <c r="CC62" i="13"/>
  <c r="BX62" i="13"/>
  <c r="BS62" i="13"/>
  <c r="BM62" i="13"/>
  <c r="CG62" i="13"/>
  <c r="CB62" i="13"/>
  <c r="BW62" i="13"/>
  <c r="BQ62" i="13"/>
  <c r="BL62" i="13"/>
  <c r="BU62" i="13"/>
  <c r="BP62" i="13"/>
  <c r="CF62" i="13"/>
  <c r="BK62" i="13"/>
  <c r="CA62" i="13"/>
  <c r="CE78" i="13"/>
  <c r="CA78" i="13"/>
  <c r="BW78" i="13"/>
  <c r="BS78" i="13"/>
  <c r="BO78" i="13"/>
  <c r="BK78" i="13"/>
  <c r="CD78" i="13"/>
  <c r="BY78" i="13"/>
  <c r="BT78" i="13"/>
  <c r="BN78" i="13"/>
  <c r="CC78" i="13"/>
  <c r="BV78" i="13"/>
  <c r="BP78" i="13"/>
  <c r="CH78" i="13"/>
  <c r="CB78" i="13"/>
  <c r="BU78" i="13"/>
  <c r="BM78" i="13"/>
  <c r="CF78" i="13"/>
  <c r="BX78" i="13"/>
  <c r="BQ78" i="13"/>
  <c r="CG78" i="13"/>
  <c r="BZ78" i="13"/>
  <c r="BR78" i="13"/>
  <c r="BL78" i="13"/>
  <c r="CH94" i="13"/>
  <c r="CD94" i="13"/>
  <c r="BZ94" i="13"/>
  <c r="BV94" i="13"/>
  <c r="BR94" i="13"/>
  <c r="BN94" i="13"/>
  <c r="CF94" i="13"/>
  <c r="CB94" i="13"/>
  <c r="BX94" i="13"/>
  <c r="BT94" i="13"/>
  <c r="BP94" i="13"/>
  <c r="BL94" i="13"/>
  <c r="CE94" i="13"/>
  <c r="CA94" i="13"/>
  <c r="BW94" i="13"/>
  <c r="BS94" i="13"/>
  <c r="BO94" i="13"/>
  <c r="BK94" i="13"/>
  <c r="CC94" i="13"/>
  <c r="BM94" i="13"/>
  <c r="BY94" i="13"/>
  <c r="BU94" i="13"/>
  <c r="BQ94" i="13"/>
  <c r="CG94" i="13"/>
  <c r="CG110" i="13"/>
  <c r="CC110" i="13"/>
  <c r="BY110" i="13"/>
  <c r="BU110" i="13"/>
  <c r="BQ110" i="13"/>
  <c r="BM110" i="13"/>
  <c r="CE110" i="13"/>
  <c r="CA110" i="13"/>
  <c r="BW110" i="13"/>
  <c r="BS110" i="13"/>
  <c r="BO110" i="13"/>
  <c r="BK110" i="13"/>
  <c r="CD110" i="13"/>
  <c r="BV110" i="13"/>
  <c r="BN110" i="13"/>
  <c r="CH110" i="13"/>
  <c r="BZ110" i="13"/>
  <c r="BR110" i="13"/>
  <c r="CF110" i="13"/>
  <c r="BX110" i="13"/>
  <c r="BP110" i="13"/>
  <c r="BT110" i="13"/>
  <c r="BL110" i="13"/>
  <c r="CB110" i="13"/>
  <c r="CH31" i="13"/>
  <c r="CD31" i="13"/>
  <c r="BZ31" i="13"/>
  <c r="BV31" i="13"/>
  <c r="BR31" i="13"/>
  <c r="BN31" i="13"/>
  <c r="CG31" i="13"/>
  <c r="CC31" i="13"/>
  <c r="BY31" i="13"/>
  <c r="BU31" i="13"/>
  <c r="BQ31" i="13"/>
  <c r="BM31" i="13"/>
  <c r="CF31" i="13"/>
  <c r="CB31" i="13"/>
  <c r="BX31" i="13"/>
  <c r="BT31" i="13"/>
  <c r="BP31" i="13"/>
  <c r="BL31" i="13"/>
  <c r="CE31" i="13"/>
  <c r="BO31" i="13"/>
  <c r="CA31" i="13"/>
  <c r="BK31" i="13"/>
  <c r="BW31" i="13"/>
  <c r="BS31" i="13"/>
  <c r="CE47" i="13"/>
  <c r="CA47" i="13"/>
  <c r="BW47" i="13"/>
  <c r="BS47" i="13"/>
  <c r="BO47" i="13"/>
  <c r="BK47" i="13"/>
  <c r="CH47" i="13"/>
  <c r="CD47" i="13"/>
  <c r="BZ47" i="13"/>
  <c r="BV47" i="13"/>
  <c r="BR47" i="13"/>
  <c r="BN47" i="13"/>
  <c r="CG47" i="13"/>
  <c r="CC47" i="13"/>
  <c r="BY47" i="13"/>
  <c r="BU47" i="13"/>
  <c r="BQ47" i="13"/>
  <c r="BM47" i="13"/>
  <c r="CB47" i="13"/>
  <c r="BL47" i="13"/>
  <c r="BX47" i="13"/>
  <c r="BT47" i="13"/>
  <c r="CF47" i="13"/>
  <c r="BP47" i="13"/>
  <c r="CH63" i="13"/>
  <c r="CD63" i="13"/>
  <c r="BZ63" i="13"/>
  <c r="BV63" i="13"/>
  <c r="BR63" i="13"/>
  <c r="BN63" i="13"/>
  <c r="CG63" i="13"/>
  <c r="CB63" i="13"/>
  <c r="BW63" i="13"/>
  <c r="BQ63" i="13"/>
  <c r="BL63" i="13"/>
  <c r="CF63" i="13"/>
  <c r="CA63" i="13"/>
  <c r="BU63" i="13"/>
  <c r="BP63" i="13"/>
  <c r="BK63" i="13"/>
  <c r="CE63" i="13"/>
  <c r="BY63" i="13"/>
  <c r="BT63" i="13"/>
  <c r="BO63" i="13"/>
  <c r="BS63" i="13"/>
  <c r="BM63" i="13"/>
  <c r="CC63" i="13"/>
  <c r="BX63" i="13"/>
  <c r="CE79" i="13"/>
  <c r="CA79" i="13"/>
  <c r="BW79" i="13"/>
  <c r="BS79" i="13"/>
  <c r="BO79" i="13"/>
  <c r="BK79" i="13"/>
  <c r="CG79" i="13"/>
  <c r="CB79" i="13"/>
  <c r="BV79" i="13"/>
  <c r="BQ79" i="13"/>
  <c r="BL79" i="13"/>
  <c r="CH79" i="13"/>
  <c r="BZ79" i="13"/>
  <c r="BT79" i="13"/>
  <c r="BM79" i="13"/>
  <c r="CF79" i="13"/>
  <c r="BY79" i="13"/>
  <c r="BR79" i="13"/>
  <c r="CC79" i="13"/>
  <c r="BU79" i="13"/>
  <c r="BN79" i="13"/>
  <c r="CD79" i="13"/>
  <c r="BX79" i="13"/>
  <c r="BP79" i="13"/>
  <c r="CH95" i="13"/>
  <c r="CD95" i="13"/>
  <c r="BZ95" i="13"/>
  <c r="BV95" i="13"/>
  <c r="BR95" i="13"/>
  <c r="BN95" i="13"/>
  <c r="CF95" i="13"/>
  <c r="CB95" i="13"/>
  <c r="BX95" i="13"/>
  <c r="BT95" i="13"/>
  <c r="BP95" i="13"/>
  <c r="BL95" i="13"/>
  <c r="CE95" i="13"/>
  <c r="CA95" i="13"/>
  <c r="BW95" i="13"/>
  <c r="BS95" i="13"/>
  <c r="BO95" i="13"/>
  <c r="BK95" i="13"/>
  <c r="BU95" i="13"/>
  <c r="CG95" i="13"/>
  <c r="BQ95" i="13"/>
  <c r="CC95" i="13"/>
  <c r="BM95" i="13"/>
  <c r="BY95" i="13"/>
  <c r="CH111" i="13"/>
  <c r="CG111" i="13"/>
  <c r="CC111" i="13"/>
  <c r="BY111" i="13"/>
  <c r="BU111" i="13"/>
  <c r="BQ111" i="13"/>
  <c r="BM111" i="13"/>
  <c r="CF111" i="13"/>
  <c r="CE111" i="13"/>
  <c r="CA111" i="13"/>
  <c r="BW111" i="13"/>
  <c r="BS111" i="13"/>
  <c r="BO111" i="13"/>
  <c r="BK111" i="13"/>
  <c r="CD111" i="13"/>
  <c r="BV111" i="13"/>
  <c r="BN111" i="13"/>
  <c r="BZ111" i="13"/>
  <c r="BR111" i="13"/>
  <c r="BX111" i="13"/>
  <c r="BP111" i="13"/>
  <c r="CB111" i="13"/>
  <c r="BT111" i="13"/>
  <c r="BL111" i="13"/>
  <c r="P26" i="13"/>
  <c r="BH110" i="13"/>
  <c r="BH109" i="13"/>
  <c r="BH108" i="13"/>
  <c r="BH107" i="13"/>
  <c r="BH106" i="13"/>
  <c r="BH105" i="13"/>
  <c r="BH104" i="13"/>
  <c r="BH103" i="13"/>
  <c r="BH102" i="13"/>
  <c r="BH101" i="13"/>
  <c r="BH100" i="13"/>
  <c r="BH99" i="13"/>
  <c r="BH98" i="13"/>
  <c r="BH97" i="13"/>
  <c r="BH96" i="13"/>
  <c r="BH95" i="13"/>
  <c r="BH94" i="13"/>
  <c r="BH93" i="13"/>
  <c r="BH92" i="13"/>
  <c r="BH91" i="13"/>
  <c r="BH90" i="13"/>
  <c r="BH89" i="13"/>
  <c r="BH88" i="13"/>
  <c r="BH87" i="13"/>
  <c r="BH86" i="13"/>
  <c r="BH85" i="13"/>
  <c r="BH84" i="13"/>
  <c r="BH83" i="13"/>
  <c r="BH82" i="13"/>
  <c r="BH81" i="13"/>
  <c r="BH80" i="13"/>
  <c r="BH79" i="13"/>
  <c r="BH78" i="13"/>
  <c r="BH77" i="13"/>
  <c r="BH76" i="13"/>
  <c r="BH75" i="13"/>
  <c r="BH74" i="13"/>
  <c r="BH73" i="13"/>
  <c r="BH72" i="13"/>
  <c r="BH71" i="13"/>
  <c r="BH70" i="13"/>
  <c r="BH69" i="13"/>
  <c r="BH68" i="13"/>
  <c r="BH67" i="13"/>
  <c r="BH66" i="13"/>
  <c r="BH65" i="13"/>
  <c r="BH64" i="13"/>
  <c r="BH63" i="13"/>
  <c r="BH62" i="13"/>
  <c r="BH61" i="13"/>
  <c r="BH60" i="13"/>
  <c r="BH59" i="13"/>
  <c r="BH58" i="13"/>
  <c r="BH57" i="13"/>
  <c r="BH56" i="13"/>
  <c r="BH55" i="13"/>
  <c r="BH54" i="13"/>
  <c r="BH53" i="13"/>
  <c r="BH52" i="13"/>
  <c r="BH51" i="13"/>
  <c r="BH50" i="13"/>
  <c r="BH49" i="13"/>
  <c r="BH48" i="13"/>
  <c r="BH47" i="13"/>
  <c r="BH46" i="13"/>
  <c r="BH45" i="13"/>
  <c r="BH44" i="13"/>
  <c r="BH43" i="13"/>
  <c r="BH42" i="13"/>
  <c r="BH41" i="13"/>
  <c r="BH40" i="13"/>
  <c r="BH39" i="13"/>
  <c r="BH38" i="13"/>
  <c r="BH37" i="13"/>
  <c r="BH36" i="13"/>
  <c r="BH35" i="13"/>
  <c r="BH34" i="13"/>
  <c r="BH33" i="13"/>
  <c r="BH32" i="13"/>
  <c r="BH31" i="13"/>
  <c r="BH30" i="13"/>
  <c r="BH29" i="13"/>
  <c r="BH28" i="13"/>
  <c r="BH27" i="13"/>
  <c r="BH26" i="13"/>
  <c r="BH25" i="13"/>
  <c r="BH24" i="13"/>
  <c r="BH23" i="13"/>
  <c r="BH22" i="13"/>
  <c r="BH21" i="13"/>
  <c r="BH20" i="13"/>
  <c r="BH19" i="13"/>
  <c r="BH18" i="13"/>
  <c r="BH17" i="13"/>
  <c r="BH16" i="13"/>
  <c r="BH15" i="13"/>
  <c r="BH14" i="13"/>
  <c r="BH13" i="13"/>
  <c r="BH12" i="13"/>
  <c r="BH11" i="13"/>
  <c r="BH10" i="13"/>
  <c r="BH9" i="13"/>
  <c r="BH8" i="13"/>
  <c r="BH7" i="13"/>
  <c r="BH6" i="13"/>
  <c r="BH5" i="13"/>
  <c r="BH4" i="13"/>
  <c r="BH3" i="13"/>
  <c r="BH2" i="13"/>
  <c r="BH111" i="13"/>
  <c r="D7" i="17" l="1"/>
  <c r="AH1" i="13" s="1"/>
  <c r="BG111" i="13"/>
  <c r="BG110" i="13"/>
  <c r="BG109" i="13"/>
  <c r="BG108" i="13"/>
  <c r="BG107" i="13"/>
  <c r="BG106" i="13"/>
  <c r="BG105" i="13"/>
  <c r="BG104" i="13"/>
  <c r="BG103" i="13"/>
  <c r="BG102" i="13"/>
  <c r="BG101" i="13"/>
  <c r="BG100" i="13"/>
  <c r="BG99" i="13"/>
  <c r="BG98" i="13"/>
  <c r="BG97" i="13"/>
  <c r="BG96" i="13"/>
  <c r="BG95" i="13"/>
  <c r="BG94" i="13"/>
  <c r="BG93" i="13"/>
  <c r="BG92" i="13"/>
  <c r="BG91" i="13"/>
  <c r="BG90" i="13"/>
  <c r="BG89" i="13"/>
  <c r="BG88" i="13"/>
  <c r="BG87" i="13"/>
  <c r="BG86" i="13"/>
  <c r="BG85" i="13"/>
  <c r="BG84" i="13"/>
  <c r="BG83" i="13"/>
  <c r="BG82" i="13"/>
  <c r="BG81" i="13"/>
  <c r="BG80" i="13"/>
  <c r="BG79" i="13"/>
  <c r="BG78" i="13"/>
  <c r="BG77" i="13"/>
  <c r="BG76" i="13"/>
  <c r="BG75" i="13"/>
  <c r="BG74" i="13"/>
  <c r="BG73" i="13"/>
  <c r="BG72" i="13"/>
  <c r="BG71" i="13"/>
  <c r="BG70" i="13"/>
  <c r="BG69" i="13"/>
  <c r="BG68" i="13"/>
  <c r="BG67" i="13"/>
  <c r="BG66" i="13"/>
  <c r="BG65" i="13"/>
  <c r="BG64" i="13"/>
  <c r="BG63" i="13"/>
  <c r="BG62" i="13"/>
  <c r="BG61" i="13"/>
  <c r="BG60" i="13"/>
  <c r="BG59" i="13"/>
  <c r="BG58" i="13"/>
  <c r="BG57" i="13"/>
  <c r="BG56" i="13"/>
  <c r="BG55" i="13"/>
  <c r="BG54" i="13"/>
  <c r="BG53" i="13"/>
  <c r="BG52" i="13"/>
  <c r="BG51" i="13"/>
  <c r="BG50" i="13"/>
  <c r="BG49" i="13"/>
  <c r="BG48" i="13"/>
  <c r="BG47" i="13"/>
  <c r="BG46" i="13"/>
  <c r="BG45" i="13"/>
  <c r="BG44" i="13"/>
  <c r="BG43" i="13"/>
  <c r="BG42" i="13"/>
  <c r="BG41" i="13"/>
  <c r="BG40" i="13"/>
  <c r="BG39" i="13"/>
  <c r="BG38" i="13"/>
  <c r="BG37" i="13"/>
  <c r="BG36" i="13"/>
  <c r="BG35" i="13"/>
  <c r="BG34" i="13"/>
  <c r="BG33" i="13"/>
  <c r="BG32" i="13"/>
  <c r="BG31" i="13"/>
  <c r="BG30" i="13"/>
  <c r="BG29" i="13"/>
  <c r="BG28" i="13"/>
  <c r="BG27" i="13"/>
  <c r="BG26" i="13"/>
  <c r="BG25" i="13"/>
  <c r="BG24" i="13"/>
  <c r="BG23" i="13"/>
  <c r="BG22" i="13"/>
  <c r="BG21" i="13"/>
  <c r="BG20" i="13"/>
  <c r="BG19" i="13"/>
  <c r="BG18" i="13"/>
  <c r="BG17" i="13"/>
  <c r="BG16" i="13"/>
  <c r="BG15" i="13"/>
  <c r="BG14" i="13"/>
  <c r="BG13" i="13"/>
  <c r="BG12" i="13"/>
  <c r="BG11" i="13"/>
  <c r="BG10" i="13"/>
  <c r="BG9" i="13"/>
  <c r="BG8" i="13"/>
  <c r="BG7" i="13"/>
  <c r="BG6" i="13"/>
  <c r="BG5" i="13"/>
  <c r="BG4" i="13"/>
  <c r="BG3" i="13"/>
  <c r="BG2" i="13"/>
  <c r="AG1" i="13" l="1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44" i="13"/>
  <c r="B43" i="13"/>
  <c r="B42" i="13"/>
  <c r="B41" i="13"/>
  <c r="B40" i="13"/>
  <c r="B39" i="13"/>
  <c r="B38" i="13"/>
  <c r="B37" i="13"/>
  <c r="B36" i="13"/>
  <c r="B35" i="13"/>
  <c r="B34" i="13"/>
  <c r="B33" i="13"/>
  <c r="B32" i="13"/>
  <c r="B31" i="13"/>
  <c r="B30" i="13"/>
  <c r="B29" i="13"/>
  <c r="B28" i="13"/>
  <c r="B27" i="13"/>
  <c r="B26" i="13"/>
  <c r="B25" i="13"/>
  <c r="B24" i="13"/>
  <c r="B23" i="13"/>
  <c r="A5" i="17" l="1"/>
  <c r="A4" i="17" s="1"/>
  <c r="C7" i="17" s="1"/>
  <c r="B7" i="17" s="1"/>
  <c r="Q5" i="17"/>
  <c r="Q4" i="17" s="1"/>
  <c r="R5" i="17"/>
  <c r="R4" i="17" s="1"/>
  <c r="C56" i="3"/>
  <c r="O36" i="26"/>
  <c r="N36" i="26"/>
  <c r="N22" i="26"/>
  <c r="N21" i="26"/>
  <c r="O36" i="25"/>
  <c r="N36" i="25"/>
  <c r="N22" i="25"/>
  <c r="N21" i="25"/>
  <c r="O36" i="24"/>
  <c r="N36" i="24"/>
  <c r="N22" i="24"/>
  <c r="N21" i="24"/>
  <c r="O36" i="23"/>
  <c r="N36" i="23"/>
  <c r="N22" i="23"/>
  <c r="N21" i="23"/>
  <c r="O36" i="22"/>
  <c r="N36" i="22"/>
  <c r="N22" i="22"/>
  <c r="N21" i="22"/>
  <c r="O36" i="21"/>
  <c r="N36" i="21"/>
  <c r="N22" i="21"/>
  <c r="N21" i="21"/>
  <c r="O36" i="20"/>
  <c r="N36" i="20"/>
  <c r="N22" i="20"/>
  <c r="N21" i="20"/>
  <c r="O36" i="18"/>
  <c r="N36" i="18"/>
  <c r="N22" i="18"/>
  <c r="N21" i="18"/>
  <c r="C12" i="3" l="1"/>
  <c r="C11" i="3"/>
  <c r="A9" i="17" l="1" a="1"/>
  <c r="N27" i="26"/>
  <c r="P35" i="26"/>
  <c r="N33" i="26"/>
  <c r="N34" i="26"/>
  <c r="O34" i="26" s="1"/>
  <c r="N34" i="25"/>
  <c r="O34" i="25" s="1"/>
  <c r="N27" i="25"/>
  <c r="P35" i="25"/>
  <c r="N33" i="25"/>
  <c r="N34" i="24"/>
  <c r="O34" i="24" s="1"/>
  <c r="N27" i="24"/>
  <c r="P35" i="24"/>
  <c r="N33" i="24"/>
  <c r="N27" i="23"/>
  <c r="N34" i="23"/>
  <c r="O34" i="23" s="1"/>
  <c r="P35" i="23"/>
  <c r="N33" i="23"/>
  <c r="N34" i="22"/>
  <c r="O34" i="22" s="1"/>
  <c r="N27" i="22"/>
  <c r="P35" i="22"/>
  <c r="N33" i="22"/>
  <c r="N34" i="21"/>
  <c r="O34" i="21" s="1"/>
  <c r="P35" i="21"/>
  <c r="N33" i="21"/>
  <c r="N27" i="21"/>
  <c r="N27" i="20"/>
  <c r="P35" i="20"/>
  <c r="N33" i="20"/>
  <c r="N34" i="20"/>
  <c r="O34" i="20" s="1"/>
  <c r="N27" i="4"/>
  <c r="N27" i="18"/>
  <c r="P35" i="18"/>
  <c r="N33" i="18"/>
  <c r="N34" i="18"/>
  <c r="O34" i="18" s="1"/>
  <c r="O24" i="13"/>
  <c r="D10" i="13"/>
  <c r="E10" i="13" s="1"/>
  <c r="F9" i="13"/>
  <c r="T8" i="13"/>
  <c r="S6" i="13"/>
  <c r="R6" i="13"/>
  <c r="C5" i="13"/>
  <c r="C4" i="13"/>
  <c r="O36" i="4"/>
  <c r="N36" i="4"/>
  <c r="P35" i="4"/>
  <c r="N34" i="4"/>
  <c r="O34" i="4" s="1"/>
  <c r="N33" i="4"/>
  <c r="L27" i="4" s="1"/>
  <c r="N22" i="4"/>
  <c r="N21" i="4"/>
  <c r="N139" i="3"/>
  <c r="N135" i="3"/>
  <c r="N127" i="3"/>
  <c r="I109" i="3"/>
  <c r="F113" i="3" s="1"/>
  <c r="C33" i="3" s="1"/>
  <c r="G33" i="3" s="1"/>
  <c r="H109" i="3"/>
  <c r="B88" i="3"/>
  <c r="B87" i="3"/>
  <c r="B86" i="3"/>
  <c r="C77" i="3"/>
  <c r="C80" i="3" s="1"/>
  <c r="B81" i="3" s="1"/>
  <c r="C76" i="3"/>
  <c r="C75" i="3"/>
  <c r="E72" i="3"/>
  <c r="C69" i="3"/>
  <c r="C67" i="3"/>
  <c r="C68" i="3" s="1"/>
  <c r="B61" i="3"/>
  <c r="B60" i="3"/>
  <c r="D51" i="3"/>
  <c r="C50" i="3"/>
  <c r="D52" i="3" s="1"/>
  <c r="I5" i="17" s="1"/>
  <c r="I4" i="17" s="1"/>
  <c r="C40" i="3"/>
  <c r="C38" i="3"/>
  <c r="C43" i="3" s="1"/>
  <c r="O17" i="3"/>
  <c r="K17" i="3"/>
  <c r="K19" i="3" s="1"/>
  <c r="E44" i="13" s="1"/>
  <c r="K7" i="3"/>
  <c r="I5" i="3"/>
  <c r="B5" i="17" s="1"/>
  <c r="B4" i="17" s="1"/>
  <c r="R9" i="17" l="1"/>
  <c r="E5" i="17"/>
  <c r="E4" i="17" s="1"/>
  <c r="C120" i="13"/>
  <c r="C116" i="13"/>
  <c r="C112" i="13"/>
  <c r="C108" i="13"/>
  <c r="C104" i="13"/>
  <c r="C100" i="13"/>
  <c r="C96" i="13"/>
  <c r="C92" i="13"/>
  <c r="C88" i="13"/>
  <c r="C84" i="13"/>
  <c r="C80" i="13"/>
  <c r="C76" i="13"/>
  <c r="C72" i="13"/>
  <c r="C68" i="13"/>
  <c r="C64" i="13"/>
  <c r="C60" i="13"/>
  <c r="C56" i="13"/>
  <c r="C52" i="13"/>
  <c r="C48" i="13"/>
  <c r="C44" i="13"/>
  <c r="C40" i="13"/>
  <c r="C36" i="13"/>
  <c r="C28" i="13"/>
  <c r="C119" i="13"/>
  <c r="C115" i="13"/>
  <c r="C111" i="13"/>
  <c r="C107" i="13"/>
  <c r="C103" i="13"/>
  <c r="C99" i="13"/>
  <c r="C95" i="13"/>
  <c r="C91" i="13"/>
  <c r="C87" i="13"/>
  <c r="C83" i="13"/>
  <c r="C79" i="13"/>
  <c r="C75" i="13"/>
  <c r="C71" i="13"/>
  <c r="C67" i="13"/>
  <c r="C63" i="13"/>
  <c r="C59" i="13"/>
  <c r="C55" i="13"/>
  <c r="C51" i="13"/>
  <c r="C47" i="13"/>
  <c r="C43" i="13"/>
  <c r="C39" i="13"/>
  <c r="C35" i="13"/>
  <c r="C31" i="13"/>
  <c r="C27" i="13"/>
  <c r="C23" i="13"/>
  <c r="C122" i="13"/>
  <c r="C118" i="13"/>
  <c r="C114" i="13"/>
  <c r="C110" i="13"/>
  <c r="C106" i="13"/>
  <c r="C102" i="13"/>
  <c r="C98" i="13"/>
  <c r="C94" i="13"/>
  <c r="C90" i="13"/>
  <c r="C86" i="13"/>
  <c r="C82" i="13"/>
  <c r="C78" i="13"/>
  <c r="C74" i="13"/>
  <c r="C70" i="13"/>
  <c r="C66" i="13"/>
  <c r="C62" i="13"/>
  <c r="C58" i="13"/>
  <c r="C54" i="13"/>
  <c r="C50" i="13"/>
  <c r="C46" i="13"/>
  <c r="C42" i="13"/>
  <c r="C38" i="13"/>
  <c r="C34" i="13"/>
  <c r="C30" i="13"/>
  <c r="C26" i="13"/>
  <c r="C24" i="13"/>
  <c r="C121" i="13"/>
  <c r="C117" i="13"/>
  <c r="C113" i="13"/>
  <c r="C109" i="13"/>
  <c r="C105" i="13"/>
  <c r="C101" i="13"/>
  <c r="C97" i="13"/>
  <c r="C93" i="13"/>
  <c r="C89" i="13"/>
  <c r="C85" i="13"/>
  <c r="C81" i="13"/>
  <c r="C77" i="13"/>
  <c r="C73" i="13"/>
  <c r="C69" i="13"/>
  <c r="C65" i="13"/>
  <c r="C61" i="13"/>
  <c r="C57" i="13"/>
  <c r="C53" i="13"/>
  <c r="C49" i="13"/>
  <c r="C45" i="13"/>
  <c r="C41" i="13"/>
  <c r="C37" i="13"/>
  <c r="C33" i="13"/>
  <c r="C29" i="13"/>
  <c r="C25" i="13"/>
  <c r="C32" i="13"/>
  <c r="V10" i="17"/>
  <c r="A12" i="17"/>
  <c r="X12" i="17"/>
  <c r="T10" i="17"/>
  <c r="S10" i="17"/>
  <c r="P9" i="17"/>
  <c r="U12" i="17"/>
  <c r="G10" i="17"/>
  <c r="C10" i="17"/>
  <c r="H9" i="17"/>
  <c r="X9" i="17"/>
  <c r="W12" i="17"/>
  <c r="F12" i="17"/>
  <c r="D9" i="17"/>
  <c r="I9" i="17"/>
  <c r="E12" i="17"/>
  <c r="B12" i="17"/>
  <c r="E10" i="17"/>
  <c r="L12" i="17"/>
  <c r="G12" i="17"/>
  <c r="W9" i="17"/>
  <c r="O9" i="17"/>
  <c r="Q10" i="17"/>
  <c r="V12" i="17"/>
  <c r="E9" i="17"/>
  <c r="K9" i="17"/>
  <c r="F9" i="17"/>
  <c r="R10" i="17"/>
  <c r="J10" i="17"/>
  <c r="N9" i="17"/>
  <c r="L9" i="17"/>
  <c r="K12" i="17"/>
  <c r="D10" i="17"/>
  <c r="A117" i="17"/>
  <c r="S96" i="17"/>
  <c r="M112" i="17"/>
  <c r="K107" i="17"/>
  <c r="P100" i="17"/>
  <c r="L117" i="17"/>
  <c r="P72" i="17"/>
  <c r="C92" i="17"/>
  <c r="R116" i="17"/>
  <c r="A105" i="17"/>
  <c r="I104" i="17"/>
  <c r="G109" i="17"/>
  <c r="R106" i="17"/>
  <c r="G115" i="17"/>
  <c r="A48" i="17"/>
  <c r="A112" i="17"/>
  <c r="M72" i="17"/>
  <c r="I111" i="17"/>
  <c r="T110" i="17"/>
  <c r="Q113" i="17"/>
  <c r="C108" i="17"/>
  <c r="A18" i="17"/>
  <c r="A68" i="17"/>
  <c r="A76" i="17"/>
  <c r="A56" i="17"/>
  <c r="A80" i="17"/>
  <c r="A52" i="17"/>
  <c r="A40" i="17"/>
  <c r="M109" i="17"/>
  <c r="A14" i="17"/>
  <c r="A60" i="17"/>
  <c r="A34" i="17"/>
  <c r="A64" i="17"/>
  <c r="A84" i="17"/>
  <c r="A44" i="17"/>
  <c r="A50" i="17"/>
  <c r="A82" i="17"/>
  <c r="A62" i="17"/>
  <c r="A94" i="17"/>
  <c r="A90" i="17"/>
  <c r="A38" i="17"/>
  <c r="A102" i="17"/>
  <c r="A26" i="17"/>
  <c r="A114" i="17"/>
  <c r="A58" i="17"/>
  <c r="A70" i="17"/>
  <c r="A30" i="17"/>
  <c r="A98" i="17"/>
  <c r="A66" i="17"/>
  <c r="A55" i="17"/>
  <c r="A87" i="17"/>
  <c r="A103" i="17"/>
  <c r="A32" i="17"/>
  <c r="A85" i="17"/>
  <c r="A86" i="17"/>
  <c r="A23" i="17"/>
  <c r="A42" i="17"/>
  <c r="A74" i="17"/>
  <c r="A39" i="17"/>
  <c r="A71" i="17"/>
  <c r="A37" i="17"/>
  <c r="A53" i="17"/>
  <c r="A69" i="17"/>
  <c r="A22" i="17"/>
  <c r="A46" i="17"/>
  <c r="A78" i="17"/>
  <c r="A54" i="17"/>
  <c r="A16" i="17"/>
  <c r="A21" i="17"/>
  <c r="A43" i="17"/>
  <c r="A57" i="17"/>
  <c r="A89" i="17"/>
  <c r="A45" i="17"/>
  <c r="A61" i="17"/>
  <c r="A77" i="17"/>
  <c r="A59" i="17"/>
  <c r="A75" i="17"/>
  <c r="A20" i="17"/>
  <c r="A25" i="17"/>
  <c r="A31" i="17"/>
  <c r="A95" i="17"/>
  <c r="A29" i="17"/>
  <c r="A35" i="17"/>
  <c r="A36" i="17"/>
  <c r="A41" i="17"/>
  <c r="A73" i="17"/>
  <c r="A24" i="17"/>
  <c r="A93" i="17"/>
  <c r="A19" i="17"/>
  <c r="A101" i="17"/>
  <c r="A27" i="17"/>
  <c r="A91" i="17"/>
  <c r="A47" i="17"/>
  <c r="A63" i="17"/>
  <c r="A79" i="17"/>
  <c r="A13" i="17"/>
  <c r="A33" i="17"/>
  <c r="A49" i="17"/>
  <c r="A65" i="17"/>
  <c r="A81" i="17"/>
  <c r="A99" i="17"/>
  <c r="A97" i="17"/>
  <c r="A51" i="17"/>
  <c r="A67" i="17"/>
  <c r="A83" i="17"/>
  <c r="A28" i="17"/>
  <c r="A17" i="17"/>
  <c r="B113" i="17"/>
  <c r="N113" i="17"/>
  <c r="F113" i="17"/>
  <c r="X97" i="17"/>
  <c r="O97" i="17"/>
  <c r="G81" i="17"/>
  <c r="U65" i="17"/>
  <c r="P65" i="17"/>
  <c r="E49" i="17"/>
  <c r="W33" i="17"/>
  <c r="N33" i="17"/>
  <c r="V17" i="17"/>
  <c r="B28" i="17"/>
  <c r="V115" i="17"/>
  <c r="I99" i="17"/>
  <c r="B83" i="17"/>
  <c r="J83" i="17"/>
  <c r="S67" i="17"/>
  <c r="L51" i="17"/>
  <c r="E35" i="17"/>
  <c r="V113" i="17"/>
  <c r="Q97" i="17"/>
  <c r="I81" i="17"/>
  <c r="D81" i="17"/>
  <c r="R65" i="17"/>
  <c r="K49" i="17"/>
  <c r="B49" i="17"/>
  <c r="T33" i="17"/>
  <c r="N17" i="17"/>
  <c r="C17" i="17"/>
  <c r="M28" i="17"/>
  <c r="B115" i="17"/>
  <c r="X99" i="17"/>
  <c r="O99" i="17"/>
  <c r="S83" i="17"/>
  <c r="U67" i="17"/>
  <c r="P67" i="17"/>
  <c r="E51" i="17"/>
  <c r="W35" i="17"/>
  <c r="G97" i="17"/>
  <c r="O81" i="17"/>
  <c r="F65" i="17"/>
  <c r="X65" i="17"/>
  <c r="M49" i="17"/>
  <c r="H33" i="17"/>
  <c r="V33" i="17"/>
  <c r="L17" i="17"/>
  <c r="P28" i="17"/>
  <c r="W28" i="17"/>
  <c r="L99" i="17"/>
  <c r="S99" i="17"/>
  <c r="D83" i="17"/>
  <c r="B67" i="17"/>
  <c r="T67" i="17"/>
  <c r="I51" i="17"/>
  <c r="J113" i="17"/>
  <c r="H113" i="17"/>
  <c r="Q81" i="17"/>
  <c r="L81" i="17"/>
  <c r="S65" i="17"/>
  <c r="L49" i="17"/>
  <c r="S33" i="17"/>
  <c r="H17" i="17"/>
  <c r="Q17" i="17"/>
  <c r="U28" i="17"/>
  <c r="J115" i="17"/>
  <c r="P99" i="17"/>
  <c r="G99" i="17"/>
  <c r="E83" i="17"/>
  <c r="M67" i="17"/>
  <c r="H67" i="17"/>
  <c r="X51" i="17"/>
  <c r="O35" i="17"/>
  <c r="Q19" i="17"/>
  <c r="N109" i="17"/>
  <c r="I35" i="17"/>
  <c r="B19" i="17"/>
  <c r="S19" i="17"/>
  <c r="H93" i="17"/>
  <c r="V93" i="17"/>
  <c r="N77" i="17"/>
  <c r="E61" i="17"/>
  <c r="W61" i="17"/>
  <c r="P45" i="17"/>
  <c r="U29" i="17"/>
  <c r="T29" i="17"/>
  <c r="L13" i="17"/>
  <c r="B24" i="17"/>
  <c r="O24" i="17"/>
  <c r="D95" i="17"/>
  <c r="R95" i="17"/>
  <c r="C79" i="17"/>
  <c r="J63" i="17"/>
  <c r="C47" i="17"/>
  <c r="J47" i="17"/>
  <c r="C31" i="17"/>
  <c r="J105" i="17"/>
  <c r="I89" i="17"/>
  <c r="V89" i="17"/>
  <c r="O73" i="17"/>
  <c r="N57" i="17"/>
  <c r="U57" i="17"/>
  <c r="M41" i="17"/>
  <c r="H25" i="17"/>
  <c r="W25" i="17"/>
  <c r="M36" i="17"/>
  <c r="U20" i="17"/>
  <c r="W20" i="17"/>
  <c r="L91" i="17"/>
  <c r="S91" i="17"/>
  <c r="K75" i="17"/>
  <c r="B59" i="17"/>
  <c r="T59" i="17"/>
  <c r="H27" i="17"/>
  <c r="W27" i="17"/>
  <c r="Q101" i="17"/>
  <c r="X35" i="17"/>
  <c r="H19" i="17"/>
  <c r="W19" i="17"/>
  <c r="L93" i="17"/>
  <c r="S93" i="17"/>
  <c r="K77" i="17"/>
  <c r="B61" i="17"/>
  <c r="T61" i="17"/>
  <c r="I45" i="17"/>
  <c r="M29" i="17"/>
  <c r="S29" i="17"/>
  <c r="I13" i="17"/>
  <c r="E24" i="17"/>
  <c r="B111" i="17"/>
  <c r="X95" i="17"/>
  <c r="O95" i="17"/>
  <c r="G79" i="17"/>
  <c r="U63" i="17"/>
  <c r="P63" i="17"/>
  <c r="E47" i="17"/>
  <c r="X31" i="17"/>
  <c r="M31" i="17"/>
  <c r="E89" i="17"/>
  <c r="T89" i="17"/>
  <c r="C73" i="17"/>
  <c r="W57" i="17"/>
  <c r="I57" i="17"/>
  <c r="Q41" i="17"/>
  <c r="X25" i="17"/>
  <c r="C36" i="17"/>
  <c r="J36" i="17"/>
  <c r="N20" i="17"/>
  <c r="F107" i="17"/>
  <c r="E91" i="17"/>
  <c r="W91" i="17"/>
  <c r="O75" i="17"/>
  <c r="F59" i="17"/>
  <c r="X59" i="17"/>
  <c r="S35" i="17"/>
  <c r="P19" i="17"/>
  <c r="N19" i="17"/>
  <c r="T109" i="17"/>
  <c r="U93" i="17"/>
  <c r="M77" i="17"/>
  <c r="H77" i="17"/>
  <c r="V61" i="17"/>
  <c r="O45" i="17"/>
  <c r="F45" i="17"/>
  <c r="I29" i="17"/>
  <c r="V13" i="17"/>
  <c r="W13" i="17"/>
  <c r="I24" i="17"/>
  <c r="L111" i="17"/>
  <c r="J95" i="17"/>
  <c r="W113" i="17"/>
  <c r="D97" i="17"/>
  <c r="D113" i="17"/>
  <c r="M97" i="17"/>
  <c r="E81" i="17"/>
  <c r="W81" i="17"/>
  <c r="N65" i="17"/>
  <c r="G49" i="17"/>
  <c r="U49" i="17"/>
  <c r="P33" i="17"/>
  <c r="D17" i="17"/>
  <c r="O17" i="17"/>
  <c r="V28" i="17"/>
  <c r="H115" i="17"/>
  <c r="B99" i="17"/>
  <c r="C83" i="17"/>
  <c r="Q67" i="17"/>
  <c r="L67" i="17"/>
  <c r="Q51" i="17"/>
  <c r="U35" i="17"/>
  <c r="L113" i="17"/>
  <c r="J97" i="17"/>
  <c r="B81" i="17"/>
  <c r="T81" i="17"/>
  <c r="K65" i="17"/>
  <c r="D49" i="17"/>
  <c r="R49" i="17"/>
  <c r="I33" i="17"/>
  <c r="U17" i="17"/>
  <c r="S17" i="17"/>
  <c r="F28" i="17"/>
  <c r="D115" i="17"/>
  <c r="M99" i="17"/>
  <c r="F83" i="17"/>
  <c r="P83" i="17"/>
  <c r="N67" i="17"/>
  <c r="G51" i="17"/>
  <c r="U51" i="17"/>
  <c r="P35" i="17"/>
  <c r="M81" i="17"/>
  <c r="H81" i="17"/>
  <c r="V65" i="17"/>
  <c r="O49" i="17"/>
  <c r="F49" i="17"/>
  <c r="X33" i="17"/>
  <c r="E17" i="17"/>
  <c r="G17" i="17"/>
  <c r="D28" i="17"/>
  <c r="R115" i="17"/>
  <c r="Q99" i="17"/>
  <c r="M83" i="17"/>
  <c r="T83" i="17"/>
  <c r="R67" i="17"/>
  <c r="K51" i="17"/>
  <c r="B51" i="17"/>
  <c r="P97" i="17"/>
  <c r="T97" i="17"/>
  <c r="J81" i="17"/>
  <c r="Q65" i="17"/>
  <c r="L65" i="17"/>
  <c r="Q49" i="17"/>
  <c r="L33" i="17"/>
  <c r="J17" i="17"/>
  <c r="K17" i="17"/>
  <c r="N28" i="17"/>
  <c r="F115" i="17"/>
  <c r="E99" i="17"/>
  <c r="W99" i="17"/>
  <c r="H83" i="17"/>
  <c r="F67" i="17"/>
  <c r="X67" i="17"/>
  <c r="M51" i="17"/>
  <c r="H35" i="17"/>
  <c r="T19" i="17"/>
  <c r="H109" i="17"/>
  <c r="B35" i="17"/>
  <c r="X19" i="17"/>
  <c r="F109" i="17"/>
  <c r="X93" i="17"/>
  <c r="O93" i="17"/>
  <c r="G77" i="17"/>
  <c r="U61" i="17"/>
  <c r="P61" i="17"/>
  <c r="E45" i="17"/>
  <c r="H29" i="17"/>
  <c r="O29" i="17"/>
  <c r="U13" i="17"/>
  <c r="X24" i="17"/>
  <c r="N111" i="17"/>
  <c r="T95" i="17"/>
  <c r="K95" i="17"/>
  <c r="S79" i="17"/>
  <c r="C63" i="17"/>
  <c r="S47" i="17"/>
  <c r="T31" i="17"/>
  <c r="S31" i="17"/>
  <c r="X105" i="17"/>
  <c r="S89" i="17"/>
  <c r="M73" i="17"/>
  <c r="H73" i="17"/>
  <c r="J57" i="17"/>
  <c r="O41" i="17"/>
  <c r="F41" i="17"/>
  <c r="N25" i="17"/>
  <c r="O36" i="17"/>
  <c r="F36" i="17"/>
  <c r="D20" i="17"/>
  <c r="R107" i="17"/>
  <c r="Q91" i="17"/>
  <c r="I75" i="17"/>
  <c r="D75" i="17"/>
  <c r="R59" i="17"/>
  <c r="M43" i="17"/>
  <c r="P27" i="17"/>
  <c r="R117" i="17"/>
  <c r="J101" i="17"/>
  <c r="M35" i="17"/>
  <c r="J19" i="17"/>
  <c r="V109" i="17"/>
  <c r="Q93" i="17"/>
  <c r="I77" i="17"/>
  <c r="D77" i="17"/>
  <c r="R61" i="17"/>
  <c r="K45" i="17"/>
  <c r="B45" i="17"/>
  <c r="P29" i="17"/>
  <c r="B13" i="17"/>
  <c r="C13" i="17"/>
  <c r="D24" i="17"/>
  <c r="D111" i="17"/>
  <c r="M95" i="17"/>
  <c r="E79" i="17"/>
  <c r="W79" i="17"/>
  <c r="N63" i="17"/>
  <c r="G47" i="17"/>
  <c r="U47" i="17"/>
  <c r="B31" i="17"/>
  <c r="P105" i="17"/>
  <c r="O89" i="17"/>
  <c r="J89" i="17"/>
  <c r="S73" i="17"/>
  <c r="S57" i="17"/>
  <c r="C41" i="17"/>
  <c r="J41" i="17"/>
  <c r="T25" i="17"/>
  <c r="S36" i="17"/>
  <c r="H20" i="17"/>
  <c r="Q20" i="17"/>
  <c r="T107" i="17"/>
  <c r="U91" i="17"/>
  <c r="M75" i="17"/>
  <c r="H75" i="17"/>
  <c r="V59" i="17"/>
  <c r="O43" i="17"/>
  <c r="L35" i="17"/>
  <c r="L19" i="17"/>
  <c r="K19" i="17"/>
  <c r="W109" i="17"/>
  <c r="N93" i="17"/>
  <c r="F77" i="17"/>
  <c r="X77" i="17"/>
  <c r="O61" i="17"/>
  <c r="H45" i="17"/>
  <c r="V45" i="17"/>
  <c r="G29" i="17"/>
  <c r="T13" i="17"/>
  <c r="L24" i="17"/>
  <c r="G24" i="17"/>
  <c r="X111" i="17"/>
  <c r="C95" i="17"/>
  <c r="R79" i="17"/>
  <c r="I63" i="17"/>
  <c r="D63" i="17"/>
  <c r="T47" i="17"/>
  <c r="F31" i="17"/>
  <c r="Q31" i="17"/>
  <c r="M89" i="17"/>
  <c r="X89" i="17"/>
  <c r="N73" i="17"/>
  <c r="G57" i="17"/>
  <c r="V57" i="17"/>
  <c r="P41" i="17"/>
  <c r="B25" i="17"/>
  <c r="O25" i="17"/>
  <c r="E36" i="17"/>
  <c r="J20" i="17"/>
  <c r="N107" i="17"/>
  <c r="T91" i="17"/>
  <c r="K91" i="17"/>
  <c r="S75" i="17"/>
  <c r="E43" i="17"/>
  <c r="V27" i="17"/>
  <c r="O27" i="17"/>
  <c r="T101" i="17"/>
  <c r="K101" i="17"/>
  <c r="B93" i="17"/>
  <c r="J77" i="17"/>
  <c r="Q61" i="17"/>
  <c r="L61" i="17"/>
  <c r="Q45" i="17"/>
  <c r="X29" i="17"/>
  <c r="E97" i="17"/>
  <c r="I97" i="17"/>
  <c r="P113" i="17"/>
  <c r="F97" i="17"/>
  <c r="U81" i="17"/>
  <c r="P81" i="17"/>
  <c r="G65" i="17"/>
  <c r="W49" i="17"/>
  <c r="N49" i="17"/>
  <c r="E33" i="17"/>
  <c r="P17" i="17"/>
  <c r="H28" i="17"/>
  <c r="O28" i="17"/>
  <c r="D99" i="17"/>
  <c r="R99" i="17"/>
  <c r="K83" i="17"/>
  <c r="J67" i="17"/>
  <c r="C51" i="17"/>
  <c r="J51" i="17"/>
  <c r="N35" i="17"/>
  <c r="X113" i="17"/>
  <c r="C97" i="17"/>
  <c r="R81" i="17"/>
  <c r="I65" i="17"/>
  <c r="D65" i="17"/>
  <c r="T49" i="17"/>
  <c r="K33" i="17"/>
  <c r="B33" i="17"/>
  <c r="X17" i="17"/>
  <c r="X28" i="17"/>
  <c r="C28" i="17"/>
  <c r="P115" i="17"/>
  <c r="F99" i="17"/>
  <c r="G83" i="17"/>
  <c r="N83" i="17"/>
  <c r="G67" i="17"/>
  <c r="W51" i="17"/>
  <c r="N51" i="17"/>
  <c r="T113" i="17"/>
  <c r="F81" i="17"/>
  <c r="X81" i="17"/>
  <c r="O65" i="17"/>
  <c r="H49" i="17"/>
  <c r="V49" i="17"/>
  <c r="M33" i="17"/>
  <c r="B17" i="17"/>
  <c r="W17" i="17"/>
  <c r="L28" i="17"/>
  <c r="L115" i="17"/>
  <c r="J99" i="17"/>
  <c r="O83" i="17"/>
  <c r="R83" i="17"/>
  <c r="K67" i="17"/>
  <c r="D51" i="17"/>
  <c r="R51" i="17"/>
  <c r="N97" i="17"/>
  <c r="B97" i="17"/>
  <c r="C81" i="17"/>
  <c r="J65" i="17"/>
  <c r="C49" i="17"/>
  <c r="J49" i="17"/>
  <c r="Q33" i="17"/>
  <c r="M17" i="17"/>
  <c r="R28" i="17"/>
  <c r="Q28" i="17"/>
  <c r="T115" i="17"/>
  <c r="U99" i="17"/>
  <c r="U83" i="17"/>
  <c r="X83" i="17"/>
  <c r="V67" i="17"/>
  <c r="O51" i="17"/>
  <c r="F51" i="17"/>
  <c r="V19" i="17"/>
  <c r="O19" i="17"/>
  <c r="D35" i="17"/>
  <c r="R35" i="17"/>
  <c r="D19" i="17"/>
  <c r="D109" i="17"/>
  <c r="M93" i="17"/>
  <c r="E77" i="17"/>
  <c r="W77" i="17"/>
  <c r="N61" i="17"/>
  <c r="G45" i="17"/>
  <c r="U45" i="17"/>
  <c r="E29" i="17"/>
  <c r="E13" i="17"/>
  <c r="O13" i="17"/>
  <c r="Q24" i="17"/>
  <c r="V111" i="17"/>
  <c r="I95" i="17"/>
  <c r="Q79" i="17"/>
  <c r="L79" i="17"/>
  <c r="S63" i="17"/>
  <c r="L47" i="17"/>
  <c r="P31" i="17"/>
  <c r="I31" i="17"/>
  <c r="W105" i="17"/>
  <c r="P89" i="17"/>
  <c r="F73" i="17"/>
  <c r="X73" i="17"/>
  <c r="K57" i="17"/>
  <c r="H41" i="17"/>
  <c r="V41" i="17"/>
  <c r="L25" i="17"/>
  <c r="H36" i="17"/>
  <c r="V36" i="17"/>
  <c r="L20" i="17"/>
  <c r="L107" i="17"/>
  <c r="J91" i="17"/>
  <c r="B75" i="17"/>
  <c r="T75" i="17"/>
  <c r="K59" i="17"/>
  <c r="F43" i="17"/>
  <c r="I27" i="17"/>
  <c r="V117" i="17"/>
  <c r="C101" i="17"/>
  <c r="F35" i="17"/>
  <c r="I19" i="17"/>
  <c r="L109" i="17"/>
  <c r="J93" i="17"/>
  <c r="B77" i="17"/>
  <c r="T77" i="17"/>
  <c r="K61" i="17"/>
  <c r="D45" i="17"/>
  <c r="R45" i="17"/>
  <c r="D29" i="17"/>
  <c r="R13" i="17"/>
  <c r="S13" i="17"/>
  <c r="C24" i="17"/>
  <c r="P111" i="17"/>
  <c r="F95" i="17"/>
  <c r="U79" i="17"/>
  <c r="P79" i="17"/>
  <c r="G63" i="17"/>
  <c r="W47" i="17"/>
  <c r="N47" i="17"/>
  <c r="G31" i="17"/>
  <c r="V105" i="17"/>
  <c r="Q89" i="17"/>
  <c r="Q73" i="17"/>
  <c r="L73" i="17"/>
  <c r="O57" i="17"/>
  <c r="S41" i="17"/>
  <c r="M25" i="17"/>
  <c r="Q25" i="17"/>
  <c r="L36" i="17"/>
  <c r="E20" i="17"/>
  <c r="K20" i="17"/>
  <c r="W107" i="17"/>
  <c r="N91" i="17"/>
  <c r="F75" i="17"/>
  <c r="X75" i="17"/>
  <c r="O59" i="17"/>
  <c r="H43" i="17"/>
  <c r="Q35" i="17"/>
  <c r="M19" i="17"/>
  <c r="B109" i="17"/>
  <c r="P93" i="17"/>
  <c r="G93" i="17"/>
  <c r="V77" i="17"/>
  <c r="M61" i="17"/>
  <c r="H61" i="17"/>
  <c r="X45" i="17"/>
  <c r="Q29" i="17"/>
  <c r="W29" i="17"/>
  <c r="M13" i="17"/>
  <c r="M24" i="17"/>
  <c r="W24" i="17"/>
  <c r="W97" i="17"/>
  <c r="R97" i="17"/>
  <c r="H97" i="17"/>
  <c r="V97" i="17"/>
  <c r="N81" i="17"/>
  <c r="E65" i="17"/>
  <c r="W65" i="17"/>
  <c r="P49" i="17"/>
  <c r="G33" i="17"/>
  <c r="U33" i="17"/>
  <c r="R17" i="17"/>
  <c r="E28" i="17"/>
  <c r="N115" i="17"/>
  <c r="T99" i="17"/>
  <c r="K99" i="17"/>
  <c r="L83" i="17"/>
  <c r="C67" i="17"/>
  <c r="S51" i="17"/>
  <c r="C35" i="17"/>
  <c r="E19" i="17"/>
  <c r="L97" i="17"/>
  <c r="S97" i="17"/>
  <c r="K81" i="17"/>
  <c r="B65" i="17"/>
  <c r="T65" i="17"/>
  <c r="I49" i="17"/>
  <c r="D33" i="17"/>
  <c r="R33" i="17"/>
  <c r="F17" i="17"/>
  <c r="J28" i="17"/>
  <c r="S28" i="17"/>
  <c r="H99" i="17"/>
  <c r="V99" i="17"/>
  <c r="I83" i="17"/>
  <c r="E67" i="17"/>
  <c r="W67" i="17"/>
  <c r="P51" i="17"/>
  <c r="G35" i="17"/>
  <c r="U97" i="17"/>
  <c r="V81" i="17"/>
  <c r="M65" i="17"/>
  <c r="H65" i="17"/>
  <c r="X49" i="17"/>
  <c r="O33" i="17"/>
  <c r="F33" i="17"/>
  <c r="I17" i="17"/>
  <c r="I28" i="17"/>
  <c r="G28" i="17"/>
  <c r="X115" i="17"/>
  <c r="C99" i="17"/>
  <c r="Q83" i="17"/>
  <c r="I67" i="17"/>
  <c r="D67" i="17"/>
  <c r="T51" i="17"/>
  <c r="K35" i="17"/>
  <c r="R113" i="17"/>
  <c r="K97" i="17"/>
  <c r="S81" i="17"/>
  <c r="C65" i="17"/>
  <c r="S49" i="17"/>
  <c r="C33" i="17"/>
  <c r="J33" i="17"/>
  <c r="T17" i="17"/>
  <c r="T28" i="17"/>
  <c r="K28" i="17"/>
  <c r="W115" i="17"/>
  <c r="N99" i="17"/>
  <c r="W83" i="17"/>
  <c r="V83" i="17"/>
  <c r="O67" i="17"/>
  <c r="H51" i="17"/>
  <c r="V51" i="17"/>
  <c r="R19" i="17"/>
  <c r="R109" i="17"/>
  <c r="T35" i="17"/>
  <c r="U19" i="17"/>
  <c r="C19" i="17"/>
  <c r="P109" i="17"/>
  <c r="F93" i="17"/>
  <c r="U77" i="17"/>
  <c r="P77" i="17"/>
  <c r="G61" i="17"/>
  <c r="W45" i="17"/>
  <c r="N45" i="17"/>
  <c r="V29" i="17"/>
  <c r="N13" i="17"/>
  <c r="J24" i="17"/>
  <c r="T24" i="17"/>
  <c r="H111" i="17"/>
  <c r="B95" i="17"/>
  <c r="J79" i="17"/>
  <c r="Q63" i="17"/>
  <c r="L63" i="17"/>
  <c r="Q47" i="17"/>
  <c r="V31" i="17"/>
  <c r="F105" i="17"/>
  <c r="G89" i="17"/>
  <c r="F89" i="17"/>
  <c r="V73" i="17"/>
  <c r="R57" i="17"/>
  <c r="E57" i="17"/>
  <c r="X41" i="17"/>
  <c r="E25" i="17"/>
  <c r="G25" i="17"/>
  <c r="X36" i="17"/>
  <c r="T20" i="17"/>
  <c r="G20" i="17"/>
  <c r="X107" i="17"/>
  <c r="C91" i="17"/>
  <c r="R75" i="17"/>
  <c r="I59" i="17"/>
  <c r="D59" i="17"/>
  <c r="V43" i="17"/>
  <c r="G27" i="17"/>
  <c r="L101" i="17"/>
  <c r="S101" i="17"/>
  <c r="V35" i="17"/>
  <c r="G19" i="17"/>
  <c r="X109" i="17"/>
  <c r="C93" i="17"/>
  <c r="R77" i="17"/>
  <c r="I61" i="17"/>
  <c r="D61" i="17"/>
  <c r="T45" i="17"/>
  <c r="F29" i="17"/>
  <c r="C29" i="17"/>
  <c r="P13" i="17"/>
  <c r="H24" i="17"/>
  <c r="S24" i="17"/>
  <c r="H95" i="17"/>
  <c r="V95" i="17"/>
  <c r="N79" i="17"/>
  <c r="E63" i="17"/>
  <c r="W63" i="17"/>
  <c r="P47" i="17"/>
  <c r="L31" i="17"/>
  <c r="W31" i="17"/>
  <c r="D105" i="17"/>
  <c r="D89" i="17"/>
  <c r="J73" i="17"/>
  <c r="B57" i="17"/>
  <c r="P57" i="17"/>
  <c r="L41" i="17"/>
  <c r="J25" i="17"/>
  <c r="K25" i="17"/>
  <c r="Q36" i="17"/>
  <c r="B20" i="17"/>
  <c r="J107" i="17"/>
  <c r="P91" i="17"/>
  <c r="G91" i="17"/>
  <c r="V75" i="17"/>
  <c r="M59" i="17"/>
  <c r="H59" i="17"/>
  <c r="X43" i="17"/>
  <c r="J35" i="17"/>
  <c r="F19" i="17"/>
  <c r="J109" i="17"/>
  <c r="E93" i="17"/>
  <c r="W93" i="17"/>
  <c r="O77" i="17"/>
  <c r="F61" i="17"/>
  <c r="X61" i="17"/>
  <c r="M45" i="17"/>
  <c r="R29" i="17"/>
  <c r="F13" i="17"/>
  <c r="G13" i="17"/>
  <c r="U24" i="17"/>
  <c r="R111" i="17"/>
  <c r="Q95" i="17"/>
  <c r="I79" i="17"/>
  <c r="D79" i="17"/>
  <c r="R63" i="17"/>
  <c r="K47" i="17"/>
  <c r="B47" i="17"/>
  <c r="J31" i="17"/>
  <c r="B105" i="17"/>
  <c r="C89" i="17"/>
  <c r="E73" i="17"/>
  <c r="W73" i="17"/>
  <c r="X57" i="17"/>
  <c r="G41" i="17"/>
  <c r="U41" i="17"/>
  <c r="D25" i="17"/>
  <c r="W36" i="17"/>
  <c r="N36" i="17"/>
  <c r="V20" i="17"/>
  <c r="H107" i="17"/>
  <c r="B91" i="17"/>
  <c r="J75" i="17"/>
  <c r="Q59" i="17"/>
  <c r="N43" i="17"/>
  <c r="Q27" i="17"/>
  <c r="N117" i="17"/>
  <c r="B101" i="17"/>
  <c r="T93" i="17"/>
  <c r="K93" i="17"/>
  <c r="S77" i="17"/>
  <c r="C61" i="17"/>
  <c r="S45" i="17"/>
  <c r="J29" i="17"/>
  <c r="N29" i="17"/>
  <c r="D13" i="17"/>
  <c r="P24" i="17"/>
  <c r="N24" i="17"/>
  <c r="T111" i="17"/>
  <c r="U95" i="17"/>
  <c r="M79" i="17"/>
  <c r="H79" i="17"/>
  <c r="V63" i="17"/>
  <c r="O47" i="17"/>
  <c r="F47" i="17"/>
  <c r="R31" i="17"/>
  <c r="R105" i="17"/>
  <c r="K89" i="17"/>
  <c r="I73" i="17"/>
  <c r="D73" i="17"/>
  <c r="D57" i="17"/>
  <c r="D41" i="17"/>
  <c r="R41" i="17"/>
  <c r="F25" i="17"/>
  <c r="D36" i="17"/>
  <c r="R36" i="17"/>
  <c r="F20" i="17"/>
  <c r="D107" i="17"/>
  <c r="M91" i="17"/>
  <c r="E75" i="17"/>
  <c r="L95" i="17"/>
  <c r="T79" i="17"/>
  <c r="D47" i="17"/>
  <c r="K31" i="17"/>
  <c r="H89" i="17"/>
  <c r="P73" i="17"/>
  <c r="W41" i="17"/>
  <c r="V25" i="17"/>
  <c r="R20" i="17"/>
  <c r="D91" i="17"/>
  <c r="C75" i="17"/>
  <c r="U27" i="17"/>
  <c r="D101" i="17"/>
  <c r="I93" i="17"/>
  <c r="L77" i="17"/>
  <c r="L45" i="17"/>
  <c r="K29" i="17"/>
  <c r="Q13" i="17"/>
  <c r="F24" i="17"/>
  <c r="W111" i="17"/>
  <c r="G95" i="17"/>
  <c r="O79" i="17"/>
  <c r="O63" i="17"/>
  <c r="X47" i="17"/>
  <c r="N31" i="17"/>
  <c r="N105" i="17"/>
  <c r="B89" i="17"/>
  <c r="K73" i="17"/>
  <c r="F57" i="17"/>
  <c r="I41" i="17"/>
  <c r="I25" i="17"/>
  <c r="T36" i="17"/>
  <c r="P20" i="17"/>
  <c r="B107" i="17"/>
  <c r="F91" i="17"/>
  <c r="N75" i="17"/>
  <c r="E59" i="17"/>
  <c r="W59" i="17"/>
  <c r="P43" i="17"/>
  <c r="C43" i="17"/>
  <c r="J43" i="17"/>
  <c r="F27" i="17"/>
  <c r="D117" i="17"/>
  <c r="U101" i="17"/>
  <c r="G85" i="17"/>
  <c r="F85" i="17"/>
  <c r="V69" i="17"/>
  <c r="O53" i="17"/>
  <c r="F53" i="17"/>
  <c r="X37" i="17"/>
  <c r="L21" i="17"/>
  <c r="W21" i="17"/>
  <c r="E32" i="17"/>
  <c r="M16" i="17"/>
  <c r="P103" i="17"/>
  <c r="G103" i="17"/>
  <c r="S87" i="17"/>
  <c r="M71" i="17"/>
  <c r="H71" i="17"/>
  <c r="R55" i="17"/>
  <c r="O39" i="17"/>
  <c r="F39" i="17"/>
  <c r="I23" i="17"/>
  <c r="F86" i="17"/>
  <c r="S86" i="17"/>
  <c r="C54" i="17"/>
  <c r="S106" i="17"/>
  <c r="M74" i="17"/>
  <c r="H74" i="17"/>
  <c r="R42" i="17"/>
  <c r="K110" i="17"/>
  <c r="C78" i="17"/>
  <c r="N46" i="17"/>
  <c r="H98" i="17"/>
  <c r="S98" i="17"/>
  <c r="G70" i="17"/>
  <c r="N38" i="17"/>
  <c r="I62" i="17"/>
  <c r="D62" i="17"/>
  <c r="E85" i="17"/>
  <c r="T85" i="17"/>
  <c r="C69" i="17"/>
  <c r="S53" i="17"/>
  <c r="C37" i="17"/>
  <c r="J37" i="17"/>
  <c r="F21" i="17"/>
  <c r="G32" i="17"/>
  <c r="J32" i="17"/>
  <c r="L16" i="17"/>
  <c r="T103" i="17"/>
  <c r="K103" i="17"/>
  <c r="D87" i="17"/>
  <c r="J71" i="17"/>
  <c r="D55" i="17"/>
  <c r="S55" i="17"/>
  <c r="L39" i="17"/>
  <c r="N23" i="17"/>
  <c r="S95" i="17"/>
  <c r="B63" i="17"/>
  <c r="I47" i="17"/>
  <c r="H105" i="17"/>
  <c r="N89" i="17"/>
  <c r="C57" i="17"/>
  <c r="E41" i="17"/>
  <c r="G36" i="17"/>
  <c r="M20" i="17"/>
  <c r="I91" i="17"/>
  <c r="L75" i="17"/>
  <c r="R27" i="17"/>
  <c r="I101" i="17"/>
  <c r="R93" i="17"/>
  <c r="J61" i="17"/>
  <c r="J45" i="17"/>
  <c r="H13" i="17"/>
  <c r="K13" i="17"/>
  <c r="K24" i="17"/>
  <c r="P95" i="17"/>
  <c r="W95" i="17"/>
  <c r="X79" i="17"/>
  <c r="H63" i="17"/>
  <c r="M47" i="17"/>
  <c r="O31" i="17"/>
  <c r="T105" i="17"/>
  <c r="R89" i="17"/>
  <c r="T73" i="17"/>
  <c r="Q57" i="17"/>
  <c r="B41" i="17"/>
  <c r="C25" i="17"/>
  <c r="I36" i="17"/>
  <c r="X20" i="17"/>
  <c r="P107" i="17"/>
  <c r="V91" i="17"/>
  <c r="G75" i="17"/>
  <c r="U59" i="17"/>
  <c r="P59" i="17"/>
  <c r="C59" i="17"/>
  <c r="S43" i="17"/>
  <c r="E27" i="17"/>
  <c r="N27" i="17"/>
  <c r="X117" i="17"/>
  <c r="N101" i="17"/>
  <c r="I85" i="17"/>
  <c r="V85" i="17"/>
  <c r="O69" i="17"/>
  <c r="H53" i="17"/>
  <c r="V53" i="17"/>
  <c r="M37" i="17"/>
  <c r="M21" i="17"/>
  <c r="C32" i="17"/>
  <c r="U32" i="17"/>
  <c r="I16" i="17"/>
  <c r="E103" i="17"/>
  <c r="W103" i="17"/>
  <c r="P87" i="17"/>
  <c r="F71" i="17"/>
  <c r="X71" i="17"/>
  <c r="N55" i="17"/>
  <c r="H39" i="17"/>
  <c r="V39" i="17"/>
  <c r="L23" i="17"/>
  <c r="P86" i="17"/>
  <c r="I86" i="17"/>
  <c r="S54" i="17"/>
  <c r="W106" i="17"/>
  <c r="F74" i="17"/>
  <c r="X74" i="17"/>
  <c r="M42" i="17"/>
  <c r="U110" i="17"/>
  <c r="S78" i="17"/>
  <c r="X46" i="17"/>
  <c r="J98" i="17"/>
  <c r="E70" i="17"/>
  <c r="W70" i="17"/>
  <c r="P38" i="17"/>
  <c r="B62" i="17"/>
  <c r="T62" i="17"/>
  <c r="O85" i="17"/>
  <c r="J85" i="17"/>
  <c r="S69" i="17"/>
  <c r="L53" i="17"/>
  <c r="S37" i="17"/>
  <c r="J21" i="17"/>
  <c r="N21" i="17"/>
  <c r="W32" i="17"/>
  <c r="J16" i="17"/>
  <c r="N16" i="17"/>
  <c r="I103" i="17"/>
  <c r="E87" i="17"/>
  <c r="T87" i="17"/>
  <c r="C71" i="17"/>
  <c r="F55" i="17"/>
  <c r="I55" i="17"/>
  <c r="Q39" i="17"/>
  <c r="U23" i="17"/>
  <c r="H12" i="17"/>
  <c r="G86" i="17"/>
  <c r="U54" i="17"/>
  <c r="P54" i="17"/>
  <c r="E106" i="17"/>
  <c r="S74" i="17"/>
  <c r="X42" i="17"/>
  <c r="S110" i="17"/>
  <c r="N78" i="17"/>
  <c r="L46" i="17"/>
  <c r="U46" i="17"/>
  <c r="F98" i="17"/>
  <c r="U30" i="17"/>
  <c r="E58" i="17"/>
  <c r="W58" i="17"/>
  <c r="P94" i="17"/>
  <c r="W94" i="17"/>
  <c r="I43" i="17"/>
  <c r="B27" i="17"/>
  <c r="S27" i="17"/>
  <c r="X101" i="17"/>
  <c r="O101" i="17"/>
  <c r="H85" i="17"/>
  <c r="U69" i="17"/>
  <c r="P69" i="17"/>
  <c r="E53" i="17"/>
  <c r="W37" i="17"/>
  <c r="N37" i="17"/>
  <c r="Q21" i="17"/>
  <c r="K32" i="17"/>
  <c r="N32" i="17"/>
  <c r="V16" i="17"/>
  <c r="X103" i="17"/>
  <c r="O103" i="17"/>
  <c r="H87" i="17"/>
  <c r="U71" i="17"/>
  <c r="P71" i="17"/>
  <c r="C55" i="17"/>
  <c r="W39" i="17"/>
  <c r="N39" i="17"/>
  <c r="V23" i="17"/>
  <c r="B86" i="17"/>
  <c r="I54" i="17"/>
  <c r="D54" i="17"/>
  <c r="I106" i="17"/>
  <c r="N74" i="17"/>
  <c r="L42" i="17"/>
  <c r="U42" i="17"/>
  <c r="O110" i="17"/>
  <c r="K78" i="17"/>
  <c r="H46" i="17"/>
  <c r="S46" i="17"/>
  <c r="F66" i="17"/>
  <c r="X66" i="17"/>
  <c r="R30" i="17"/>
  <c r="P102" i="17"/>
  <c r="W102" i="17"/>
  <c r="L85" i="17"/>
  <c r="B69" i="17"/>
  <c r="T69" i="17"/>
  <c r="I53" i="17"/>
  <c r="D37" i="17"/>
  <c r="R37" i="17"/>
  <c r="D21" i="17"/>
  <c r="O32" i="17"/>
  <c r="U16" i="17"/>
  <c r="C16" i="17"/>
  <c r="J103" i="17"/>
  <c r="K87" i="17"/>
  <c r="I71" i="17"/>
  <c r="D71" i="17"/>
  <c r="L55" i="17"/>
  <c r="D39" i="17"/>
  <c r="R39" i="17"/>
  <c r="F23" i="17"/>
  <c r="H86" i="17"/>
  <c r="E86" i="17"/>
  <c r="V54" i="17"/>
  <c r="M106" i="17"/>
  <c r="I74" i="17"/>
  <c r="D74" i="17"/>
  <c r="J42" i="17"/>
  <c r="C110" i="17"/>
  <c r="F78" i="17"/>
  <c r="X78" i="17"/>
  <c r="M46" i="17"/>
  <c r="L98" i="17"/>
  <c r="Q66" i="17"/>
  <c r="L66" i="17"/>
  <c r="O38" i="17"/>
  <c r="G90" i="17"/>
  <c r="N98" i="17"/>
  <c r="B66" i="17"/>
  <c r="T66" i="17"/>
  <c r="C30" i="17"/>
  <c r="B102" i="17"/>
  <c r="E102" i="17"/>
  <c r="V70" i="17"/>
  <c r="B38" i="17"/>
  <c r="U38" i="17"/>
  <c r="R90" i="17"/>
  <c r="M58" i="17"/>
  <c r="H58" i="17"/>
  <c r="B94" i="17"/>
  <c r="E94" i="17"/>
  <c r="N82" i="17"/>
  <c r="H110" i="17"/>
  <c r="W14" i="17"/>
  <c r="W64" i="17"/>
  <c r="D104" i="17"/>
  <c r="W30" i="17"/>
  <c r="T102" i="17"/>
  <c r="Q70" i="17"/>
  <c r="L70" i="17"/>
  <c r="J38" i="17"/>
  <c r="N90" i="17"/>
  <c r="I90" i="17"/>
  <c r="S58" i="17"/>
  <c r="H94" i="17"/>
  <c r="S94" i="17"/>
  <c r="G62" i="17"/>
  <c r="X22" i="17"/>
  <c r="O22" i="17"/>
  <c r="I82" i="17"/>
  <c r="H82" i="17"/>
  <c r="J50" i="17"/>
  <c r="W44" i="17"/>
  <c r="S22" i="17"/>
  <c r="S84" i="17"/>
  <c r="M44" i="17"/>
  <c r="G52" i="17"/>
  <c r="L18" i="17"/>
  <c r="F92" i="17"/>
  <c r="H26" i="17"/>
  <c r="R11" i="17"/>
  <c r="E48" i="17"/>
  <c r="Q96" i="17"/>
  <c r="I116" i="17"/>
  <c r="L116" i="17"/>
  <c r="W116" i="17"/>
  <c r="C117" i="17"/>
  <c r="G96" i="17"/>
  <c r="V114" i="17"/>
  <c r="C116" i="17"/>
  <c r="R72" i="17"/>
  <c r="U115" i="17"/>
  <c r="D114" i="17"/>
  <c r="C109" i="17"/>
  <c r="N66" i="17"/>
  <c r="H30" i="17"/>
  <c r="V30" i="17"/>
  <c r="X102" i="17"/>
  <c r="Q102" i="17"/>
  <c r="K70" i="17"/>
  <c r="V38" i="17"/>
  <c r="T90" i="17"/>
  <c r="Q90" i="17"/>
  <c r="K58" i="17"/>
  <c r="S111" i="17"/>
  <c r="K94" i="17"/>
  <c r="S14" i="17"/>
  <c r="V14" i="17"/>
  <c r="C34" i="17"/>
  <c r="U60" i="17"/>
  <c r="C62" i="17"/>
  <c r="T22" i="17"/>
  <c r="K22" i="17"/>
  <c r="Q82" i="17"/>
  <c r="P82" i="17"/>
  <c r="Q50" i="17"/>
  <c r="I113" i="17"/>
  <c r="I14" i="17"/>
  <c r="N14" i="17"/>
  <c r="F84" i="17"/>
  <c r="E44" i="17"/>
  <c r="Q108" i="17"/>
  <c r="O64" i="17"/>
  <c r="J104" i="17"/>
  <c r="X34" i="17"/>
  <c r="B100" i="17"/>
  <c r="S56" i="17"/>
  <c r="D15" i="17"/>
  <c r="N40" i="17"/>
  <c r="V80" i="17"/>
  <c r="U82" i="17"/>
  <c r="E50" i="17"/>
  <c r="F106" i="17"/>
  <c r="Q14" i="17"/>
  <c r="R14" i="17"/>
  <c r="D84" i="17"/>
  <c r="F44" i="17"/>
  <c r="E64" i="17"/>
  <c r="L64" i="17"/>
  <c r="H104" i="17"/>
  <c r="T34" i="17"/>
  <c r="E60" i="17"/>
  <c r="T60" i="17"/>
  <c r="I76" i="17"/>
  <c r="X76" i="17"/>
  <c r="D88" i="17"/>
  <c r="S15" i="17"/>
  <c r="O113" i="17"/>
  <c r="Q112" i="17"/>
  <c r="V62" i="17"/>
  <c r="P22" i="17"/>
  <c r="G22" i="17"/>
  <c r="S114" i="17"/>
  <c r="O82" i="17"/>
  <c r="P50" i="17"/>
  <c r="W50" i="17"/>
  <c r="I115" i="17"/>
  <c r="T14" i="17"/>
  <c r="Q84" i="17"/>
  <c r="J44" i="17"/>
  <c r="N44" i="17"/>
  <c r="G40" i="17"/>
  <c r="Q68" i="17"/>
  <c r="D68" i="17"/>
  <c r="F60" i="17"/>
  <c r="X60" i="17"/>
  <c r="B79" i="17"/>
  <c r="K63" i="17"/>
  <c r="R47" i="17"/>
  <c r="L105" i="17"/>
  <c r="U73" i="17"/>
  <c r="T57" i="17"/>
  <c r="N41" i="17"/>
  <c r="P36" i="17"/>
  <c r="O20" i="17"/>
  <c r="R91" i="17"/>
  <c r="J59" i="17"/>
  <c r="T27" i="17"/>
  <c r="R101" i="17"/>
  <c r="Q77" i="17"/>
  <c r="S61" i="17"/>
  <c r="B29" i="17"/>
  <c r="J13" i="17"/>
  <c r="V24" i="17"/>
  <c r="J111" i="17"/>
  <c r="E95" i="17"/>
  <c r="F79" i="17"/>
  <c r="M63" i="17"/>
  <c r="X63" i="17"/>
  <c r="V47" i="17"/>
  <c r="E31" i="17"/>
  <c r="U89" i="17"/>
  <c r="B73" i="17"/>
  <c r="L57" i="17"/>
  <c r="K41" i="17"/>
  <c r="R25" i="17"/>
  <c r="S25" i="17"/>
  <c r="B36" i="17"/>
  <c r="C20" i="17"/>
  <c r="H91" i="17"/>
  <c r="O91" i="17"/>
  <c r="W75" i="17"/>
  <c r="N59" i="17"/>
  <c r="G43" i="17"/>
  <c r="S59" i="17"/>
  <c r="L43" i="17"/>
  <c r="L27" i="17"/>
  <c r="K27" i="17"/>
  <c r="P101" i="17"/>
  <c r="G101" i="17"/>
  <c r="S85" i="17"/>
  <c r="M69" i="17"/>
  <c r="H69" i="17"/>
  <c r="X53" i="17"/>
  <c r="O37" i="17"/>
  <c r="F37" i="17"/>
  <c r="I21" i="17"/>
  <c r="S32" i="17"/>
  <c r="V32" i="17"/>
  <c r="G16" i="17"/>
  <c r="U103" i="17"/>
  <c r="G87" i="17"/>
  <c r="F87" i="17"/>
  <c r="V71" i="17"/>
  <c r="T55" i="17"/>
  <c r="E55" i="17"/>
  <c r="X39" i="17"/>
  <c r="D23" i="17"/>
  <c r="G23" i="17"/>
  <c r="R86" i="17"/>
  <c r="Q54" i="17"/>
  <c r="L54" i="17"/>
  <c r="T106" i="17"/>
  <c r="V74" i="17"/>
  <c r="F42" i="17"/>
  <c r="G42" i="17"/>
  <c r="Q78" i="17"/>
  <c r="L78" i="17"/>
  <c r="Q46" i="17"/>
  <c r="T98" i="17"/>
  <c r="U70" i="17"/>
  <c r="P70" i="17"/>
  <c r="R38" i="17"/>
  <c r="R62" i="17"/>
  <c r="L22" i="17"/>
  <c r="Q85" i="17"/>
  <c r="Q69" i="17"/>
  <c r="L69" i="17"/>
  <c r="Q53" i="17"/>
  <c r="L37" i="17"/>
  <c r="V21" i="17"/>
  <c r="K21" i="17"/>
  <c r="T32" i="17"/>
  <c r="Q16" i="17"/>
  <c r="K16" i="17"/>
  <c r="B103" i="17"/>
  <c r="O87" i="17"/>
  <c r="J87" i="17"/>
  <c r="S71" i="17"/>
  <c r="B55" i="17"/>
  <c r="C39" i="17"/>
  <c r="J39" i="17"/>
  <c r="K79" i="17"/>
  <c r="T63" i="17"/>
  <c r="D31" i="17"/>
  <c r="W89" i="17"/>
  <c r="G73" i="17"/>
  <c r="M57" i="17"/>
  <c r="P25" i="17"/>
  <c r="U36" i="17"/>
  <c r="V107" i="17"/>
  <c r="Q75" i="17"/>
  <c r="U43" i="17"/>
  <c r="F117" i="17"/>
  <c r="D93" i="17"/>
  <c r="C77" i="17"/>
  <c r="C45" i="17"/>
  <c r="L29" i="17"/>
  <c r="X13" i="17"/>
  <c r="R24" i="17"/>
  <c r="F111" i="17"/>
  <c r="N95" i="17"/>
  <c r="V79" i="17"/>
  <c r="F63" i="17"/>
  <c r="H47" i="17"/>
  <c r="H31" i="17"/>
  <c r="U31" i="17"/>
  <c r="L89" i="17"/>
  <c r="R73" i="17"/>
  <c r="H57" i="17"/>
  <c r="T41" i="17"/>
  <c r="U25" i="17"/>
  <c r="K36" i="17"/>
  <c r="I20" i="17"/>
  <c r="S20" i="17"/>
  <c r="X91" i="17"/>
  <c r="U75" i="17"/>
  <c r="P75" i="17"/>
  <c r="G59" i="17"/>
  <c r="W43" i="17"/>
  <c r="L59" i="17"/>
  <c r="Q43" i="17"/>
  <c r="M27" i="17"/>
  <c r="B117" i="17"/>
  <c r="E101" i="17"/>
  <c r="W101" i="17"/>
  <c r="P85" i="17"/>
  <c r="F69" i="17"/>
  <c r="X69" i="17"/>
  <c r="M53" i="17"/>
  <c r="H37" i="17"/>
  <c r="V37" i="17"/>
  <c r="G21" i="17"/>
  <c r="P32" i="17"/>
  <c r="F16" i="17"/>
  <c r="W16" i="17"/>
  <c r="N103" i="17"/>
  <c r="I87" i="17"/>
  <c r="V87" i="17"/>
  <c r="O71" i="17"/>
  <c r="V55" i="17"/>
  <c r="U55" i="17"/>
  <c r="M39" i="17"/>
  <c r="P23" i="17"/>
  <c r="W23" i="17"/>
  <c r="C86" i="17"/>
  <c r="J54" i="17"/>
  <c r="C106" i="17"/>
  <c r="U106" i="17"/>
  <c r="O74" i="17"/>
  <c r="P42" i="17"/>
  <c r="W42" i="17"/>
  <c r="J78" i="17"/>
  <c r="D46" i="17"/>
  <c r="K46" i="17"/>
  <c r="C98" i="17"/>
  <c r="N70" i="17"/>
  <c r="L38" i="17"/>
  <c r="M94" i="17"/>
  <c r="K62" i="17"/>
  <c r="Q22" i="17"/>
  <c r="D85" i="17"/>
  <c r="J69" i="17"/>
  <c r="C53" i="17"/>
  <c r="J53" i="17"/>
  <c r="Q37" i="17"/>
  <c r="R21" i="17"/>
  <c r="F32" i="17"/>
  <c r="I32" i="17"/>
  <c r="R16" i="17"/>
  <c r="D103" i="17"/>
  <c r="R103" i="17"/>
  <c r="Q87" i="17"/>
  <c r="Q71" i="17"/>
  <c r="L71" i="17"/>
  <c r="W55" i="17"/>
  <c r="S39" i="17"/>
  <c r="M23" i="17"/>
  <c r="Q23" i="17"/>
  <c r="X86" i="17"/>
  <c r="M86" i="17"/>
  <c r="G54" i="17"/>
  <c r="G106" i="17"/>
  <c r="J74" i="17"/>
  <c r="D42" i="17"/>
  <c r="K42" i="17"/>
  <c r="E78" i="17"/>
  <c r="W78" i="17"/>
  <c r="B46" i="17"/>
  <c r="P98" i="17"/>
  <c r="W98" i="17"/>
  <c r="G30" i="17"/>
  <c r="N58" i="17"/>
  <c r="R110" i="17"/>
  <c r="F94" i="17"/>
  <c r="D43" i="17"/>
  <c r="R43" i="17"/>
  <c r="D27" i="17"/>
  <c r="H117" i="17"/>
  <c r="F101" i="17"/>
  <c r="W85" i="17"/>
  <c r="N85" i="17"/>
  <c r="G69" i="17"/>
  <c r="W53" i="17"/>
  <c r="N53" i="17"/>
  <c r="E37" i="17"/>
  <c r="B21" i="17"/>
  <c r="O21" i="17"/>
  <c r="X32" i="17"/>
  <c r="B16" i="17"/>
  <c r="O16" i="17"/>
  <c r="F103" i="17"/>
  <c r="W87" i="17"/>
  <c r="N87" i="17"/>
  <c r="G71" i="17"/>
  <c r="K55" i="17"/>
  <c r="M55" i="17"/>
  <c r="E39" i="17"/>
  <c r="E23" i="17"/>
  <c r="I12" i="17"/>
  <c r="K86" i="17"/>
  <c r="R54" i="17"/>
  <c r="H106" i="17"/>
  <c r="E74" i="17"/>
  <c r="W74" i="17"/>
  <c r="B42" i="17"/>
  <c r="Q110" i="17"/>
  <c r="B78" i="17"/>
  <c r="T78" i="17"/>
  <c r="I46" i="17"/>
  <c r="U98" i="17"/>
  <c r="O66" i="17"/>
  <c r="I30" i="17"/>
  <c r="T11" i="17"/>
  <c r="F102" i="17"/>
  <c r="U85" i="17"/>
  <c r="R85" i="17"/>
  <c r="K69" i="17"/>
  <c r="D53" i="17"/>
  <c r="R53" i="17"/>
  <c r="I37" i="17"/>
  <c r="H21" i="17"/>
  <c r="S21" i="17"/>
  <c r="Q32" i="17"/>
  <c r="P16" i="17"/>
  <c r="L103" i="17"/>
  <c r="S103" i="17"/>
  <c r="B87" i="17"/>
  <c r="R71" i="17"/>
  <c r="O55" i="17"/>
  <c r="Q55" i="17"/>
  <c r="I39" i="17"/>
  <c r="J23" i="17"/>
  <c r="S23" i="17"/>
  <c r="T86" i="17"/>
  <c r="M54" i="17"/>
  <c r="H54" i="17"/>
  <c r="O106" i="17"/>
  <c r="R74" i="17"/>
  <c r="T42" i="17"/>
  <c r="C42" i="17"/>
  <c r="W110" i="17"/>
  <c r="O78" i="17"/>
  <c r="P46" i="17"/>
  <c r="W46" i="17"/>
  <c r="O98" i="17"/>
  <c r="C66" i="17"/>
  <c r="T30" i="17"/>
  <c r="V90" i="17"/>
  <c r="X98" i="17"/>
  <c r="Q98" i="17"/>
  <c r="K66" i="17"/>
  <c r="Q30" i="17"/>
  <c r="X11" i="17"/>
  <c r="V102" i="17"/>
  <c r="M70" i="17"/>
  <c r="H70" i="17"/>
  <c r="D38" i="17"/>
  <c r="F90" i="17"/>
  <c r="E90" i="17"/>
  <c r="V58" i="17"/>
  <c r="U109" i="17"/>
  <c r="V94" i="17"/>
  <c r="E82" i="17"/>
  <c r="C50" i="17"/>
  <c r="G111" i="17"/>
  <c r="B64" i="17"/>
  <c r="V15" i="17"/>
  <c r="H34" i="17"/>
  <c r="H102" i="17"/>
  <c r="S102" i="17"/>
  <c r="C70" i="17"/>
  <c r="G38" i="17"/>
  <c r="K38" i="17"/>
  <c r="C90" i="17"/>
  <c r="J58" i="17"/>
  <c r="F10" i="17"/>
  <c r="T94" i="17"/>
  <c r="U62" i="17"/>
  <c r="P62" i="17"/>
  <c r="F22" i="17"/>
  <c r="W114" i="17"/>
  <c r="R82" i="17"/>
  <c r="T50" i="17"/>
  <c r="I44" i="17"/>
  <c r="J22" i="17"/>
  <c r="K114" i="17"/>
  <c r="H84" i="17"/>
  <c r="L52" i="17"/>
  <c r="F76" i="17"/>
  <c r="R18" i="17"/>
  <c r="K26" i="17"/>
  <c r="R26" i="17"/>
  <c r="W96" i="17"/>
  <c r="H100" i="17"/>
  <c r="C96" i="17"/>
  <c r="A115" i="17"/>
  <c r="A108" i="17"/>
  <c r="A109" i="17"/>
  <c r="J106" i="17"/>
  <c r="R12" i="17"/>
  <c r="K72" i="17"/>
  <c r="X114" i="17"/>
  <c r="O72" i="17"/>
  <c r="C104" i="17"/>
  <c r="S92" i="17"/>
  <c r="E66" i="17"/>
  <c r="W66" i="17"/>
  <c r="M30" i="17"/>
  <c r="H11" i="17"/>
  <c r="N102" i="17"/>
  <c r="B70" i="17"/>
  <c r="T70" i="17"/>
  <c r="Q38" i="17"/>
  <c r="J90" i="17"/>
  <c r="B58" i="17"/>
  <c r="T58" i="17"/>
  <c r="D94" i="17"/>
  <c r="M62" i="17"/>
  <c r="P14" i="17"/>
  <c r="F34" i="17"/>
  <c r="R100" i="17"/>
  <c r="Q62" i="17"/>
  <c r="L62" i="17"/>
  <c r="B22" i="17"/>
  <c r="O114" i="17"/>
  <c r="C82" i="17"/>
  <c r="N50" i="17"/>
  <c r="I10" i="17"/>
  <c r="Q107" i="17"/>
  <c r="H14" i="17"/>
  <c r="W84" i="17"/>
  <c r="P84" i="17"/>
  <c r="T44" i="17"/>
  <c r="N64" i="17"/>
  <c r="X64" i="17"/>
  <c r="E34" i="17"/>
  <c r="N34" i="17"/>
  <c r="F56" i="17"/>
  <c r="H96" i="17"/>
  <c r="P40" i="17"/>
  <c r="Q80" i="17"/>
  <c r="G82" i="17"/>
  <c r="V50" i="17"/>
  <c r="O50" i="17"/>
  <c r="U111" i="17"/>
  <c r="L14" i="17"/>
  <c r="K84" i="17"/>
  <c r="B44" i="17"/>
  <c r="C44" i="17"/>
  <c r="C64" i="17"/>
  <c r="F104" i="17"/>
  <c r="U34" i="17"/>
  <c r="J100" i="17"/>
  <c r="G60" i="17"/>
  <c r="R56" i="17"/>
  <c r="O76" i="17"/>
  <c r="C88" i="17"/>
  <c r="U15" i="17"/>
  <c r="U108" i="17"/>
  <c r="M117" i="17"/>
  <c r="F112" i="17"/>
  <c r="H62" i="17"/>
  <c r="U22" i="17"/>
  <c r="G114" i="17"/>
  <c r="F82" i="17"/>
  <c r="W82" i="17"/>
  <c r="M50" i="17"/>
  <c r="Q111" i="17"/>
  <c r="E14" i="17"/>
  <c r="M84" i="17"/>
  <c r="R84" i="17"/>
  <c r="R44" i="17"/>
  <c r="O108" i="17"/>
  <c r="R52" i="17"/>
  <c r="J68" i="17"/>
  <c r="C18" i="17"/>
  <c r="K60" i="17"/>
  <c r="J56" i="17"/>
  <c r="W56" i="17"/>
  <c r="T15" i="17"/>
  <c r="T40" i="17"/>
  <c r="J52" i="17"/>
  <c r="K52" i="17"/>
  <c r="C76" i="17"/>
  <c r="P88" i="17"/>
  <c r="W88" i="17"/>
  <c r="W80" i="17"/>
  <c r="H80" i="17"/>
  <c r="R68" i="17"/>
  <c r="K18" i="17"/>
  <c r="F18" i="17"/>
  <c r="I64" i="17"/>
  <c r="D64" i="17"/>
  <c r="L104" i="17"/>
  <c r="L34" i="17"/>
  <c r="N100" i="17"/>
  <c r="R60" i="17"/>
  <c r="P56" i="17"/>
  <c r="K56" i="17"/>
  <c r="U96" i="17"/>
  <c r="D40" i="17"/>
  <c r="U52" i="17"/>
  <c r="T23" i="17"/>
  <c r="W86" i="17"/>
  <c r="X106" i="17"/>
  <c r="L74" i="17"/>
  <c r="G110" i="17"/>
  <c r="V46" i="17"/>
  <c r="G98" i="17"/>
  <c r="U58" i="17"/>
  <c r="R94" i="17"/>
  <c r="B43" i="17"/>
  <c r="J117" i="17"/>
  <c r="M85" i="17"/>
  <c r="N69" i="17"/>
  <c r="U53" i="17"/>
  <c r="E21" i="17"/>
  <c r="H32" i="17"/>
  <c r="T16" i="17"/>
  <c r="M87" i="17"/>
  <c r="N71" i="17"/>
  <c r="X55" i="17"/>
  <c r="B23" i="17"/>
  <c r="L86" i="17"/>
  <c r="T54" i="17"/>
  <c r="G74" i="17"/>
  <c r="O42" i="17"/>
  <c r="D78" i="17"/>
  <c r="E98" i="17"/>
  <c r="P30" i="17"/>
  <c r="R102" i="17"/>
  <c r="B85" i="17"/>
  <c r="K53" i="17"/>
  <c r="T37" i="17"/>
  <c r="C21" i="17"/>
  <c r="H16" i="17"/>
  <c r="C103" i="17"/>
  <c r="B71" i="17"/>
  <c r="H55" i="17"/>
  <c r="R23" i="17"/>
  <c r="J86" i="17"/>
  <c r="O54" i="17"/>
  <c r="B74" i="17"/>
  <c r="I42" i="17"/>
  <c r="V78" i="17"/>
  <c r="G46" i="17"/>
  <c r="J66" i="17"/>
  <c r="L90" i="17"/>
  <c r="K98" i="17"/>
  <c r="L30" i="17"/>
  <c r="L102" i="17"/>
  <c r="O70" i="17"/>
  <c r="W38" i="17"/>
  <c r="F58" i="17"/>
  <c r="L94" i="17"/>
  <c r="I50" i="17"/>
  <c r="Q64" i="17"/>
  <c r="P104" i="17"/>
  <c r="C102" i="17"/>
  <c r="F38" i="17"/>
  <c r="X90" i="17"/>
  <c r="L58" i="17"/>
  <c r="E62" i="17"/>
  <c r="M22" i="17"/>
  <c r="B82" i="17"/>
  <c r="L44" i="17"/>
  <c r="U114" i="17"/>
  <c r="H44" i="17"/>
  <c r="B18" i="17"/>
  <c r="B26" i="17"/>
  <c r="U48" i="17"/>
  <c r="E116" i="17"/>
  <c r="V116" i="17"/>
  <c r="L72" i="17"/>
  <c r="T108" i="17"/>
  <c r="S48" i="17"/>
  <c r="M98" i="17"/>
  <c r="X30" i="17"/>
  <c r="D102" i="17"/>
  <c r="D70" i="17"/>
  <c r="H90" i="17"/>
  <c r="D58" i="17"/>
  <c r="Q94" i="17"/>
  <c r="U84" i="17"/>
  <c r="I94" i="17"/>
  <c r="I22" i="17"/>
  <c r="J82" i="17"/>
  <c r="K50" i="17"/>
  <c r="M14" i="17"/>
  <c r="V84" i="17"/>
  <c r="M64" i="17"/>
  <c r="U104" i="17"/>
  <c r="F100" i="17"/>
  <c r="O11" i="17"/>
  <c r="T80" i="17"/>
  <c r="U50" i="17"/>
  <c r="U14" i="17"/>
  <c r="T84" i="17"/>
  <c r="V64" i="17"/>
  <c r="P34" i="17"/>
  <c r="D60" i="17"/>
  <c r="R76" i="17"/>
  <c r="V88" i="17"/>
  <c r="Q48" i="17"/>
  <c r="O62" i="17"/>
  <c r="W22" i="17"/>
  <c r="L82" i="17"/>
  <c r="N110" i="17"/>
  <c r="J14" i="17"/>
  <c r="X44" i="17"/>
  <c r="W40" i="17"/>
  <c r="T68" i="17"/>
  <c r="E56" i="17"/>
  <c r="N96" i="17"/>
  <c r="H40" i="17"/>
  <c r="E52" i="17"/>
  <c r="E76" i="17"/>
  <c r="L76" i="17"/>
  <c r="H88" i="17"/>
  <c r="O80" i="17"/>
  <c r="U68" i="17"/>
  <c r="X68" i="17"/>
  <c r="V18" i="17"/>
  <c r="J64" i="17"/>
  <c r="X104" i="17"/>
  <c r="I34" i="17"/>
  <c r="I60" i="17"/>
  <c r="B56" i="17"/>
  <c r="F96" i="17"/>
  <c r="X40" i="17"/>
  <c r="P52" i="17"/>
  <c r="M76" i="17"/>
  <c r="W76" i="17"/>
  <c r="U88" i="17"/>
  <c r="M15" i="17"/>
  <c r="K80" i="17"/>
  <c r="E68" i="17"/>
  <c r="L68" i="17"/>
  <c r="Q60" i="17"/>
  <c r="S60" i="17"/>
  <c r="D56" i="17"/>
  <c r="R96" i="17"/>
  <c r="E40" i="17"/>
  <c r="C40" i="17"/>
  <c r="F52" i="17"/>
  <c r="U76" i="17"/>
  <c r="T76" i="17"/>
  <c r="T88" i="17"/>
  <c r="K15" i="17"/>
  <c r="S80" i="17"/>
  <c r="B68" i="17"/>
  <c r="W18" i="17"/>
  <c r="N18" i="17"/>
  <c r="C26" i="17"/>
  <c r="T26" i="17"/>
  <c r="R48" i="17"/>
  <c r="A92" i="17"/>
  <c r="R92" i="17"/>
  <c r="L26" i="17"/>
  <c r="E11" i="17"/>
  <c r="P48" i="17"/>
  <c r="U107" i="17"/>
  <c r="T116" i="17"/>
  <c r="U116" i="17"/>
  <c r="V11" i="17"/>
  <c r="S117" i="17"/>
  <c r="B116" i="17"/>
  <c r="F114" i="17"/>
  <c r="M11" i="17"/>
  <c r="O107" i="17"/>
  <c r="Q11" i="17"/>
  <c r="M113" i="17"/>
  <c r="B112" i="17"/>
  <c r="K23" i="17"/>
  <c r="E54" i="17"/>
  <c r="D106" i="17"/>
  <c r="N42" i="17"/>
  <c r="U78" i="17"/>
  <c r="E46" i="17"/>
  <c r="E30" i="17"/>
  <c r="G58" i="17"/>
  <c r="G94" i="17"/>
  <c r="J27" i="17"/>
  <c r="H101" i="17"/>
  <c r="C85" i="17"/>
  <c r="W69" i="17"/>
  <c r="G37" i="17"/>
  <c r="X21" i="17"/>
  <c r="M32" i="17"/>
  <c r="H103" i="17"/>
  <c r="C87" i="17"/>
  <c r="W71" i="17"/>
  <c r="G39" i="17"/>
  <c r="H23" i="17"/>
  <c r="Q86" i="17"/>
  <c r="L106" i="17"/>
  <c r="P74" i="17"/>
  <c r="E110" i="17"/>
  <c r="T46" i="17"/>
  <c r="M66" i="17"/>
  <c r="B30" i="17"/>
  <c r="G102" i="17"/>
  <c r="I69" i="17"/>
  <c r="T53" i="17"/>
  <c r="B37" i="17"/>
  <c r="B32" i="17"/>
  <c r="D16" i="17"/>
  <c r="U87" i="17"/>
  <c r="K71" i="17"/>
  <c r="K39" i="17"/>
  <c r="X23" i="17"/>
  <c r="O86" i="17"/>
  <c r="X54" i="17"/>
  <c r="K74" i="17"/>
  <c r="S42" i="17"/>
  <c r="H78" i="17"/>
  <c r="B98" i="17"/>
  <c r="S66" i="17"/>
  <c r="B90" i="17"/>
  <c r="I66" i="17"/>
  <c r="J30" i="17"/>
  <c r="O102" i="17"/>
  <c r="X70" i="17"/>
  <c r="P90" i="17"/>
  <c r="O58" i="17"/>
  <c r="O94" i="17"/>
  <c r="S50" i="17"/>
  <c r="G64" i="17"/>
  <c r="B34" i="17"/>
  <c r="I102" i="17"/>
  <c r="H38" i="17"/>
  <c r="S90" i="17"/>
  <c r="U113" i="17"/>
  <c r="N62" i="17"/>
  <c r="V22" i="17"/>
  <c r="K82" i="17"/>
  <c r="G44" i="17"/>
  <c r="I84" i="17"/>
  <c r="I52" i="17"/>
  <c r="P92" i="17"/>
  <c r="L15" i="17"/>
  <c r="O96" i="17"/>
  <c r="K105" i="17"/>
  <c r="Q105" i="17"/>
  <c r="L108" i="17"/>
  <c r="G105" i="17"/>
  <c r="L114" i="17"/>
  <c r="U66" i="17"/>
  <c r="F30" i="17"/>
  <c r="K102" i="17"/>
  <c r="T38" i="17"/>
  <c r="K90" i="17"/>
  <c r="B110" i="17"/>
  <c r="F62" i="17"/>
  <c r="D34" i="17"/>
  <c r="J62" i="17"/>
  <c r="R22" i="17"/>
  <c r="T82" i="17"/>
  <c r="V106" i="17"/>
  <c r="X14" i="17"/>
  <c r="U44" i="17"/>
  <c r="R64" i="17"/>
  <c r="J34" i="17"/>
  <c r="C56" i="17"/>
  <c r="U40" i="17"/>
  <c r="D82" i="17"/>
  <c r="X110" i="17"/>
  <c r="B14" i="17"/>
  <c r="P44" i="17"/>
  <c r="S64" i="17"/>
  <c r="V34" i="17"/>
  <c r="W60" i="17"/>
  <c r="H76" i="17"/>
  <c r="O15" i="17"/>
  <c r="H112" i="17"/>
  <c r="X62" i="17"/>
  <c r="I114" i="17"/>
  <c r="F50" i="17"/>
  <c r="O115" i="17"/>
  <c r="G84" i="17"/>
  <c r="Q44" i="17"/>
  <c r="M52" i="17"/>
  <c r="M18" i="17"/>
  <c r="N56" i="17"/>
  <c r="P96" i="17"/>
  <c r="M40" i="17"/>
  <c r="X52" i="17"/>
  <c r="N76" i="17"/>
  <c r="E88" i="17"/>
  <c r="I15" i="17"/>
  <c r="D80" i="17"/>
  <c r="N68" i="17"/>
  <c r="U18" i="17"/>
  <c r="E92" i="17"/>
  <c r="K64" i="17"/>
  <c r="W104" i="17"/>
  <c r="G34" i="17"/>
  <c r="N60" i="17"/>
  <c r="U56" i="17"/>
  <c r="B96" i="17"/>
  <c r="R40" i="17"/>
  <c r="V52" i="17"/>
  <c r="V76" i="17"/>
  <c r="P76" i="17"/>
  <c r="N88" i="17"/>
  <c r="C15" i="17"/>
  <c r="N80" i="17"/>
  <c r="V68" i="17"/>
  <c r="G18" i="17"/>
  <c r="M60" i="17"/>
  <c r="P60" i="17"/>
  <c r="V56" i="17"/>
  <c r="D96" i="17"/>
  <c r="J40" i="17"/>
  <c r="S40" i="17"/>
  <c r="D52" i="17"/>
  <c r="J76" i="17"/>
  <c r="G88" i="17"/>
  <c r="Q88" i="17"/>
  <c r="E80" i="17"/>
  <c r="R80" i="17"/>
  <c r="G68" i="17"/>
  <c r="E18" i="17"/>
  <c r="L92" i="17"/>
  <c r="M26" i="17"/>
  <c r="N26" i="17"/>
  <c r="T100" i="17"/>
  <c r="X48" i="17"/>
  <c r="S88" i="17"/>
  <c r="S26" i="17"/>
  <c r="F26" i="17"/>
  <c r="W10" i="17"/>
  <c r="B48" i="17"/>
  <c r="N15" i="17"/>
  <c r="N106" i="17"/>
  <c r="G117" i="17"/>
  <c r="F116" i="17"/>
  <c r="A100" i="17"/>
  <c r="S72" i="17"/>
  <c r="O112" i="17"/>
  <c r="D108" i="17"/>
  <c r="E108" i="17"/>
  <c r="V48" i="17"/>
  <c r="O48" i="17"/>
  <c r="S109" i="17"/>
  <c r="C100" i="17"/>
  <c r="E112" i="17"/>
  <c r="O18" i="17"/>
  <c r="B92" i="17"/>
  <c r="E26" i="17"/>
  <c r="J26" i="17"/>
  <c r="H15" i="17"/>
  <c r="M48" i="17"/>
  <c r="L100" i="17"/>
  <c r="A113" i="17"/>
  <c r="A88" i="17"/>
  <c r="M116" i="17"/>
  <c r="X100" i="17"/>
  <c r="C72" i="17"/>
  <c r="T72" i="17"/>
  <c r="J108" i="17"/>
  <c r="Q72" i="17"/>
  <c r="I48" i="17"/>
  <c r="D48" i="17"/>
  <c r="N108" i="17"/>
  <c r="C113" i="17"/>
  <c r="P112" i="17"/>
  <c r="Q117" i="17"/>
  <c r="S100" i="17"/>
  <c r="M111" i="17"/>
  <c r="A116" i="17"/>
  <c r="N116" i="17"/>
  <c r="W48" i="17"/>
  <c r="E105" i="17"/>
  <c r="K48" i="17"/>
  <c r="V110" i="17"/>
  <c r="G112" i="17"/>
  <c r="F72" i="17"/>
  <c r="X112" i="17"/>
  <c r="X92" i="17"/>
  <c r="A9" i="17"/>
  <c r="R15" i="17"/>
  <c r="H114" i="17"/>
  <c r="G72" i="17"/>
  <c r="U105" i="17"/>
  <c r="N86" i="17"/>
  <c r="N54" i="17"/>
  <c r="Q74" i="17"/>
  <c r="Q42" i="17"/>
  <c r="G78" i="17"/>
  <c r="O46" i="17"/>
  <c r="N30" i="17"/>
  <c r="P58" i="17"/>
  <c r="K43" i="17"/>
  <c r="X27" i="17"/>
  <c r="M101" i="17"/>
  <c r="X85" i="17"/>
  <c r="G53" i="17"/>
  <c r="P37" i="17"/>
  <c r="T21" i="17"/>
  <c r="E16" i="17"/>
  <c r="M103" i="17"/>
  <c r="X87" i="17"/>
  <c r="J55" i="17"/>
  <c r="P39" i="17"/>
  <c r="O23" i="17"/>
  <c r="B54" i="17"/>
  <c r="K106" i="17"/>
  <c r="V42" i="17"/>
  <c r="I78" i="17"/>
  <c r="J46" i="17"/>
  <c r="V66" i="17"/>
  <c r="K30" i="17"/>
  <c r="M90" i="17"/>
  <c r="R69" i="17"/>
  <c r="B53" i="17"/>
  <c r="U21" i="17"/>
  <c r="L32" i="17"/>
  <c r="S16" i="17"/>
  <c r="L87" i="17"/>
  <c r="T71" i="17"/>
  <c r="T39" i="17"/>
  <c r="C23" i="17"/>
  <c r="U86" i="17"/>
  <c r="Q106" i="17"/>
  <c r="T74" i="17"/>
  <c r="M110" i="17"/>
  <c r="F46" i="17"/>
  <c r="V98" i="17"/>
  <c r="D30" i="17"/>
  <c r="W90" i="17"/>
  <c r="R66" i="17"/>
  <c r="S30" i="17"/>
  <c r="U102" i="17"/>
  <c r="C38" i="17"/>
  <c r="O90" i="17"/>
  <c r="X58" i="17"/>
  <c r="U94" i="17"/>
  <c r="I109" i="17"/>
  <c r="P64" i="17"/>
  <c r="L11" i="17"/>
  <c r="J70" i="17"/>
  <c r="I38" i="17"/>
  <c r="Q58" i="17"/>
  <c r="J94" i="17"/>
  <c r="W62" i="17"/>
  <c r="M114" i="17"/>
  <c r="S82" i="17"/>
  <c r="U64" i="17"/>
  <c r="N84" i="17"/>
  <c r="W52" i="17"/>
  <c r="J92" i="17"/>
  <c r="O111" i="17"/>
  <c r="O92" i="17"/>
  <c r="I117" i="17"/>
  <c r="G104" i="17"/>
  <c r="E72" i="17"/>
  <c r="H108" i="17"/>
  <c r="J114" i="17"/>
  <c r="G66" i="17"/>
  <c r="O30" i="17"/>
  <c r="I70" i="17"/>
  <c r="X38" i="17"/>
  <c r="I58" i="17"/>
  <c r="X94" i="17"/>
  <c r="C14" i="17"/>
  <c r="S34" i="17"/>
  <c r="S62" i="17"/>
  <c r="E114" i="17"/>
  <c r="D50" i="17"/>
  <c r="E111" i="17"/>
  <c r="O84" i="17"/>
  <c r="V44" i="17"/>
  <c r="H64" i="17"/>
  <c r="Q34" i="17"/>
  <c r="V96" i="17"/>
  <c r="B80" i="17"/>
  <c r="L50" i="17"/>
  <c r="Q115" i="17"/>
  <c r="E84" i="17"/>
  <c r="D44" i="17"/>
  <c r="F15" i="17"/>
  <c r="O34" i="17"/>
  <c r="X56" i="17"/>
  <c r="M88" i="17"/>
  <c r="G80" i="17"/>
  <c r="C112" i="17"/>
  <c r="E22" i="17"/>
  <c r="M82" i="17"/>
  <c r="R50" i="17"/>
  <c r="K14" i="17"/>
  <c r="B84" i="17"/>
  <c r="K44" i="17"/>
  <c r="F68" i="17"/>
  <c r="J60" i="17"/>
  <c r="L56" i="17"/>
  <c r="T96" i="17"/>
  <c r="Q40" i="17"/>
  <c r="Q52" i="17"/>
  <c r="Q76" i="17"/>
  <c r="K88" i="17"/>
  <c r="W15" i="17"/>
  <c r="J80" i="17"/>
  <c r="O68" i="17"/>
  <c r="Q18" i="17"/>
  <c r="N92" i="17"/>
  <c r="T64" i="17"/>
  <c r="R34" i="17"/>
  <c r="W34" i="17"/>
  <c r="O60" i="17"/>
  <c r="T56" i="17"/>
  <c r="X96" i="17"/>
  <c r="V40" i="17"/>
  <c r="T52" i="17"/>
  <c r="B76" i="17"/>
  <c r="X88" i="17"/>
  <c r="L88" i="17"/>
  <c r="U80" i="17"/>
  <c r="L80" i="17"/>
  <c r="C68" i="17"/>
  <c r="S18" i="17"/>
  <c r="V60" i="17"/>
  <c r="M56" i="17"/>
  <c r="O56" i="17"/>
  <c r="J15" i="17"/>
  <c r="I40" i="17"/>
  <c r="H52" i="17"/>
  <c r="C52" i="17"/>
  <c r="K76" i="17"/>
  <c r="R88" i="17"/>
  <c r="Q15" i="17"/>
  <c r="M80" i="17"/>
  <c r="P80" i="17"/>
  <c r="W68" i="17"/>
  <c r="H18" i="17"/>
  <c r="H92" i="17"/>
  <c r="X26" i="17"/>
  <c r="I96" i="17"/>
  <c r="W92" i="17"/>
  <c r="Q104" i="17"/>
  <c r="G26" i="17"/>
  <c r="V26" i="17"/>
  <c r="O100" i="17"/>
  <c r="D100" i="17"/>
  <c r="K100" i="17"/>
  <c r="M115" i="17"/>
  <c r="S108" i="17"/>
  <c r="E109" i="17"/>
  <c r="S11" i="17"/>
  <c r="I108" i="17"/>
  <c r="J72" i="17"/>
  <c r="V72" i="17"/>
  <c r="I92" i="17"/>
  <c r="C48" i="17"/>
  <c r="K112" i="17"/>
  <c r="D86" i="17"/>
  <c r="W54" i="17"/>
  <c r="C74" i="17"/>
  <c r="I110" i="17"/>
  <c r="P78" i="17"/>
  <c r="R98" i="17"/>
  <c r="M102" i="17"/>
  <c r="C111" i="17"/>
  <c r="T43" i="17"/>
  <c r="C27" i="17"/>
  <c r="V101" i="17"/>
  <c r="E69" i="17"/>
  <c r="P53" i="17"/>
  <c r="U37" i="17"/>
  <c r="D32" i="17"/>
  <c r="X16" i="17"/>
  <c r="V103" i="17"/>
  <c r="E71" i="17"/>
  <c r="G55" i="17"/>
  <c r="U39" i="17"/>
  <c r="V86" i="17"/>
  <c r="K54" i="17"/>
  <c r="U74" i="17"/>
  <c r="E42" i="17"/>
  <c r="R78" i="17"/>
  <c r="C46" i="17"/>
  <c r="H66" i="17"/>
  <c r="P11" i="17"/>
  <c r="K85" i="17"/>
  <c r="D69" i="17"/>
  <c r="K37" i="17"/>
  <c r="P21" i="17"/>
  <c r="R32" i="17"/>
  <c r="Q103" i="17"/>
  <c r="R87" i="17"/>
  <c r="P55" i="17"/>
  <c r="B39" i="17"/>
  <c r="T12" i="17"/>
  <c r="F54" i="17"/>
  <c r="P106" i="17"/>
  <c r="H42" i="17"/>
  <c r="M78" i="17"/>
  <c r="R46" i="17"/>
  <c r="I98" i="17"/>
  <c r="M38" i="17"/>
  <c r="D98" i="17"/>
  <c r="D66" i="17"/>
  <c r="W11" i="17"/>
  <c r="F70" i="17"/>
  <c r="E38" i="17"/>
  <c r="U90" i="17"/>
  <c r="K115" i="17"/>
  <c r="V82" i="17"/>
  <c r="K111" i="17"/>
  <c r="S104" i="17"/>
  <c r="J102" i="17"/>
  <c r="S70" i="17"/>
  <c r="D90" i="17"/>
  <c r="C58" i="17"/>
  <c r="C94" i="17"/>
  <c r="H22" i="17"/>
  <c r="C114" i="17"/>
  <c r="H50" i="17"/>
  <c r="C22" i="17"/>
  <c r="X84" i="17"/>
  <c r="I18" i="17"/>
  <c r="U26" i="17"/>
  <c r="E100" i="17"/>
  <c r="S116" i="17"/>
  <c r="A110" i="17"/>
  <c r="Q116" i="17"/>
  <c r="G48" i="17"/>
  <c r="F48" i="17"/>
  <c r="Q92" i="17"/>
  <c r="P66" i="17"/>
  <c r="D11" i="17"/>
  <c r="R70" i="17"/>
  <c r="S38" i="17"/>
  <c r="R58" i="17"/>
  <c r="N94" i="17"/>
  <c r="F14" i="17"/>
  <c r="U100" i="17"/>
  <c r="D22" i="17"/>
  <c r="Q114" i="17"/>
  <c r="X50" i="17"/>
  <c r="G14" i="17"/>
  <c r="C84" i="17"/>
  <c r="O44" i="17"/>
  <c r="B104" i="17"/>
  <c r="K34" i="17"/>
  <c r="L96" i="17"/>
  <c r="F80" i="17"/>
  <c r="B50" i="17"/>
  <c r="O14" i="17"/>
  <c r="J84" i="17"/>
  <c r="S44" i="17"/>
  <c r="N104" i="17"/>
  <c r="V100" i="17"/>
  <c r="I56" i="17"/>
  <c r="F88" i="17"/>
  <c r="Q100" i="17"/>
  <c r="S112" i="17"/>
  <c r="N22" i="17"/>
  <c r="X82" i="17"/>
  <c r="G50" i="17"/>
  <c r="D14" i="17"/>
  <c r="L84" i="17"/>
  <c r="L40" i="17"/>
  <c r="K68" i="17"/>
  <c r="H60" i="17"/>
  <c r="G56" i="17"/>
  <c r="B40" i="17"/>
  <c r="K40" i="17"/>
  <c r="N52" i="17"/>
  <c r="S76" i="17"/>
  <c r="J88" i="17"/>
  <c r="X15" i="17"/>
  <c r="X80" i="17"/>
  <c r="H68" i="17"/>
  <c r="P18" i="17"/>
  <c r="F64" i="17"/>
  <c r="P15" i="17"/>
  <c r="M34" i="17"/>
  <c r="B60" i="17"/>
  <c r="L60" i="17"/>
  <c r="Q56" i="17"/>
  <c r="J11" i="17"/>
  <c r="O40" i="17"/>
  <c r="O52" i="17"/>
  <c r="G76" i="17"/>
  <c r="I88" i="17"/>
  <c r="E15" i="17"/>
  <c r="C80" i="17"/>
  <c r="M68" i="17"/>
  <c r="S68" i="17"/>
  <c r="L112" i="17"/>
  <c r="C60" i="17"/>
  <c r="H56" i="17"/>
  <c r="J96" i="17"/>
  <c r="U11" i="17"/>
  <c r="F40" i="17"/>
  <c r="B52" i="17"/>
  <c r="S52" i="17"/>
  <c r="D76" i="17"/>
  <c r="B88" i="17"/>
  <c r="G15" i="17"/>
  <c r="I80" i="17"/>
  <c r="I68" i="17"/>
  <c r="P68" i="17"/>
  <c r="X18" i="17"/>
  <c r="D92" i="17"/>
  <c r="D26" i="17"/>
  <c r="B11" i="17"/>
  <c r="J48" i="17"/>
  <c r="O104" i="17"/>
  <c r="C11" i="17"/>
  <c r="I26" i="17"/>
  <c r="O116" i="17"/>
  <c r="F11" i="17"/>
  <c r="G100" i="17"/>
  <c r="G116" i="17"/>
  <c r="G107" i="17"/>
  <c r="L110" i="17"/>
  <c r="E117" i="17"/>
  <c r="A11" i="17"/>
  <c r="R108" i="17"/>
  <c r="L48" i="17"/>
  <c r="S107" i="17"/>
  <c r="E96" i="17"/>
  <c r="B114" i="17"/>
  <c r="M104" i="17"/>
  <c r="V108" i="17"/>
  <c r="N112" i="17"/>
  <c r="G113" i="17"/>
  <c r="T18" i="17"/>
  <c r="V92" i="17"/>
  <c r="Q26" i="17"/>
  <c r="K116" i="17"/>
  <c r="E107" i="17"/>
  <c r="W100" i="17"/>
  <c r="N11" i="17"/>
  <c r="O117" i="17"/>
  <c r="I100" i="17"/>
  <c r="U117" i="17"/>
  <c r="I11" i="17"/>
  <c r="B108" i="17"/>
  <c r="N48" i="17"/>
  <c r="K113" i="17"/>
  <c r="R114" i="17"/>
  <c r="I105" i="17"/>
  <c r="K109" i="17"/>
  <c r="T114" i="17"/>
  <c r="S105" i="17"/>
  <c r="J116" i="17"/>
  <c r="I107" i="17"/>
  <c r="P116" i="17"/>
  <c r="A104" i="17"/>
  <c r="B15" i="17"/>
  <c r="A72" i="17"/>
  <c r="X116" i="17"/>
  <c r="K108" i="17"/>
  <c r="W72" i="17"/>
  <c r="P110" i="17"/>
  <c r="M96" i="17"/>
  <c r="R104" i="17"/>
  <c r="J112" i="17"/>
  <c r="K117" i="17"/>
  <c r="B106" i="17"/>
  <c r="U72" i="17"/>
  <c r="O109" i="17"/>
  <c r="T112" i="17"/>
  <c r="J18" i="17"/>
  <c r="T92" i="17"/>
  <c r="W26" i="17"/>
  <c r="G92" i="17"/>
  <c r="M105" i="17"/>
  <c r="A111" i="17"/>
  <c r="J110" i="17"/>
  <c r="N114" i="17"/>
  <c r="M100" i="17"/>
  <c r="X108" i="17"/>
  <c r="C105" i="17"/>
  <c r="E104" i="17"/>
  <c r="A96" i="17"/>
  <c r="G108" i="17"/>
  <c r="M107" i="17"/>
  <c r="Q109" i="17"/>
  <c r="W112" i="17"/>
  <c r="U92" i="17"/>
  <c r="G11" i="17"/>
  <c r="E115" i="17"/>
  <c r="A107" i="17"/>
  <c r="T117" i="17"/>
  <c r="C107" i="17"/>
  <c r="W108" i="17"/>
  <c r="T48" i="17"/>
  <c r="S113" i="17"/>
  <c r="E113" i="17"/>
  <c r="V104" i="17"/>
  <c r="I72" i="17"/>
  <c r="M108" i="17"/>
  <c r="K92" i="17"/>
  <c r="P108" i="17"/>
  <c r="V112" i="17"/>
  <c r="O26" i="17"/>
  <c r="M92" i="17"/>
  <c r="T104" i="17"/>
  <c r="K96" i="17"/>
  <c r="W117" i="17"/>
  <c r="N72" i="17"/>
  <c r="B72" i="17"/>
  <c r="H116" i="17"/>
  <c r="I112" i="17"/>
  <c r="P117" i="17"/>
  <c r="O105" i="17"/>
  <c r="P114" i="17"/>
  <c r="H72" i="17"/>
  <c r="C115" i="17"/>
  <c r="F108" i="17"/>
  <c r="R112" i="17"/>
  <c r="D18" i="17"/>
  <c r="P26" i="17"/>
  <c r="H48" i="17"/>
  <c r="D116" i="17"/>
  <c r="K11" i="17"/>
  <c r="A15" i="17"/>
  <c r="D110" i="17"/>
  <c r="U112" i="17"/>
  <c r="K104" i="17"/>
  <c r="D112" i="17"/>
  <c r="O88" i="17"/>
  <c r="A106" i="17"/>
  <c r="D72" i="17"/>
  <c r="X72" i="17"/>
  <c r="F110" i="17"/>
  <c r="S115" i="17"/>
  <c r="V9" i="17"/>
  <c r="O12" i="17"/>
  <c r="M10" i="17"/>
  <c r="S9" i="17"/>
  <c r="T9" i="17"/>
  <c r="M12" i="17"/>
  <c r="J12" i="17"/>
  <c r="A10" i="17"/>
  <c r="Q9" i="17"/>
  <c r="P12" i="17"/>
  <c r="B10" i="17"/>
  <c r="H10" i="17"/>
  <c r="U9" i="17"/>
  <c r="Q12" i="17"/>
  <c r="N12" i="17"/>
  <c r="P10" i="17"/>
  <c r="B9" i="17"/>
  <c r="L10" i="17"/>
  <c r="X10" i="17"/>
  <c r="U10" i="17"/>
  <c r="M9" i="17"/>
  <c r="C9" i="17"/>
  <c r="D12" i="17"/>
  <c r="C12" i="17"/>
  <c r="O10" i="17"/>
  <c r="G9" i="17"/>
  <c r="S12" i="17"/>
  <c r="K10" i="17"/>
  <c r="N10" i="17"/>
  <c r="J9" i="17"/>
  <c r="L27" i="26"/>
  <c r="O33" i="26"/>
  <c r="O33" i="25"/>
  <c r="L27" i="25"/>
  <c r="O33" i="24"/>
  <c r="L27" i="24"/>
  <c r="O33" i="23"/>
  <c r="L27" i="23"/>
  <c r="O33" i="22"/>
  <c r="L27" i="22"/>
  <c r="O33" i="21"/>
  <c r="L27" i="21"/>
  <c r="L27" i="20"/>
  <c r="O33" i="20"/>
  <c r="O33" i="18"/>
  <c r="L27" i="18"/>
  <c r="N28" i="4"/>
  <c r="Q108" i="3"/>
  <c r="R108" i="3" s="1"/>
  <c r="F114" i="3" s="1"/>
  <c r="D17" i="3"/>
  <c r="D94" i="3"/>
  <c r="N131" i="3"/>
  <c r="O141" i="3" s="1"/>
  <c r="K22" i="3"/>
  <c r="W5" i="17" s="1"/>
  <c r="W4" i="17" s="1"/>
  <c r="K23" i="3"/>
  <c r="V5" i="17" s="1"/>
  <c r="V4" i="17" s="1"/>
  <c r="O21" i="13"/>
  <c r="P21" i="13" s="1"/>
  <c r="D43" i="3"/>
  <c r="O22" i="13" s="1"/>
  <c r="P22" i="13" s="1"/>
  <c r="O33" i="4"/>
  <c r="M27" i="4" s="1"/>
  <c r="C39" i="3"/>
  <c r="AD28" i="13"/>
  <c r="S5" i="13"/>
  <c r="R5" i="13"/>
  <c r="N130" i="3"/>
  <c r="N129" i="3"/>
  <c r="N134" i="3"/>
  <c r="N128" i="3"/>
  <c r="F29" i="3"/>
  <c r="C5" i="17" s="1"/>
  <c r="C4" i="17" s="1"/>
  <c r="E43" i="3"/>
  <c r="AB3" i="13"/>
  <c r="AB4" i="13"/>
  <c r="AC7" i="13"/>
  <c r="AB12" i="13"/>
  <c r="AB15" i="13"/>
  <c r="AC16" i="13"/>
  <c r="AB20" i="13"/>
  <c r="AB23" i="13"/>
  <c r="AB24" i="13"/>
  <c r="AC3" i="13"/>
  <c r="AC4" i="13"/>
  <c r="AB11" i="13"/>
  <c r="AC12" i="13"/>
  <c r="AC15" i="13"/>
  <c r="AB19" i="13"/>
  <c r="AC20" i="13"/>
  <c r="AC23" i="13"/>
  <c r="AC24" i="13"/>
  <c r="AB28" i="13"/>
  <c r="AD4" i="13"/>
  <c r="AB8" i="13"/>
  <c r="AC11" i="13"/>
  <c r="AD12" i="13"/>
  <c r="AC19" i="13"/>
  <c r="AD24" i="13"/>
  <c r="AB27" i="13"/>
  <c r="AC28" i="13"/>
  <c r="AB7" i="13"/>
  <c r="AC8" i="13"/>
  <c r="AB16" i="13"/>
  <c r="AC27" i="13"/>
  <c r="D71" i="13" l="1"/>
  <c r="E71" i="13" s="1"/>
  <c r="D93" i="13"/>
  <c r="E93" i="13" s="1"/>
  <c r="D105" i="13"/>
  <c r="E105" i="13" s="1"/>
  <c r="D111" i="13"/>
  <c r="E111" i="13" s="1"/>
  <c r="D119" i="13"/>
  <c r="E119" i="13" s="1"/>
  <c r="D49" i="13"/>
  <c r="E49" i="13" s="1"/>
  <c r="D57" i="13"/>
  <c r="E57" i="13" s="1"/>
  <c r="D47" i="13"/>
  <c r="E47" i="13" s="1"/>
  <c r="D55" i="13"/>
  <c r="E55" i="13" s="1"/>
  <c r="D60" i="13"/>
  <c r="E60" i="13" s="1"/>
  <c r="D62" i="13"/>
  <c r="E62" i="13" s="1"/>
  <c r="D64" i="13"/>
  <c r="E64" i="13" s="1"/>
  <c r="D66" i="13"/>
  <c r="E66" i="13" s="1"/>
  <c r="D68" i="13"/>
  <c r="E68" i="13" s="1"/>
  <c r="D70" i="13"/>
  <c r="E70" i="13" s="1"/>
  <c r="D72" i="13"/>
  <c r="E72" i="13" s="1"/>
  <c r="D74" i="13"/>
  <c r="E74" i="13" s="1"/>
  <c r="D76" i="13"/>
  <c r="E76" i="13" s="1"/>
  <c r="D78" i="13"/>
  <c r="E78" i="13" s="1"/>
  <c r="D80" i="13"/>
  <c r="E80" i="13" s="1"/>
  <c r="D82" i="13"/>
  <c r="E82" i="13" s="1"/>
  <c r="D84" i="13"/>
  <c r="E84" i="13" s="1"/>
  <c r="D86" i="13"/>
  <c r="E86" i="13" s="1"/>
  <c r="D88" i="13"/>
  <c r="E88" i="13" s="1"/>
  <c r="D90" i="13"/>
  <c r="E90" i="13" s="1"/>
  <c r="D92" i="13"/>
  <c r="E92" i="13" s="1"/>
  <c r="D94" i="13"/>
  <c r="E94" i="13" s="1"/>
  <c r="D96" i="13"/>
  <c r="E96" i="13" s="1"/>
  <c r="D98" i="13"/>
  <c r="E98" i="13" s="1"/>
  <c r="D100" i="13"/>
  <c r="E100" i="13" s="1"/>
  <c r="D102" i="13"/>
  <c r="E102" i="13" s="1"/>
  <c r="D104" i="13"/>
  <c r="E104" i="13" s="1"/>
  <c r="D106" i="13"/>
  <c r="E106" i="13" s="1"/>
  <c r="D108" i="13"/>
  <c r="E108" i="13" s="1"/>
  <c r="D110" i="13"/>
  <c r="E110" i="13" s="1"/>
  <c r="D112" i="13"/>
  <c r="E112" i="13" s="1"/>
  <c r="D114" i="13"/>
  <c r="E114" i="13" s="1"/>
  <c r="D116" i="13"/>
  <c r="E116" i="13" s="1"/>
  <c r="D118" i="13"/>
  <c r="E118" i="13" s="1"/>
  <c r="D120" i="13"/>
  <c r="E120" i="13" s="1"/>
  <c r="D65" i="13"/>
  <c r="E65" i="13" s="1"/>
  <c r="D75" i="13"/>
  <c r="E75" i="13" s="1"/>
  <c r="D79" i="13"/>
  <c r="E79" i="13" s="1"/>
  <c r="D83" i="13"/>
  <c r="E83" i="13" s="1"/>
  <c r="D87" i="13"/>
  <c r="E87" i="13" s="1"/>
  <c r="D91" i="13"/>
  <c r="E91" i="13" s="1"/>
  <c r="D97" i="13"/>
  <c r="E97" i="13" s="1"/>
  <c r="D101" i="13"/>
  <c r="E101" i="13" s="1"/>
  <c r="D109" i="13"/>
  <c r="E109" i="13" s="1"/>
  <c r="D115" i="13"/>
  <c r="E115" i="13" s="1"/>
  <c r="D121" i="13"/>
  <c r="E121" i="13" s="1"/>
  <c r="D45" i="13"/>
  <c r="E45" i="13" s="1"/>
  <c r="D53" i="13"/>
  <c r="E53" i="13" s="1"/>
  <c r="D51" i="13"/>
  <c r="E51" i="13" s="1"/>
  <c r="D59" i="13"/>
  <c r="E59" i="13" s="1"/>
  <c r="D61" i="13"/>
  <c r="E61" i="13" s="1"/>
  <c r="D63" i="13"/>
  <c r="E63" i="13" s="1"/>
  <c r="D67" i="13"/>
  <c r="E67" i="13" s="1"/>
  <c r="D69" i="13"/>
  <c r="E69" i="13" s="1"/>
  <c r="D73" i="13"/>
  <c r="E73" i="13" s="1"/>
  <c r="D77" i="13"/>
  <c r="E77" i="13" s="1"/>
  <c r="D81" i="13"/>
  <c r="E81" i="13" s="1"/>
  <c r="D85" i="13"/>
  <c r="E85" i="13" s="1"/>
  <c r="D89" i="13"/>
  <c r="E89" i="13" s="1"/>
  <c r="D95" i="13"/>
  <c r="E95" i="13" s="1"/>
  <c r="D99" i="13"/>
  <c r="E99" i="13" s="1"/>
  <c r="D103" i="13"/>
  <c r="E103" i="13" s="1"/>
  <c r="D107" i="13"/>
  <c r="E107" i="13" s="1"/>
  <c r="D113" i="13"/>
  <c r="E113" i="13" s="1"/>
  <c r="D117" i="13"/>
  <c r="E117" i="13" s="1"/>
  <c r="D50" i="13"/>
  <c r="E50" i="13" s="1"/>
  <c r="D52" i="13"/>
  <c r="E52" i="13" s="1"/>
  <c r="D54" i="13"/>
  <c r="E54" i="13" s="1"/>
  <c r="D56" i="13"/>
  <c r="E56" i="13" s="1"/>
  <c r="D46" i="13"/>
  <c r="E46" i="13" s="1"/>
  <c r="D48" i="13"/>
  <c r="E48" i="13" s="1"/>
  <c r="D58" i="13"/>
  <c r="E58" i="13" s="1"/>
  <c r="D43" i="13"/>
  <c r="E43" i="13" s="1"/>
  <c r="D35" i="13"/>
  <c r="E35" i="13" s="1"/>
  <c r="D27" i="13"/>
  <c r="E27" i="13" s="1"/>
  <c r="D25" i="13"/>
  <c r="E25" i="13" s="1"/>
  <c r="D42" i="13"/>
  <c r="E42" i="13" s="1"/>
  <c r="D38" i="13"/>
  <c r="E38" i="13" s="1"/>
  <c r="D34" i="13"/>
  <c r="E34" i="13" s="1"/>
  <c r="D30" i="13"/>
  <c r="E30" i="13" s="1"/>
  <c r="D26" i="13"/>
  <c r="E26" i="13" s="1"/>
  <c r="D24" i="13"/>
  <c r="E24" i="13" s="1"/>
  <c r="D37" i="13"/>
  <c r="E37" i="13" s="1"/>
  <c r="D29" i="13"/>
  <c r="E29" i="13" s="1"/>
  <c r="D41" i="13"/>
  <c r="E41" i="13" s="1"/>
  <c r="D33" i="13"/>
  <c r="E33" i="13" s="1"/>
  <c r="D40" i="13"/>
  <c r="E40" i="13" s="1"/>
  <c r="D36" i="13"/>
  <c r="E36" i="13" s="1"/>
  <c r="D32" i="13"/>
  <c r="E32" i="13" s="1"/>
  <c r="D28" i="13"/>
  <c r="E28" i="13" s="1"/>
  <c r="D39" i="13"/>
  <c r="E39" i="13" s="1"/>
  <c r="D31" i="13"/>
  <c r="E31" i="13" s="1"/>
  <c r="D122" i="13"/>
  <c r="E122" i="13" s="1"/>
  <c r="D23" i="13"/>
  <c r="E23" i="13" s="1"/>
  <c r="O38" i="26"/>
  <c r="P38" i="26" s="1"/>
  <c r="G5" i="17"/>
  <c r="G4" i="17" s="1"/>
  <c r="M37" i="26"/>
  <c r="M38" i="26"/>
  <c r="N35" i="26"/>
  <c r="M27" i="26"/>
  <c r="O35" i="26" s="1"/>
  <c r="N28" i="26"/>
  <c r="P36" i="26" s="1"/>
  <c r="M38" i="24"/>
  <c r="M38" i="25"/>
  <c r="N28" i="25"/>
  <c r="P36" i="25" s="1"/>
  <c r="N35" i="25"/>
  <c r="M27" i="25"/>
  <c r="O35" i="25" s="1"/>
  <c r="O38" i="24"/>
  <c r="P38" i="24" s="1"/>
  <c r="O38" i="25"/>
  <c r="P38" i="25" s="1"/>
  <c r="M37" i="25"/>
  <c r="N28" i="24"/>
  <c r="P36" i="24" s="1"/>
  <c r="N35" i="24"/>
  <c r="M27" i="24"/>
  <c r="O35" i="24" s="1"/>
  <c r="M37" i="24"/>
  <c r="N35" i="23"/>
  <c r="M27" i="23"/>
  <c r="O35" i="23" s="1"/>
  <c r="O38" i="22"/>
  <c r="P38" i="22" s="1"/>
  <c r="O38" i="23"/>
  <c r="P38" i="23" s="1"/>
  <c r="M37" i="23"/>
  <c r="M38" i="22"/>
  <c r="M38" i="23"/>
  <c r="M27" i="22"/>
  <c r="O35" i="22" s="1"/>
  <c r="N35" i="22"/>
  <c r="N28" i="22" s="1"/>
  <c r="P36" i="22" s="1"/>
  <c r="M37" i="22"/>
  <c r="M27" i="21"/>
  <c r="O35" i="21" s="1"/>
  <c r="N28" i="21"/>
  <c r="P36" i="21" s="1"/>
  <c r="N35" i="21"/>
  <c r="O38" i="20"/>
  <c r="P38" i="20" s="1"/>
  <c r="O38" i="21"/>
  <c r="P38" i="21" s="1"/>
  <c r="M37" i="21"/>
  <c r="M38" i="21"/>
  <c r="M37" i="4"/>
  <c r="N35" i="20"/>
  <c r="N28" i="20"/>
  <c r="P36" i="20" s="1"/>
  <c r="M27" i="20"/>
  <c r="O35" i="20" s="1"/>
  <c r="M37" i="20"/>
  <c r="M38" i="20"/>
  <c r="M37" i="18"/>
  <c r="O37" i="18" s="1"/>
  <c r="O38" i="18"/>
  <c r="P38" i="18" s="1"/>
  <c r="M38" i="18"/>
  <c r="N35" i="18"/>
  <c r="M27" i="18"/>
  <c r="O35" i="18" s="1"/>
  <c r="N28" i="18"/>
  <c r="P36" i="18" s="1"/>
  <c r="AD16" i="13"/>
  <c r="P140" i="3"/>
  <c r="AD20" i="13"/>
  <c r="N136" i="3"/>
  <c r="N137" i="3" s="1"/>
  <c r="AD8" i="13"/>
  <c r="L23" i="3"/>
  <c r="F30" i="3"/>
  <c r="C32" i="3" s="1"/>
  <c r="D5" i="17" s="1"/>
  <c r="D4" i="17" s="1"/>
  <c r="L22" i="3"/>
  <c r="E44" i="3"/>
  <c r="K44" i="3" s="1"/>
  <c r="C47" i="3" s="1"/>
  <c r="H5" i="17" s="1"/>
  <c r="H4" i="17" s="1"/>
  <c r="S8" i="13"/>
  <c r="P132" i="3"/>
  <c r="O35" i="4"/>
  <c r="N35" i="4"/>
  <c r="M38" i="4"/>
  <c r="V18" i="13"/>
  <c r="V19" i="13" s="1"/>
  <c r="C85" i="3"/>
  <c r="F7" i="13"/>
  <c r="G7" i="13" s="1"/>
  <c r="O38" i="4"/>
  <c r="P38" i="4" s="1"/>
  <c r="E85" i="3"/>
  <c r="B68" i="3"/>
  <c r="B63" i="3"/>
  <c r="C57" i="3"/>
  <c r="B67" i="3"/>
  <c r="C59" i="3"/>
  <c r="B69" i="3"/>
  <c r="N28" i="23" l="1"/>
  <c r="P36" i="23" s="1"/>
  <c r="P37" i="23" s="1"/>
  <c r="J5" i="17"/>
  <c r="J4" i="17" s="1"/>
  <c r="C60" i="3"/>
  <c r="O37" i="26"/>
  <c r="P33" i="26"/>
  <c r="N37" i="26"/>
  <c r="P34" i="26"/>
  <c r="P39" i="26"/>
  <c r="P37" i="26"/>
  <c r="P39" i="25"/>
  <c r="P37" i="25"/>
  <c r="O37" i="25"/>
  <c r="P33" i="25"/>
  <c r="N37" i="25"/>
  <c r="P34" i="25"/>
  <c r="P39" i="24"/>
  <c r="P37" i="24"/>
  <c r="O37" i="24"/>
  <c r="P33" i="24"/>
  <c r="N37" i="24"/>
  <c r="P34" i="24"/>
  <c r="O37" i="23"/>
  <c r="P33" i="23"/>
  <c r="N37" i="23"/>
  <c r="P34" i="23"/>
  <c r="P39" i="23"/>
  <c r="O37" i="22"/>
  <c r="P33" i="22"/>
  <c r="N37" i="22"/>
  <c r="P34" i="22"/>
  <c r="P37" i="22"/>
  <c r="P39" i="22"/>
  <c r="O37" i="21"/>
  <c r="P33" i="21"/>
  <c r="N37" i="21"/>
  <c r="P34" i="21"/>
  <c r="P37" i="21"/>
  <c r="P39" i="21"/>
  <c r="P37" i="18"/>
  <c r="O37" i="20"/>
  <c r="P33" i="20"/>
  <c r="P39" i="20"/>
  <c r="P37" i="20"/>
  <c r="N37" i="20"/>
  <c r="P34" i="20"/>
  <c r="P39" i="18"/>
  <c r="P34" i="18"/>
  <c r="P33" i="18"/>
  <c r="N37" i="18"/>
  <c r="C35" i="3"/>
  <c r="D18" i="3" s="1"/>
  <c r="O143" i="3"/>
  <c r="K45" i="3" s="1"/>
  <c r="D16" i="3"/>
  <c r="D93" i="3"/>
  <c r="P39" i="4"/>
  <c r="P37" i="4"/>
  <c r="O37" i="4"/>
  <c r="P33" i="4"/>
  <c r="N37" i="4"/>
  <c r="P36" i="4" s="1"/>
  <c r="P34" i="4"/>
  <c r="E8" i="13"/>
  <c r="F8" i="13" s="1"/>
  <c r="C87" i="3"/>
  <c r="D85" i="3"/>
  <c r="C86" i="3"/>
  <c r="B62" i="3" l="1"/>
  <c r="A63" i="3" s="1"/>
  <c r="K5" i="17"/>
  <c r="K4" i="17" s="1"/>
  <c r="C61" i="3"/>
  <c r="L5" i="17" s="1"/>
  <c r="L4" i="17" s="1"/>
  <c r="D20" i="3"/>
  <c r="C88" i="3"/>
  <c r="D86" i="3"/>
  <c r="D87" i="3"/>
  <c r="AD23" i="13" l="1"/>
  <c r="AD7" i="13"/>
  <c r="AD18" i="13"/>
  <c r="D67" i="3" s="1"/>
  <c r="D69" i="3" s="1"/>
  <c r="M5" i="17" s="1"/>
  <c r="M4" i="17" s="1"/>
  <c r="AD2" i="13"/>
  <c r="AD19" i="13"/>
  <c r="AD3" i="13"/>
  <c r="AD14" i="13"/>
  <c r="D68" i="3" s="1"/>
  <c r="AD15" i="13"/>
  <c r="AD26" i="13"/>
  <c r="AD10" i="13"/>
  <c r="AD27" i="13"/>
  <c r="AD11" i="13"/>
  <c r="AD22" i="13"/>
  <c r="AD6" i="13"/>
  <c r="F71" i="3"/>
  <c r="K20" i="3"/>
  <c r="T5" i="17" s="1"/>
  <c r="T4" i="17" s="1"/>
  <c r="F5" i="17"/>
  <c r="F4" i="17" s="1"/>
  <c r="D88" i="3"/>
  <c r="F72" i="3"/>
  <c r="N5" i="17" s="1"/>
  <c r="N4" i="17" s="1"/>
  <c r="W26" i="13" l="1"/>
  <c r="W27" i="13" s="1"/>
  <c r="L20" i="3"/>
  <c r="E88" i="3"/>
  <c r="D90" i="3" s="1"/>
  <c r="O5" i="17" s="1"/>
  <c r="O4" i="17" s="1"/>
  <c r="D95" i="3"/>
  <c r="D96" i="3" l="1"/>
  <c r="C99" i="3" s="1"/>
  <c r="D21" i="3" s="1"/>
  <c r="D24" i="3" s="1"/>
  <c r="K21" i="3" l="1"/>
  <c r="U5" i="17" s="1"/>
  <c r="U4" i="17" s="1"/>
  <c r="K24" i="3"/>
  <c r="P5" i="17"/>
  <c r="P4" i="17" s="1"/>
  <c r="S5" i="17" l="1"/>
  <c r="S4" i="17" s="1"/>
  <c r="L21" i="3"/>
  <c r="X5" i="17"/>
  <c r="X4" i="17" s="1"/>
  <c r="L24" i="3" l="1"/>
</calcChain>
</file>

<file path=xl/sharedStrings.xml><?xml version="1.0" encoding="utf-8"?>
<sst xmlns="http://schemas.openxmlformats.org/spreadsheetml/2006/main" count="368" uniqueCount="195">
  <si>
    <t>(Macros should be enabled)</t>
  </si>
  <si>
    <t>Guldhammer &amp; Harwald Method for Ship Resistance Prediction</t>
  </si>
  <si>
    <t>LBP</t>
  </si>
  <si>
    <t>m</t>
  </si>
  <si>
    <t>B</t>
  </si>
  <si>
    <r>
      <t>V</t>
    </r>
    <r>
      <rPr>
        <vertAlign val="subscript"/>
        <sz val="11"/>
        <color theme="1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(knots)=</t>
    </r>
  </si>
  <si>
    <t>T</t>
  </si>
  <si>
    <r>
      <t>V</t>
    </r>
    <r>
      <rPr>
        <vertAlign val="subscript"/>
        <sz val="11"/>
        <color theme="1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(m/s)=</t>
    </r>
  </si>
  <si>
    <r>
      <t>ϕ (C</t>
    </r>
    <r>
      <rPr>
        <vertAlign val="subscript"/>
        <sz val="11"/>
        <color theme="1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>)</t>
    </r>
  </si>
  <si>
    <r>
      <t>δ (C</t>
    </r>
    <r>
      <rPr>
        <vertAlign val="subscript"/>
        <sz val="11"/>
        <color theme="1"/>
        <rFont val="Calibri"/>
        <family val="2"/>
        <scheme val="minor"/>
      </rPr>
      <t>B</t>
    </r>
    <r>
      <rPr>
        <sz val="11"/>
        <color theme="1"/>
        <rFont val="Calibri"/>
        <family val="2"/>
        <scheme val="minor"/>
      </rPr>
      <t>)</t>
    </r>
  </si>
  <si>
    <r>
      <t>ν</t>
    </r>
    <r>
      <rPr>
        <vertAlign val="subscript"/>
        <sz val="11"/>
        <color theme="1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=</t>
    </r>
  </si>
  <si>
    <r>
      <t>1.188*10</t>
    </r>
    <r>
      <rPr>
        <vertAlign val="superscript"/>
        <sz val="11"/>
        <color theme="1"/>
        <rFont val="Calibri"/>
        <family val="2"/>
        <scheme val="minor"/>
      </rPr>
      <t>-6</t>
    </r>
  </si>
  <si>
    <r>
      <t>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/s</t>
    </r>
  </si>
  <si>
    <r>
      <t>A</t>
    </r>
    <r>
      <rPr>
        <vertAlign val="subscript"/>
        <sz val="11"/>
        <color theme="1"/>
        <rFont val="Calibri"/>
        <family val="2"/>
        <scheme val="minor"/>
      </rPr>
      <t>MID</t>
    </r>
  </si>
  <si>
    <r>
      <t>m</t>
    </r>
    <r>
      <rPr>
        <vertAlign val="superscript"/>
        <sz val="11"/>
        <color theme="1"/>
        <rFont val="Calibri"/>
        <family val="2"/>
        <scheme val="minor"/>
      </rPr>
      <t>2</t>
    </r>
  </si>
  <si>
    <t>g=</t>
  </si>
  <si>
    <r>
      <t>m/s</t>
    </r>
    <r>
      <rPr>
        <vertAlign val="superscript"/>
        <sz val="11"/>
        <color theme="1"/>
        <rFont val="Calibri"/>
        <family val="2"/>
        <scheme val="minor"/>
      </rPr>
      <t>2</t>
    </r>
  </si>
  <si>
    <r>
      <t>A</t>
    </r>
    <r>
      <rPr>
        <vertAlign val="subscript"/>
        <sz val="11"/>
        <color theme="1"/>
        <rFont val="Calibri"/>
        <family val="2"/>
        <scheme val="minor"/>
      </rPr>
      <t>BT</t>
    </r>
  </si>
  <si>
    <r>
      <t>tonnes/m</t>
    </r>
    <r>
      <rPr>
        <vertAlign val="superscript"/>
        <sz val="11"/>
        <color theme="1"/>
        <rFont val="Calibri"/>
        <family val="2"/>
        <scheme val="minor"/>
      </rPr>
      <t>3</t>
    </r>
  </si>
  <si>
    <t>LCB</t>
  </si>
  <si>
    <t>▼</t>
  </si>
  <si>
    <r>
      <t>m</t>
    </r>
    <r>
      <rPr>
        <vertAlign val="superscript"/>
        <sz val="11"/>
        <color theme="1"/>
        <rFont val="Calibri"/>
        <family val="2"/>
        <scheme val="minor"/>
      </rPr>
      <t>3</t>
    </r>
  </si>
  <si>
    <t>▲</t>
  </si>
  <si>
    <t>tonnes</t>
  </si>
  <si>
    <t>Results</t>
  </si>
  <si>
    <t>Coefficients of Resistance</t>
  </si>
  <si>
    <t>Resistance of Ship</t>
  </si>
  <si>
    <r>
      <t>10</t>
    </r>
    <r>
      <rPr>
        <b/>
        <vertAlign val="superscript"/>
        <sz val="11"/>
        <color rgb="FF000000"/>
        <rFont val="Calibri"/>
        <family val="2"/>
        <scheme val="minor"/>
      </rPr>
      <t>3</t>
    </r>
    <r>
      <rPr>
        <b/>
        <sz val="11"/>
        <color rgb="FF000000"/>
        <rFont val="Calibri"/>
        <family val="2"/>
        <scheme val="minor"/>
      </rPr>
      <t>C</t>
    </r>
    <r>
      <rPr>
        <b/>
        <vertAlign val="subscript"/>
        <sz val="11"/>
        <color rgb="FF000000"/>
        <rFont val="Calibri"/>
        <family val="2"/>
        <scheme val="minor"/>
      </rPr>
      <t>F</t>
    </r>
    <r>
      <rPr>
        <b/>
        <sz val="11"/>
        <color rgb="FF000000"/>
        <rFont val="Calibri"/>
        <family val="2"/>
        <scheme val="minor"/>
      </rPr>
      <t>’=</t>
    </r>
  </si>
  <si>
    <t>Equation</t>
  </si>
  <si>
    <r>
      <t>10</t>
    </r>
    <r>
      <rPr>
        <b/>
        <vertAlign val="superscript"/>
        <sz val="11"/>
        <color rgb="FF000000"/>
        <rFont val="Calibri"/>
        <family val="2"/>
        <scheme val="minor"/>
      </rPr>
      <t>3</t>
    </r>
    <r>
      <rPr>
        <b/>
        <sz val="11"/>
        <color rgb="FF000000"/>
        <rFont val="Calibri"/>
        <family val="2"/>
        <scheme val="minor"/>
      </rPr>
      <t>C</t>
    </r>
    <r>
      <rPr>
        <b/>
        <vertAlign val="subscript"/>
        <sz val="11"/>
        <color rgb="FF000000"/>
        <rFont val="Calibri"/>
        <family val="2"/>
        <scheme val="minor"/>
      </rPr>
      <t>A</t>
    </r>
    <r>
      <rPr>
        <b/>
        <sz val="11"/>
        <color rgb="FF000000"/>
        <rFont val="Calibri"/>
        <family val="2"/>
        <scheme val="minor"/>
      </rPr>
      <t>=</t>
    </r>
  </si>
  <si>
    <t>WSA of hull</t>
  </si>
  <si>
    <t>S</t>
  </si>
  <si>
    <r>
      <t>S=1.025L</t>
    </r>
    <r>
      <rPr>
        <vertAlign val="subscript"/>
        <sz val="11"/>
        <color theme="0" tint="-0.499984740745262"/>
        <rFont val="Calibri"/>
        <family val="2"/>
        <scheme val="minor"/>
      </rPr>
      <t>pp</t>
    </r>
    <r>
      <rPr>
        <sz val="11"/>
        <color theme="0" tint="-0.499984740745262"/>
        <rFont val="Calibri"/>
        <family val="2"/>
        <scheme val="minor"/>
      </rPr>
      <t>(δB+1.7T)</t>
    </r>
  </si>
  <si>
    <t xml:space="preserve">Final </t>
  </si>
  <si>
    <r>
      <t>10</t>
    </r>
    <r>
      <rPr>
        <b/>
        <vertAlign val="superscript"/>
        <sz val="11"/>
        <color rgb="FF000000"/>
        <rFont val="Calibri"/>
        <family val="2"/>
        <scheme val="minor"/>
      </rPr>
      <t>3</t>
    </r>
    <r>
      <rPr>
        <b/>
        <sz val="11"/>
        <color rgb="FF000000"/>
        <rFont val="Calibri"/>
        <family val="2"/>
        <scheme val="minor"/>
      </rPr>
      <t>C</t>
    </r>
    <r>
      <rPr>
        <b/>
        <vertAlign val="subscript"/>
        <sz val="11"/>
        <color rgb="FF000000"/>
        <rFont val="Calibri"/>
        <family val="2"/>
        <scheme val="minor"/>
      </rPr>
      <t>F</t>
    </r>
    <r>
      <rPr>
        <b/>
        <sz val="11"/>
        <color rgb="FF000000"/>
        <rFont val="Calibri"/>
        <family val="2"/>
        <scheme val="minor"/>
      </rPr>
      <t>=</t>
    </r>
  </si>
  <si>
    <t>WSA of appendages</t>
  </si>
  <si>
    <r>
      <t>S</t>
    </r>
    <r>
      <rPr>
        <b/>
        <vertAlign val="subscript"/>
        <sz val="11"/>
        <color theme="1"/>
        <rFont val="Calibri"/>
        <family val="2"/>
        <scheme val="minor"/>
      </rPr>
      <t>1</t>
    </r>
  </si>
  <si>
    <t>Total WSA</t>
  </si>
  <si>
    <r>
      <t>S</t>
    </r>
    <r>
      <rPr>
        <b/>
        <vertAlign val="subscript"/>
        <sz val="11"/>
        <color theme="1"/>
        <rFont val="Calibri"/>
        <family val="2"/>
        <scheme val="minor"/>
      </rPr>
      <t>total</t>
    </r>
  </si>
  <si>
    <r>
      <t>S</t>
    </r>
    <r>
      <rPr>
        <vertAlign val="subscript"/>
        <sz val="11"/>
        <color rgb="FF808080"/>
        <rFont val="Calibri"/>
        <family val="2"/>
        <scheme val="minor"/>
      </rPr>
      <t>Total</t>
    </r>
    <r>
      <rPr>
        <sz val="11"/>
        <color rgb="FF808080"/>
        <rFont val="Calibri"/>
        <family val="2"/>
        <scheme val="minor"/>
      </rPr>
      <t>=S+S</t>
    </r>
    <r>
      <rPr>
        <vertAlign val="subscript"/>
        <sz val="11"/>
        <color rgb="FF808080"/>
        <rFont val="Calibri"/>
        <family val="2"/>
        <scheme val="minor"/>
      </rPr>
      <t>1</t>
    </r>
    <r>
      <rPr>
        <sz val="11"/>
        <color rgb="FF808080"/>
        <rFont val="Calibri"/>
        <family val="2"/>
        <scheme val="minor"/>
      </rPr>
      <t/>
    </r>
  </si>
  <si>
    <r>
      <t>R</t>
    </r>
    <r>
      <rPr>
        <b/>
        <vertAlign val="subscript"/>
        <sz val="11"/>
        <color theme="1"/>
        <rFont val="Calibri"/>
        <family val="2"/>
        <scheme val="minor"/>
      </rPr>
      <t>FS</t>
    </r>
  </si>
  <si>
    <r>
      <t>R</t>
    </r>
    <r>
      <rPr>
        <vertAlign val="subscript"/>
        <sz val="11"/>
        <color rgb="FF808080"/>
        <rFont val="Calibri"/>
        <family val="2"/>
        <scheme val="minor"/>
      </rPr>
      <t>FS</t>
    </r>
    <r>
      <rPr>
        <sz val="11"/>
        <color rgb="FF808080"/>
        <rFont val="Calibri"/>
        <family val="2"/>
        <scheme val="minor"/>
      </rPr>
      <t>=C</t>
    </r>
    <r>
      <rPr>
        <vertAlign val="subscript"/>
        <sz val="11"/>
        <color rgb="FF808080"/>
        <rFont val="Calibri"/>
        <family val="2"/>
        <scheme val="minor"/>
      </rPr>
      <t>F</t>
    </r>
    <r>
      <rPr>
        <sz val="11"/>
        <color rgb="FF808080"/>
        <rFont val="Calibri"/>
        <family val="2"/>
        <scheme val="minor"/>
      </rPr>
      <t>*1/2*ρ</t>
    </r>
    <r>
      <rPr>
        <vertAlign val="subscript"/>
        <sz val="11"/>
        <color rgb="FF808080"/>
        <rFont val="Calibri"/>
        <family val="2"/>
        <scheme val="minor"/>
      </rPr>
      <t>S</t>
    </r>
    <r>
      <rPr>
        <sz val="11"/>
        <color rgb="FF808080"/>
        <rFont val="Calibri"/>
        <family val="2"/>
        <scheme val="minor"/>
      </rPr>
      <t xml:space="preserve">S </t>
    </r>
    <r>
      <rPr>
        <vertAlign val="subscript"/>
        <sz val="11"/>
        <color rgb="FF808080"/>
        <rFont val="Calibri"/>
        <family val="2"/>
        <scheme val="minor"/>
      </rPr>
      <t>Total</t>
    </r>
    <r>
      <rPr>
        <sz val="11"/>
        <color rgb="FF808080"/>
        <rFont val="Calibri"/>
        <family val="2"/>
        <scheme val="minor"/>
      </rPr>
      <t>V</t>
    </r>
    <r>
      <rPr>
        <vertAlign val="superscript"/>
        <sz val="11"/>
        <color rgb="FF808080"/>
        <rFont val="Arial"/>
        <family val="2"/>
      </rPr>
      <t>2</t>
    </r>
  </si>
  <si>
    <r>
      <t>10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C</t>
    </r>
    <r>
      <rPr>
        <b/>
        <vertAlign val="subscript"/>
        <sz val="11"/>
        <color theme="1"/>
        <rFont val="Calibri"/>
        <family val="2"/>
        <scheme val="minor"/>
      </rPr>
      <t>R</t>
    </r>
    <r>
      <rPr>
        <b/>
        <sz val="11"/>
        <color theme="1"/>
        <rFont val="Calibri"/>
        <family val="2"/>
        <scheme val="minor"/>
      </rPr>
      <t>=</t>
    </r>
  </si>
  <si>
    <r>
      <t>R</t>
    </r>
    <r>
      <rPr>
        <b/>
        <vertAlign val="subscript"/>
        <sz val="11"/>
        <color theme="1"/>
        <rFont val="Calibri"/>
        <family val="2"/>
        <scheme val="minor"/>
      </rPr>
      <t>RS</t>
    </r>
  </si>
  <si>
    <r>
      <t>R</t>
    </r>
    <r>
      <rPr>
        <vertAlign val="subscript"/>
        <sz val="11"/>
        <color rgb="FF808080"/>
        <rFont val="Calibri"/>
        <family val="2"/>
        <scheme val="minor"/>
      </rPr>
      <t>RS</t>
    </r>
    <r>
      <rPr>
        <sz val="11"/>
        <color rgb="FF808080"/>
        <rFont val="Calibri"/>
        <family val="2"/>
        <scheme val="minor"/>
      </rPr>
      <t>=C</t>
    </r>
    <r>
      <rPr>
        <vertAlign val="subscript"/>
        <sz val="11"/>
        <color rgb="FF808080"/>
        <rFont val="Calibri"/>
        <family val="2"/>
        <scheme val="minor"/>
      </rPr>
      <t>R</t>
    </r>
    <r>
      <rPr>
        <sz val="11"/>
        <color rgb="FF808080"/>
        <rFont val="Calibri"/>
        <family val="2"/>
        <scheme val="minor"/>
      </rPr>
      <t>*1/2*ρ</t>
    </r>
    <r>
      <rPr>
        <vertAlign val="subscript"/>
        <sz val="11"/>
        <color rgb="FF808080"/>
        <rFont val="Calibri"/>
        <family val="2"/>
        <scheme val="minor"/>
      </rPr>
      <t>S</t>
    </r>
    <r>
      <rPr>
        <sz val="11"/>
        <color rgb="FF808080"/>
        <rFont val="Calibri"/>
        <family val="2"/>
        <scheme val="minor"/>
      </rPr>
      <t xml:space="preserve">S </t>
    </r>
    <r>
      <rPr>
        <vertAlign val="subscript"/>
        <sz val="11"/>
        <color rgb="FF808080"/>
        <rFont val="Calibri"/>
        <family val="2"/>
        <scheme val="minor"/>
      </rPr>
      <t>Total</t>
    </r>
    <r>
      <rPr>
        <sz val="11"/>
        <color rgb="FF808080"/>
        <rFont val="Calibri"/>
        <family val="2"/>
        <scheme val="minor"/>
      </rPr>
      <t>V</t>
    </r>
    <r>
      <rPr>
        <vertAlign val="superscript"/>
        <sz val="11"/>
        <color rgb="FF808080"/>
        <rFont val="Arial"/>
        <family val="2"/>
      </rPr>
      <t>2</t>
    </r>
  </si>
  <si>
    <r>
      <t>10</t>
    </r>
    <r>
      <rPr>
        <b/>
        <vertAlign val="superscript"/>
        <sz val="11"/>
        <color rgb="FF000000"/>
        <rFont val="Calibri"/>
        <family val="2"/>
        <scheme val="minor"/>
      </rPr>
      <t>3</t>
    </r>
    <r>
      <rPr>
        <b/>
        <sz val="11"/>
        <color rgb="FF000000"/>
        <rFont val="Calibri"/>
        <family val="2"/>
        <scheme val="minor"/>
      </rPr>
      <t>C</t>
    </r>
    <r>
      <rPr>
        <b/>
        <vertAlign val="subscript"/>
        <sz val="11"/>
        <color rgb="FF000000"/>
        <rFont val="Calibri"/>
        <family val="2"/>
        <scheme val="minor"/>
      </rPr>
      <t>AA</t>
    </r>
    <r>
      <rPr>
        <b/>
        <sz val="11"/>
        <color rgb="FF000000"/>
        <rFont val="Calibri"/>
        <family val="2"/>
        <scheme val="minor"/>
      </rPr>
      <t>=</t>
    </r>
    <r>
      <rPr>
        <sz val="11"/>
        <color theme="1"/>
        <rFont val="Calibri"/>
        <family val="2"/>
        <scheme val="minor"/>
      </rPr>
      <t/>
    </r>
  </si>
  <si>
    <r>
      <t>R</t>
    </r>
    <r>
      <rPr>
        <b/>
        <vertAlign val="subscript"/>
        <sz val="11"/>
        <color theme="1"/>
        <rFont val="Calibri"/>
        <family val="2"/>
        <scheme val="minor"/>
      </rPr>
      <t>AA</t>
    </r>
  </si>
  <si>
    <r>
      <t>R</t>
    </r>
    <r>
      <rPr>
        <vertAlign val="subscript"/>
        <sz val="11"/>
        <color rgb="FF808080"/>
        <rFont val="Calibri"/>
        <family val="2"/>
        <scheme val="minor"/>
      </rPr>
      <t>AA</t>
    </r>
    <r>
      <rPr>
        <sz val="11"/>
        <color rgb="FF808080"/>
        <rFont val="Calibri"/>
        <family val="2"/>
        <scheme val="minor"/>
      </rPr>
      <t>=C</t>
    </r>
    <r>
      <rPr>
        <vertAlign val="subscript"/>
        <sz val="11"/>
        <color rgb="FF808080"/>
        <rFont val="Calibri"/>
        <family val="2"/>
        <scheme val="minor"/>
      </rPr>
      <t>AA</t>
    </r>
    <r>
      <rPr>
        <sz val="11"/>
        <color rgb="FF808080"/>
        <rFont val="Calibri"/>
        <family val="2"/>
        <scheme val="minor"/>
      </rPr>
      <t>*1/2*ρ</t>
    </r>
    <r>
      <rPr>
        <vertAlign val="subscript"/>
        <sz val="11"/>
        <color rgb="FF808080"/>
        <rFont val="Calibri"/>
        <family val="2"/>
        <scheme val="minor"/>
      </rPr>
      <t>S</t>
    </r>
    <r>
      <rPr>
        <sz val="11"/>
        <color rgb="FF808080"/>
        <rFont val="Calibri"/>
        <family val="2"/>
        <scheme val="minor"/>
      </rPr>
      <t xml:space="preserve">S </t>
    </r>
    <r>
      <rPr>
        <vertAlign val="subscript"/>
        <sz val="11"/>
        <color rgb="FF808080"/>
        <rFont val="Calibri"/>
        <family val="2"/>
        <scheme val="minor"/>
      </rPr>
      <t>Total</t>
    </r>
    <r>
      <rPr>
        <sz val="11"/>
        <color rgb="FF808080"/>
        <rFont val="Calibri"/>
        <family val="2"/>
        <scheme val="minor"/>
      </rPr>
      <t>V</t>
    </r>
    <r>
      <rPr>
        <vertAlign val="superscript"/>
        <sz val="11"/>
        <color rgb="FF808080"/>
        <rFont val="Arial"/>
        <family val="2"/>
      </rPr>
      <t>2</t>
    </r>
  </si>
  <si>
    <r>
      <t>10</t>
    </r>
    <r>
      <rPr>
        <b/>
        <vertAlign val="superscript"/>
        <sz val="11"/>
        <color rgb="FF000000"/>
        <rFont val="Calibri"/>
        <family val="2"/>
        <scheme val="minor"/>
      </rPr>
      <t>3</t>
    </r>
    <r>
      <rPr>
        <b/>
        <sz val="11"/>
        <color rgb="FF000000"/>
        <rFont val="Calibri"/>
        <family val="2"/>
        <scheme val="minor"/>
      </rPr>
      <t>C</t>
    </r>
    <r>
      <rPr>
        <b/>
        <vertAlign val="subscript"/>
        <sz val="11"/>
        <color rgb="FF000000"/>
        <rFont val="Calibri"/>
        <family val="2"/>
        <scheme val="minor"/>
      </rPr>
      <t>AS</t>
    </r>
    <r>
      <rPr>
        <b/>
        <sz val="11"/>
        <color rgb="FF000000"/>
        <rFont val="Calibri"/>
        <family val="2"/>
        <scheme val="minor"/>
      </rPr>
      <t>=</t>
    </r>
    <r>
      <rPr>
        <sz val="11"/>
        <color theme="1"/>
        <rFont val="Calibri"/>
        <family val="2"/>
        <scheme val="minor"/>
      </rPr>
      <t/>
    </r>
  </si>
  <si>
    <r>
      <t>R</t>
    </r>
    <r>
      <rPr>
        <b/>
        <vertAlign val="subscript"/>
        <sz val="11"/>
        <color theme="1"/>
        <rFont val="Calibri"/>
        <family val="2"/>
        <scheme val="minor"/>
      </rPr>
      <t>AS</t>
    </r>
  </si>
  <si>
    <r>
      <t>R</t>
    </r>
    <r>
      <rPr>
        <vertAlign val="subscript"/>
        <sz val="11"/>
        <color rgb="FF808080"/>
        <rFont val="Calibri"/>
        <family val="2"/>
        <scheme val="minor"/>
      </rPr>
      <t>AS</t>
    </r>
    <r>
      <rPr>
        <sz val="11"/>
        <color rgb="FF808080"/>
        <rFont val="Calibri"/>
        <family val="2"/>
        <scheme val="minor"/>
      </rPr>
      <t>=C</t>
    </r>
    <r>
      <rPr>
        <vertAlign val="subscript"/>
        <sz val="11"/>
        <color rgb="FF808080"/>
        <rFont val="Calibri"/>
        <family val="2"/>
        <scheme val="minor"/>
      </rPr>
      <t>AS</t>
    </r>
    <r>
      <rPr>
        <sz val="11"/>
        <color rgb="FF808080"/>
        <rFont val="Calibri"/>
        <family val="2"/>
        <scheme val="minor"/>
      </rPr>
      <t>*1/2*ρ</t>
    </r>
    <r>
      <rPr>
        <vertAlign val="subscript"/>
        <sz val="11"/>
        <color rgb="FF808080"/>
        <rFont val="Calibri"/>
        <family val="2"/>
        <scheme val="minor"/>
      </rPr>
      <t>S</t>
    </r>
    <r>
      <rPr>
        <sz val="11"/>
        <color rgb="FF808080"/>
        <rFont val="Calibri"/>
        <family val="2"/>
        <scheme val="minor"/>
      </rPr>
      <t xml:space="preserve">S </t>
    </r>
    <r>
      <rPr>
        <vertAlign val="subscript"/>
        <sz val="11"/>
        <color rgb="FF808080"/>
        <rFont val="Calibri"/>
        <family val="2"/>
        <scheme val="minor"/>
      </rPr>
      <t>Total</t>
    </r>
    <r>
      <rPr>
        <sz val="11"/>
        <color rgb="FF808080"/>
        <rFont val="Calibri"/>
        <family val="2"/>
        <scheme val="minor"/>
      </rPr>
      <t>V</t>
    </r>
    <r>
      <rPr>
        <vertAlign val="superscript"/>
        <sz val="11"/>
        <color rgb="FF808080"/>
        <rFont val="Arial"/>
        <family val="2"/>
      </rPr>
      <t>2</t>
    </r>
  </si>
  <si>
    <r>
      <t>10</t>
    </r>
    <r>
      <rPr>
        <b/>
        <vertAlign val="superscript"/>
        <sz val="11"/>
        <color rgb="FF000000"/>
        <rFont val="Calibri"/>
        <family val="2"/>
        <scheme val="minor"/>
      </rPr>
      <t>3</t>
    </r>
    <r>
      <rPr>
        <b/>
        <sz val="11"/>
        <color rgb="FF000000"/>
        <rFont val="Calibri"/>
        <family val="2"/>
        <scheme val="minor"/>
      </rPr>
      <t>C</t>
    </r>
    <r>
      <rPr>
        <b/>
        <vertAlign val="subscript"/>
        <sz val="11"/>
        <color rgb="FF000000"/>
        <rFont val="Calibri"/>
        <family val="2"/>
        <scheme val="minor"/>
      </rPr>
      <t>T</t>
    </r>
    <r>
      <rPr>
        <b/>
        <sz val="11"/>
        <color rgb="FF000000"/>
        <rFont val="Calibri"/>
        <family val="2"/>
        <scheme val="minor"/>
      </rPr>
      <t>=</t>
    </r>
  </si>
  <si>
    <r>
      <t>R</t>
    </r>
    <r>
      <rPr>
        <b/>
        <vertAlign val="subscript"/>
        <sz val="11"/>
        <color theme="1"/>
        <rFont val="Calibri"/>
        <family val="2"/>
        <scheme val="minor"/>
      </rPr>
      <t>TS</t>
    </r>
  </si>
  <si>
    <r>
      <t>R</t>
    </r>
    <r>
      <rPr>
        <vertAlign val="subscript"/>
        <sz val="11"/>
        <color rgb="FF808080"/>
        <rFont val="Calibri"/>
        <family val="2"/>
        <scheme val="minor"/>
      </rPr>
      <t>T</t>
    </r>
    <r>
      <rPr>
        <sz val="11"/>
        <color rgb="FF808080"/>
        <rFont val="Calibri"/>
        <family val="2"/>
        <scheme val="minor"/>
      </rPr>
      <t>=C</t>
    </r>
    <r>
      <rPr>
        <vertAlign val="subscript"/>
        <sz val="11"/>
        <color rgb="FF808080"/>
        <rFont val="Calibri"/>
        <family val="2"/>
        <scheme val="minor"/>
      </rPr>
      <t>T</t>
    </r>
    <r>
      <rPr>
        <sz val="11"/>
        <color rgb="FF808080"/>
        <rFont val="Calibri"/>
        <family val="2"/>
        <scheme val="minor"/>
      </rPr>
      <t>*1/2*ρ</t>
    </r>
    <r>
      <rPr>
        <vertAlign val="subscript"/>
        <sz val="11"/>
        <color rgb="FF808080"/>
        <rFont val="Calibri"/>
        <family val="2"/>
        <scheme val="minor"/>
      </rPr>
      <t>S</t>
    </r>
    <r>
      <rPr>
        <sz val="11"/>
        <color rgb="FF808080"/>
        <rFont val="Calibri"/>
        <family val="2"/>
        <scheme val="minor"/>
      </rPr>
      <t xml:space="preserve">S </t>
    </r>
    <r>
      <rPr>
        <vertAlign val="subscript"/>
        <sz val="11"/>
        <color rgb="FF808080"/>
        <rFont val="Calibri"/>
        <family val="2"/>
        <scheme val="minor"/>
      </rPr>
      <t>Total</t>
    </r>
    <r>
      <rPr>
        <sz val="11"/>
        <color rgb="FF808080"/>
        <rFont val="Calibri"/>
        <family val="2"/>
        <scheme val="minor"/>
      </rPr>
      <t>V</t>
    </r>
    <r>
      <rPr>
        <vertAlign val="superscript"/>
        <sz val="11"/>
        <color rgb="FF808080"/>
        <rFont val="Arial"/>
        <family val="2"/>
      </rPr>
      <t>2</t>
    </r>
  </si>
  <si>
    <t>Calculations</t>
  </si>
  <si>
    <r>
      <t>Coeff. Of Frictional Resistance, C</t>
    </r>
    <r>
      <rPr>
        <b/>
        <u/>
        <vertAlign val="subscript"/>
        <sz val="16"/>
        <rFont val="Calibri"/>
        <family val="2"/>
        <scheme val="minor"/>
      </rPr>
      <t>F</t>
    </r>
    <r>
      <rPr>
        <sz val="11"/>
        <color rgb="FF000000"/>
        <rFont val="Calibri"/>
        <family val="2"/>
        <scheme val="minor"/>
      </rPr>
      <t/>
    </r>
  </si>
  <si>
    <r>
      <t>R</t>
    </r>
    <r>
      <rPr>
        <vertAlign val="subscript"/>
        <sz val="11"/>
        <rFont val="Calibri"/>
        <family val="2"/>
        <scheme val="minor"/>
      </rPr>
      <t>n</t>
    </r>
  </si>
  <si>
    <r>
      <t>R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>=VL/ν</t>
    </r>
  </si>
  <si>
    <t>=</t>
  </si>
  <si>
    <r>
      <t>C</t>
    </r>
    <r>
      <rPr>
        <vertAlign val="subscript"/>
        <sz val="11"/>
        <color theme="1"/>
        <rFont val="Calibri"/>
        <family val="2"/>
        <scheme val="minor"/>
      </rPr>
      <t>F</t>
    </r>
    <r>
      <rPr>
        <sz val="11"/>
        <color theme="1"/>
        <rFont val="Calibri"/>
        <family val="2"/>
        <scheme val="minor"/>
      </rPr>
      <t>’</t>
    </r>
  </si>
  <si>
    <r>
      <t>C</t>
    </r>
    <r>
      <rPr>
        <vertAlign val="subscript"/>
        <sz val="11"/>
        <rFont val="Calibri"/>
        <family val="2"/>
        <scheme val="minor"/>
      </rPr>
      <t>F</t>
    </r>
    <r>
      <rPr>
        <sz val="11"/>
        <rFont val="Calibri"/>
        <family val="2"/>
        <scheme val="minor"/>
      </rPr>
      <t>'=0.075/(log</t>
    </r>
    <r>
      <rPr>
        <vertAlign val="subscript"/>
        <sz val="11"/>
        <rFont val="Calibri"/>
        <family val="2"/>
        <scheme val="minor"/>
      </rPr>
      <t>10</t>
    </r>
    <r>
      <rPr>
        <sz val="11"/>
        <rFont val="Calibri"/>
        <family val="2"/>
        <scheme val="minor"/>
      </rPr>
      <t>R</t>
    </r>
    <r>
      <rPr>
        <vertAlign val="subscript"/>
        <sz val="11"/>
        <rFont val="Calibri"/>
        <family val="2"/>
        <scheme val="minor"/>
      </rPr>
      <t>n</t>
    </r>
    <r>
      <rPr>
        <sz val="11"/>
        <rFont val="Calibri"/>
        <family val="2"/>
        <scheme val="minor"/>
      </rPr>
      <t>-2)</t>
    </r>
    <r>
      <rPr>
        <vertAlign val="superscript"/>
        <sz val="11"/>
        <rFont val="Calibri"/>
        <family val="2"/>
        <scheme val="minor"/>
      </rPr>
      <t>2</t>
    </r>
  </si>
  <si>
    <r>
      <t>10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F</t>
    </r>
    <r>
      <rPr>
        <sz val="11"/>
        <color theme="1"/>
        <rFont val="Calibri"/>
        <family val="2"/>
        <scheme val="minor"/>
      </rPr>
      <t>'=</t>
    </r>
  </si>
  <si>
    <r>
      <t>10</t>
    </r>
    <r>
      <rPr>
        <b/>
        <vertAlign val="superscript"/>
        <sz val="11"/>
        <color rgb="FF000000"/>
        <rFont val="Calibri"/>
        <family val="2"/>
        <scheme val="minor"/>
      </rPr>
      <t>3</t>
    </r>
    <r>
      <rPr>
        <b/>
        <sz val="11"/>
        <color rgb="FF000000"/>
        <rFont val="Calibri"/>
        <family val="2"/>
        <scheme val="minor"/>
      </rPr>
      <t>C</t>
    </r>
    <r>
      <rPr>
        <b/>
        <vertAlign val="subscript"/>
        <sz val="11"/>
        <color rgb="FF000000"/>
        <rFont val="Calibri"/>
        <family val="2"/>
        <scheme val="minor"/>
      </rPr>
      <t>A</t>
    </r>
    <r>
      <rPr>
        <b/>
        <sz val="11"/>
        <color rgb="FF000000"/>
        <rFont val="Calibri"/>
        <family val="2"/>
        <scheme val="minor"/>
      </rPr>
      <t>=</t>
    </r>
    <r>
      <rPr>
        <sz val="11"/>
        <color theme="1"/>
        <rFont val="Calibri"/>
        <family val="2"/>
        <scheme val="minor"/>
      </rPr>
      <t/>
    </r>
  </si>
  <si>
    <r>
      <t>10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F</t>
    </r>
    <r>
      <rPr>
        <sz val="11"/>
        <color theme="1"/>
        <rFont val="Calibri"/>
        <family val="2"/>
        <scheme val="minor"/>
      </rPr>
      <t>=</t>
    </r>
  </si>
  <si>
    <r>
      <t>10</t>
    </r>
    <r>
      <rPr>
        <vertAlign val="superscript"/>
        <sz val="11"/>
        <color theme="1"/>
        <rFont val="Calibri"/>
        <family val="2"/>
        <scheme val="minor"/>
      </rPr>
      <t xml:space="preserve">3 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F</t>
    </r>
    <r>
      <rPr>
        <sz val="11"/>
        <color theme="1"/>
        <rFont val="Calibri"/>
        <family val="2"/>
        <scheme val="minor"/>
      </rPr>
      <t>’=10</t>
    </r>
    <r>
      <rPr>
        <vertAlign val="superscript"/>
        <sz val="11"/>
        <color theme="1"/>
        <rFont val="Calibri"/>
        <family val="2"/>
        <scheme val="minor"/>
      </rPr>
      <t xml:space="preserve">3 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F</t>
    </r>
    <r>
      <rPr>
        <sz val="11"/>
        <color theme="1"/>
        <rFont val="Calibri"/>
        <family val="2"/>
        <scheme val="minor"/>
      </rPr>
      <t>+10</t>
    </r>
    <r>
      <rPr>
        <vertAlign val="superscript"/>
        <sz val="11"/>
        <color theme="1"/>
        <rFont val="Calibri"/>
        <family val="2"/>
        <scheme val="minor"/>
      </rPr>
      <t xml:space="preserve">3 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A</t>
    </r>
  </si>
  <si>
    <r>
      <t>Coeff. Of Residuary Resistance, C</t>
    </r>
    <r>
      <rPr>
        <b/>
        <u/>
        <vertAlign val="subscript"/>
        <sz val="16"/>
        <rFont val="Calibri"/>
        <family val="2"/>
        <scheme val="minor"/>
      </rPr>
      <t>R</t>
    </r>
  </si>
  <si>
    <r>
      <t>L/</t>
    </r>
    <r>
      <rPr>
        <sz val="11"/>
        <color theme="1"/>
        <rFont val="Arial"/>
        <family val="2"/>
      </rPr>
      <t>▼</t>
    </r>
    <r>
      <rPr>
        <vertAlign val="superscript"/>
        <sz val="11"/>
        <color theme="1"/>
        <rFont val="Arial"/>
        <family val="2"/>
      </rPr>
      <t>1/3</t>
    </r>
    <r>
      <rPr>
        <sz val="11"/>
        <color theme="1"/>
        <rFont val="Arial"/>
        <family val="2"/>
      </rPr>
      <t>=</t>
    </r>
  </si>
  <si>
    <r>
      <t>F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>=</t>
    </r>
  </si>
  <si>
    <t>ϕ=</t>
  </si>
  <si>
    <r>
      <t>(Obtain 10</t>
    </r>
    <r>
      <rPr>
        <u/>
        <vertAlign val="superscript"/>
        <sz val="11"/>
        <color theme="5" tint="-0.249977111117893"/>
        <rFont val="Calibri"/>
        <family val="2"/>
        <scheme val="minor"/>
      </rPr>
      <t>3</t>
    </r>
    <r>
      <rPr>
        <u/>
        <sz val="11"/>
        <color theme="5" tint="-0.249977111117893"/>
        <rFont val="Calibri"/>
        <family val="2"/>
        <scheme val="minor"/>
      </rPr>
      <t>C</t>
    </r>
    <r>
      <rPr>
        <u/>
        <vertAlign val="subscript"/>
        <sz val="11"/>
        <color theme="5" tint="-0.249977111117893"/>
        <rFont val="Calibri"/>
        <family val="2"/>
        <scheme val="minor"/>
      </rPr>
      <t>R</t>
    </r>
    <r>
      <rPr>
        <u/>
        <sz val="11"/>
        <color theme="5" tint="-0.249977111117893"/>
        <rFont val="Calibri"/>
        <family val="2"/>
        <scheme val="minor"/>
      </rPr>
      <t xml:space="preserve"> values from L/</t>
    </r>
    <r>
      <rPr>
        <u/>
        <sz val="11"/>
        <color theme="5" tint="-0.249977111117893"/>
        <rFont val="Arial"/>
        <family val="2"/>
      </rPr>
      <t>▼</t>
    </r>
    <r>
      <rPr>
        <u/>
        <vertAlign val="superscript"/>
        <sz val="11"/>
        <color theme="5" tint="-0.249977111117893"/>
        <rFont val="Arial"/>
        <family val="2"/>
      </rPr>
      <t>1/3</t>
    </r>
    <r>
      <rPr>
        <u/>
        <sz val="11"/>
        <color theme="5" tint="-0.249977111117893"/>
        <rFont val="Arial"/>
        <family val="2"/>
      </rPr>
      <t xml:space="preserve"> graphs)</t>
    </r>
  </si>
  <si>
    <r>
      <t>L/</t>
    </r>
    <r>
      <rPr>
        <sz val="11"/>
        <color theme="1"/>
        <rFont val="Arial"/>
        <family val="2"/>
      </rPr>
      <t>▼</t>
    </r>
    <r>
      <rPr>
        <vertAlign val="superscript"/>
        <sz val="11"/>
        <color theme="1"/>
        <rFont val="Arial"/>
        <family val="2"/>
      </rPr>
      <t>1/3</t>
    </r>
  </si>
  <si>
    <r>
      <t>10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R</t>
    </r>
  </si>
  <si>
    <r>
      <t>10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R(Standard)</t>
    </r>
    <r>
      <rPr>
        <sz val="11"/>
        <color theme="1"/>
        <rFont val="Calibri"/>
        <family val="2"/>
        <scheme val="minor"/>
      </rPr>
      <t>(From graphs)=</t>
    </r>
  </si>
  <si>
    <r>
      <t>10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R(Standard)</t>
    </r>
    <r>
      <rPr>
        <sz val="11"/>
        <color theme="1"/>
        <rFont val="Calibri"/>
        <family val="2"/>
        <scheme val="minor"/>
      </rPr>
      <t>(Empirical procedure)=</t>
    </r>
  </si>
  <si>
    <r>
      <t>10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R(Standard)</t>
    </r>
    <r>
      <rPr>
        <sz val="11"/>
        <color theme="1"/>
        <rFont val="Calibri"/>
        <family val="2"/>
        <scheme val="minor"/>
      </rPr>
      <t>=</t>
    </r>
  </si>
  <si>
    <t>B/T Correction</t>
  </si>
  <si>
    <t>B/T ratio=</t>
  </si>
  <si>
    <r>
      <rPr>
        <sz val="11"/>
        <color theme="1"/>
        <rFont val="Calibri"/>
        <family val="2"/>
      </rPr>
      <t>Δ</t>
    </r>
    <r>
      <rPr>
        <sz val="11"/>
        <color theme="1"/>
        <rFont val="Calibri"/>
        <family val="2"/>
        <scheme val="minor"/>
      </rPr>
      <t>10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R(B/T Correction)</t>
    </r>
    <r>
      <rPr>
        <sz val="11"/>
        <color theme="1"/>
        <rFont val="Calibri"/>
        <family val="2"/>
        <scheme val="minor"/>
      </rPr>
      <t>=</t>
    </r>
  </si>
  <si>
    <t>LCB Correction</t>
  </si>
  <si>
    <r>
      <t>%</t>
    </r>
    <r>
      <rPr>
        <sz val="11"/>
        <color theme="1"/>
        <rFont val="Calibri"/>
        <family val="2"/>
      </rPr>
      <t>Δ</t>
    </r>
    <r>
      <rPr>
        <sz val="11"/>
        <color theme="1"/>
        <rFont val="Calibri"/>
        <family val="2"/>
        <scheme val="minor"/>
      </rPr>
      <t>LCB</t>
    </r>
  </si>
  <si>
    <t>fwd from amidship</t>
  </si>
  <si>
    <r>
      <t>∂10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C</t>
    </r>
    <r>
      <rPr>
        <b/>
        <vertAlign val="subscript"/>
        <sz val="11"/>
        <color theme="1"/>
        <rFont val="Calibri"/>
        <family val="2"/>
        <scheme val="minor"/>
      </rPr>
      <t xml:space="preserve">R </t>
    </r>
    <r>
      <rPr>
        <b/>
        <sz val="11"/>
        <color theme="1"/>
        <rFont val="Calibri"/>
        <family val="2"/>
        <scheme val="minor"/>
      </rPr>
      <t>/ ∂LCB:</t>
    </r>
  </si>
  <si>
    <t>(Interpolation)</t>
  </si>
  <si>
    <r>
      <t>F</t>
    </r>
    <r>
      <rPr>
        <vertAlign val="subscript"/>
        <sz val="11"/>
        <color theme="1"/>
        <rFont val="Calibri"/>
        <family val="2"/>
        <scheme val="minor"/>
      </rPr>
      <t>n</t>
    </r>
  </si>
  <si>
    <t>ϕ</t>
  </si>
  <si>
    <r>
      <t>∂10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 xml:space="preserve">R </t>
    </r>
    <r>
      <rPr>
        <sz val="11"/>
        <color theme="1"/>
        <rFont val="Calibri"/>
        <family val="2"/>
        <scheme val="minor"/>
      </rPr>
      <t>/ ∂LCB</t>
    </r>
  </si>
  <si>
    <r>
      <t>Δ10</t>
    </r>
    <r>
      <rPr>
        <vertAlign val="superscript"/>
        <sz val="11"/>
        <color rgb="FF000000"/>
        <rFont val="Calibri"/>
        <family val="2"/>
        <scheme val="minor"/>
      </rPr>
      <t>3</t>
    </r>
    <r>
      <rPr>
        <sz val="11"/>
        <color rgb="FF000000"/>
        <rFont val="Calibri"/>
        <family val="2"/>
        <scheme val="minor"/>
      </rPr>
      <t>C</t>
    </r>
    <r>
      <rPr>
        <vertAlign val="subscript"/>
        <sz val="11"/>
        <color rgb="FF000000"/>
        <rFont val="Calibri"/>
        <family val="2"/>
        <scheme val="minor"/>
      </rPr>
      <t>R(LCB Correction)</t>
    </r>
    <r>
      <rPr>
        <sz val="11"/>
        <color rgb="FF000000"/>
        <rFont val="Calibri"/>
        <family val="2"/>
        <scheme val="minor"/>
      </rPr>
      <t>= ∂10</t>
    </r>
    <r>
      <rPr>
        <vertAlign val="superscript"/>
        <sz val="11"/>
        <color rgb="FF000000"/>
        <rFont val="Calibri"/>
        <family val="2"/>
        <scheme val="minor"/>
      </rPr>
      <t>3</t>
    </r>
    <r>
      <rPr>
        <sz val="11"/>
        <color rgb="FF000000"/>
        <rFont val="Calibri"/>
        <family val="2"/>
        <scheme val="minor"/>
      </rPr>
      <t>CR / ∂LCB*ΔLCB</t>
    </r>
  </si>
  <si>
    <t>Bulbous bow correction</t>
  </si>
  <si>
    <r>
      <t>A</t>
    </r>
    <r>
      <rPr>
        <vertAlign val="subscript"/>
        <sz val="11"/>
        <color theme="1"/>
        <rFont val="Calibri"/>
        <family val="2"/>
        <scheme val="minor"/>
      </rPr>
      <t>BT</t>
    </r>
    <r>
      <rPr>
        <sz val="11"/>
        <color theme="1"/>
        <rFont val="Calibri"/>
        <family val="2"/>
        <scheme val="minor"/>
      </rPr>
      <t>=</t>
    </r>
  </si>
  <si>
    <r>
      <t>C</t>
    </r>
    <r>
      <rPr>
        <b/>
        <vertAlign val="subscript"/>
        <sz val="16"/>
        <color theme="1"/>
        <rFont val="Calibri"/>
        <family val="2"/>
        <scheme val="minor"/>
      </rPr>
      <t>P</t>
    </r>
  </si>
  <si>
    <r>
      <t>Froudes’ Number, F</t>
    </r>
    <r>
      <rPr>
        <b/>
        <vertAlign val="subscript"/>
        <sz val="11"/>
        <color theme="1"/>
        <rFont val="Calibri"/>
        <family val="2"/>
        <scheme val="minor"/>
      </rPr>
      <t>n</t>
    </r>
  </si>
  <si>
    <r>
      <t>A</t>
    </r>
    <r>
      <rPr>
        <vertAlign val="subscript"/>
        <sz val="11"/>
        <color theme="1"/>
        <rFont val="Calibri"/>
        <family val="2"/>
        <scheme val="minor"/>
      </rPr>
      <t>MID</t>
    </r>
    <r>
      <rPr>
        <sz val="11"/>
        <color theme="1"/>
        <rFont val="Calibri"/>
        <family val="2"/>
        <scheme val="minor"/>
      </rPr>
      <t>=</t>
    </r>
  </si>
  <si>
    <r>
      <t>A</t>
    </r>
    <r>
      <rPr>
        <vertAlign val="subscript"/>
        <sz val="11"/>
        <color theme="1"/>
        <rFont val="Calibri"/>
        <family val="2"/>
        <scheme val="minor"/>
      </rPr>
      <t>BT</t>
    </r>
    <r>
      <rPr>
        <sz val="11"/>
        <color theme="1"/>
        <rFont val="Calibri"/>
        <family val="2"/>
        <scheme val="minor"/>
      </rPr>
      <t xml:space="preserve"> /A</t>
    </r>
    <r>
      <rPr>
        <vertAlign val="subscript"/>
        <sz val="11"/>
        <color theme="1"/>
        <rFont val="Calibri"/>
        <family val="2"/>
        <scheme val="minor"/>
      </rPr>
      <t>MID</t>
    </r>
    <r>
      <rPr>
        <sz val="11"/>
        <color theme="1"/>
        <rFont val="Calibri"/>
        <family val="2"/>
        <scheme val="minor"/>
      </rPr>
      <t xml:space="preserve"> =</t>
    </r>
  </si>
  <si>
    <r>
      <t>A</t>
    </r>
    <r>
      <rPr>
        <vertAlign val="subscript"/>
        <sz val="11"/>
        <color theme="1"/>
        <rFont val="Calibri"/>
        <family val="2"/>
        <scheme val="minor"/>
      </rPr>
      <t>BT</t>
    </r>
    <r>
      <rPr>
        <sz val="11"/>
        <color theme="1"/>
        <rFont val="Calibri"/>
        <family val="2"/>
        <scheme val="minor"/>
      </rPr>
      <t xml:space="preserve"> /A</t>
    </r>
    <r>
      <rPr>
        <vertAlign val="subscript"/>
        <sz val="11"/>
        <color theme="1"/>
        <rFont val="Calibri"/>
        <family val="2"/>
        <scheme val="minor"/>
      </rPr>
      <t>MID</t>
    </r>
  </si>
  <si>
    <t>Interpolation</t>
  </si>
  <si>
    <r>
      <t>Froudes’ Number, F</t>
    </r>
    <r>
      <rPr>
        <b/>
        <vertAlign val="subscript"/>
        <sz val="10"/>
        <color theme="1"/>
        <rFont val="Calibri"/>
        <family val="2"/>
        <scheme val="minor"/>
      </rPr>
      <t>n</t>
    </r>
  </si>
  <si>
    <r>
      <t>Δ10</t>
    </r>
    <r>
      <rPr>
        <vertAlign val="superscript"/>
        <sz val="11"/>
        <color rgb="FF000000"/>
        <rFont val="Calibri"/>
        <family val="2"/>
        <scheme val="minor"/>
      </rPr>
      <t>3</t>
    </r>
    <r>
      <rPr>
        <sz val="11"/>
        <color rgb="FF000000"/>
        <rFont val="Calibri"/>
        <family val="2"/>
        <scheme val="minor"/>
      </rPr>
      <t>C</t>
    </r>
    <r>
      <rPr>
        <vertAlign val="subscript"/>
        <sz val="11"/>
        <color rgb="FF000000"/>
        <rFont val="Calibri"/>
        <family val="2"/>
        <scheme val="minor"/>
      </rPr>
      <t>R(BB Correction)</t>
    </r>
    <r>
      <rPr>
        <sz val="11"/>
        <color rgb="FF000000"/>
        <rFont val="Calibri"/>
        <family val="2"/>
        <scheme val="minor"/>
      </rPr>
      <t>=</t>
    </r>
    <r>
      <rPr>
        <sz val="11"/>
        <color theme="1"/>
        <rFont val="Calibri"/>
        <family val="2"/>
        <scheme val="minor"/>
      </rPr>
      <t/>
    </r>
  </si>
  <si>
    <r>
      <t>10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C</t>
    </r>
    <r>
      <rPr>
        <b/>
        <vertAlign val="subscript"/>
        <sz val="11"/>
        <color theme="1"/>
        <rFont val="Calibri"/>
        <family val="2"/>
        <scheme val="minor"/>
      </rPr>
      <t>R(Standard)</t>
    </r>
  </si>
  <si>
    <r>
      <t>Δ10</t>
    </r>
    <r>
      <rPr>
        <b/>
        <vertAlign val="superscript"/>
        <sz val="11"/>
        <color rgb="FF000000"/>
        <rFont val="Calibri"/>
        <family val="2"/>
        <scheme val="minor"/>
      </rPr>
      <t>3</t>
    </r>
    <r>
      <rPr>
        <b/>
        <sz val="11"/>
        <color rgb="FF000000"/>
        <rFont val="Calibri"/>
        <family val="2"/>
        <scheme val="minor"/>
      </rPr>
      <t>C</t>
    </r>
    <r>
      <rPr>
        <b/>
        <vertAlign val="subscript"/>
        <sz val="11"/>
        <color rgb="FF000000"/>
        <rFont val="Calibri"/>
        <family val="2"/>
        <scheme val="minor"/>
      </rPr>
      <t>R(B/T Correction)</t>
    </r>
  </si>
  <si>
    <r>
      <t>Δ10</t>
    </r>
    <r>
      <rPr>
        <b/>
        <vertAlign val="superscript"/>
        <sz val="11"/>
        <color rgb="FF000000"/>
        <rFont val="Calibri"/>
        <family val="2"/>
        <scheme val="minor"/>
      </rPr>
      <t>3</t>
    </r>
    <r>
      <rPr>
        <b/>
        <sz val="11"/>
        <color rgb="FF000000"/>
        <rFont val="Calibri"/>
        <family val="2"/>
        <scheme val="minor"/>
      </rPr>
      <t>C</t>
    </r>
    <r>
      <rPr>
        <b/>
        <vertAlign val="subscript"/>
        <sz val="11"/>
        <color rgb="FF000000"/>
        <rFont val="Calibri"/>
        <family val="2"/>
        <scheme val="minor"/>
      </rPr>
      <t>R(LCB Correction)</t>
    </r>
  </si>
  <si>
    <r>
      <t>Δ10</t>
    </r>
    <r>
      <rPr>
        <b/>
        <vertAlign val="superscript"/>
        <sz val="11"/>
        <color rgb="FF000000"/>
        <rFont val="Calibri"/>
        <family val="2"/>
        <scheme val="minor"/>
      </rPr>
      <t>3</t>
    </r>
    <r>
      <rPr>
        <b/>
        <sz val="11"/>
        <color rgb="FF000000"/>
        <rFont val="Calibri"/>
        <family val="2"/>
        <scheme val="minor"/>
      </rPr>
      <t>C</t>
    </r>
    <r>
      <rPr>
        <b/>
        <vertAlign val="subscript"/>
        <sz val="11"/>
        <color rgb="FF000000"/>
        <rFont val="Calibri"/>
        <family val="2"/>
        <scheme val="minor"/>
      </rPr>
      <t>R(BB Correction)</t>
    </r>
    <r>
      <rPr>
        <sz val="11"/>
        <color theme="1"/>
        <rFont val="Calibri"/>
        <family val="2"/>
        <scheme val="minor"/>
      </rPr>
      <t/>
    </r>
  </si>
  <si>
    <r>
      <t>10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C</t>
    </r>
    <r>
      <rPr>
        <b/>
        <vertAlign val="subscript"/>
        <sz val="11"/>
        <color theme="1"/>
        <rFont val="Calibri"/>
        <family val="2"/>
        <scheme val="minor"/>
      </rPr>
      <t>R</t>
    </r>
    <r>
      <rPr>
        <b/>
        <sz val="11"/>
        <color theme="1"/>
        <rFont val="Calibri"/>
        <family val="2"/>
        <scheme val="minor"/>
      </rPr>
      <t>=10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C</t>
    </r>
    <r>
      <rPr>
        <b/>
        <vertAlign val="subscript"/>
        <sz val="11"/>
        <color theme="1"/>
        <rFont val="Calibri"/>
        <family val="2"/>
        <scheme val="minor"/>
      </rPr>
      <t>R(Standard)</t>
    </r>
    <r>
      <rPr>
        <b/>
        <sz val="11"/>
        <color theme="1"/>
        <rFont val="Calibri"/>
        <family val="2"/>
        <scheme val="minor"/>
      </rPr>
      <t>+10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ΔC</t>
    </r>
    <r>
      <rPr>
        <b/>
        <vertAlign val="subscript"/>
        <sz val="11"/>
        <color theme="1"/>
        <rFont val="Calibri"/>
        <family val="2"/>
        <scheme val="minor"/>
      </rPr>
      <t>R(B/T Correction)</t>
    </r>
    <r>
      <rPr>
        <b/>
        <sz val="11"/>
        <color theme="1"/>
        <rFont val="Calibri"/>
        <family val="2"/>
        <scheme val="minor"/>
      </rPr>
      <t>+ 10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 xml:space="preserve"> ΔC</t>
    </r>
    <r>
      <rPr>
        <b/>
        <vertAlign val="subscript"/>
        <sz val="11"/>
        <color theme="1"/>
        <rFont val="Calibri"/>
        <family val="2"/>
        <scheme val="minor"/>
      </rPr>
      <t>R(LCB Correction)</t>
    </r>
    <r>
      <rPr>
        <b/>
        <sz val="11"/>
        <color theme="1"/>
        <rFont val="Calibri"/>
        <family val="2"/>
        <scheme val="minor"/>
      </rPr>
      <t>+ 10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ΔC</t>
    </r>
    <r>
      <rPr>
        <b/>
        <vertAlign val="subscript"/>
        <sz val="11"/>
        <color theme="1"/>
        <rFont val="Calibri"/>
        <family val="2"/>
        <scheme val="minor"/>
      </rPr>
      <t>R(BB Correction)</t>
    </r>
    <r>
      <rPr>
        <b/>
        <sz val="11"/>
        <color theme="1"/>
        <rFont val="Calibri"/>
        <family val="2"/>
        <scheme val="minor"/>
      </rPr>
      <t>=</t>
    </r>
  </si>
  <si>
    <t>Incremental Resistance Coeff. For Model-Ship Corelation</t>
  </si>
  <si>
    <t>L</t>
  </si>
  <si>
    <r>
      <t>Δ10</t>
    </r>
    <r>
      <rPr>
        <vertAlign val="superscript"/>
        <sz val="11"/>
        <color rgb="FF000000"/>
        <rFont val="Calibri"/>
        <family val="2"/>
        <scheme val="minor"/>
      </rPr>
      <t>3</t>
    </r>
    <r>
      <rPr>
        <sz val="11"/>
        <color rgb="FF000000"/>
        <rFont val="Calibri"/>
        <family val="2"/>
        <scheme val="minor"/>
      </rPr>
      <t>C</t>
    </r>
    <r>
      <rPr>
        <vertAlign val="subscript"/>
        <sz val="11"/>
        <color rgb="FF000000"/>
        <rFont val="Calibri"/>
        <family val="2"/>
        <scheme val="minor"/>
      </rPr>
      <t>A</t>
    </r>
    <r>
      <rPr>
        <sz val="11"/>
        <color rgb="FF000000"/>
        <rFont val="Calibri"/>
        <family val="2"/>
        <scheme val="minor"/>
      </rPr>
      <t>=</t>
    </r>
    <r>
      <rPr>
        <sz val="11"/>
        <color theme="1"/>
        <rFont val="Calibri"/>
        <family val="2"/>
        <scheme val="minor"/>
      </rPr>
      <t/>
    </r>
  </si>
  <si>
    <r>
      <t>10</t>
    </r>
    <r>
      <rPr>
        <vertAlign val="superscript"/>
        <sz val="11"/>
        <color rgb="FF000000"/>
        <rFont val="Calibri"/>
        <family val="2"/>
        <scheme val="minor"/>
      </rPr>
      <t>3</t>
    </r>
    <r>
      <rPr>
        <sz val="11"/>
        <color rgb="FF000000"/>
        <rFont val="Calibri"/>
        <family val="2"/>
        <scheme val="minor"/>
      </rPr>
      <t>C</t>
    </r>
    <r>
      <rPr>
        <vertAlign val="subscript"/>
        <sz val="11"/>
        <color rgb="FF000000"/>
        <rFont val="Calibri"/>
        <family val="2"/>
        <scheme val="minor"/>
      </rPr>
      <t>A</t>
    </r>
    <r>
      <rPr>
        <sz val="11"/>
        <color rgb="FF000000"/>
        <rFont val="Calibri"/>
        <family val="2"/>
        <scheme val="minor"/>
      </rPr>
      <t>(Standard)</t>
    </r>
  </si>
  <si>
    <r>
      <t>10</t>
    </r>
    <r>
      <rPr>
        <vertAlign val="superscript"/>
        <sz val="11"/>
        <color rgb="FF000000"/>
        <rFont val="Calibri"/>
        <family val="2"/>
        <scheme val="minor"/>
      </rPr>
      <t>3</t>
    </r>
    <r>
      <rPr>
        <sz val="11"/>
        <color rgb="FF000000"/>
        <rFont val="Calibri"/>
        <family val="2"/>
        <scheme val="minor"/>
      </rPr>
      <t>C</t>
    </r>
    <r>
      <rPr>
        <vertAlign val="subscript"/>
        <sz val="11"/>
        <color rgb="FF000000"/>
        <rFont val="Calibri"/>
        <family val="2"/>
        <scheme val="minor"/>
      </rPr>
      <t>A</t>
    </r>
    <r>
      <rPr>
        <sz val="11"/>
        <color rgb="FF000000"/>
        <rFont val="Calibri"/>
        <family val="2"/>
        <scheme val="minor"/>
      </rPr>
      <t>(corresponding to length)</t>
    </r>
  </si>
  <si>
    <r>
      <t>10</t>
    </r>
    <r>
      <rPr>
        <vertAlign val="superscript"/>
        <sz val="11"/>
        <color rgb="FF000000"/>
        <rFont val="Calibri"/>
        <family val="2"/>
        <scheme val="minor"/>
      </rPr>
      <t>3</t>
    </r>
    <r>
      <rPr>
        <sz val="11"/>
        <color rgb="FF000000"/>
        <rFont val="Calibri"/>
        <family val="2"/>
        <scheme val="minor"/>
      </rPr>
      <t>C</t>
    </r>
    <r>
      <rPr>
        <vertAlign val="subscript"/>
        <sz val="11"/>
        <color rgb="FF000000"/>
        <rFont val="Calibri"/>
        <family val="2"/>
        <scheme val="minor"/>
      </rPr>
      <t>A</t>
    </r>
    <r>
      <rPr>
        <sz val="11"/>
        <color rgb="FF000000"/>
        <rFont val="Calibri"/>
        <family val="2"/>
        <scheme val="minor"/>
      </rPr>
      <t>(considering displacement)</t>
    </r>
  </si>
  <si>
    <t>Air resistance coeff.</t>
  </si>
  <si>
    <r>
      <t>10</t>
    </r>
    <r>
      <rPr>
        <vertAlign val="superscript"/>
        <sz val="11"/>
        <color rgb="FF000000"/>
        <rFont val="Calibri"/>
        <family val="2"/>
        <scheme val="minor"/>
      </rPr>
      <t>3</t>
    </r>
    <r>
      <rPr>
        <sz val="11"/>
        <color rgb="FF000000"/>
        <rFont val="Calibri"/>
        <family val="2"/>
        <scheme val="minor"/>
      </rPr>
      <t>C</t>
    </r>
    <r>
      <rPr>
        <vertAlign val="subscript"/>
        <sz val="11"/>
        <color rgb="FF000000"/>
        <rFont val="Calibri"/>
        <family val="2"/>
        <scheme val="minor"/>
      </rPr>
      <t>AA</t>
    </r>
    <r>
      <rPr>
        <sz val="11"/>
        <color rgb="FF000000"/>
        <rFont val="Calibri"/>
        <family val="2"/>
        <scheme val="minor"/>
      </rPr>
      <t>=</t>
    </r>
    <r>
      <rPr>
        <sz val="11"/>
        <color theme="1"/>
        <rFont val="Calibri"/>
        <family val="2"/>
        <scheme val="minor"/>
      </rPr>
      <t/>
    </r>
  </si>
  <si>
    <t>Steering resistance coeff.</t>
  </si>
  <si>
    <r>
      <t>10</t>
    </r>
    <r>
      <rPr>
        <vertAlign val="superscript"/>
        <sz val="11"/>
        <color rgb="FF000000"/>
        <rFont val="Calibri"/>
        <family val="2"/>
        <scheme val="minor"/>
      </rPr>
      <t>3</t>
    </r>
    <r>
      <rPr>
        <sz val="11"/>
        <color rgb="FF000000"/>
        <rFont val="Calibri"/>
        <family val="2"/>
        <scheme val="minor"/>
      </rPr>
      <t>C</t>
    </r>
    <r>
      <rPr>
        <vertAlign val="subscript"/>
        <sz val="11"/>
        <color rgb="FF000000"/>
        <rFont val="Calibri"/>
        <family val="2"/>
        <scheme val="minor"/>
      </rPr>
      <t>AS</t>
    </r>
    <r>
      <rPr>
        <sz val="11"/>
        <color rgb="FF000000"/>
        <rFont val="Calibri"/>
        <family val="2"/>
        <scheme val="minor"/>
      </rPr>
      <t>=</t>
    </r>
    <r>
      <rPr>
        <sz val="11"/>
        <color theme="1"/>
        <rFont val="Calibri"/>
        <family val="2"/>
        <scheme val="minor"/>
      </rPr>
      <t/>
    </r>
  </si>
  <si>
    <t>Guldhammer Harwald Method - Approximate empirical procedure</t>
  </si>
  <si>
    <t>Equations</t>
  </si>
  <si>
    <t>Calculation:</t>
  </si>
  <si>
    <r>
      <t>10</t>
    </r>
    <r>
      <rPr>
        <vertAlign val="superscript"/>
        <sz val="11"/>
        <color theme="1" tint="0.34998626667073579"/>
        <rFont val="Calibri"/>
        <family val="2"/>
        <scheme val="minor"/>
      </rPr>
      <t>3</t>
    </r>
    <r>
      <rPr>
        <sz val="11"/>
        <color theme="1" tint="0.34998626667073579"/>
        <rFont val="Calibri"/>
        <family val="2"/>
        <scheme val="minor"/>
      </rPr>
      <t>C</t>
    </r>
    <r>
      <rPr>
        <vertAlign val="subscript"/>
        <sz val="11"/>
        <color theme="1" tint="0.34998626667073579"/>
        <rFont val="Calibri"/>
        <family val="2"/>
        <scheme val="minor"/>
      </rPr>
      <t>R(Standard)</t>
    </r>
    <r>
      <rPr>
        <sz val="11"/>
        <color theme="1" tint="0.34998626667073579"/>
        <rFont val="Calibri"/>
        <family val="2"/>
        <scheme val="minor"/>
      </rPr>
      <t>=E+G+H+K</t>
    </r>
  </si>
  <si>
    <r>
      <t>M=L/</t>
    </r>
    <r>
      <rPr>
        <sz val="11"/>
        <color theme="1"/>
        <rFont val="Arial"/>
        <family val="2"/>
      </rPr>
      <t>▼</t>
    </r>
    <r>
      <rPr>
        <vertAlign val="superscript"/>
        <sz val="11"/>
        <color theme="1"/>
        <rFont val="Calibri"/>
        <family val="2"/>
        <scheme val="minor"/>
      </rPr>
      <t>1/3</t>
    </r>
    <r>
      <rPr>
        <sz val="11"/>
        <color theme="1"/>
        <rFont val="Calibri"/>
        <family val="2"/>
        <scheme val="minor"/>
      </rPr>
      <t>=</t>
    </r>
  </si>
  <si>
    <r>
      <t>E=(A</t>
    </r>
    <r>
      <rPr>
        <vertAlign val="subscript"/>
        <sz val="11"/>
        <color theme="1" tint="0.34998626667073579"/>
        <rFont val="Calibri"/>
        <family val="2"/>
        <scheme val="minor"/>
      </rPr>
      <t>0</t>
    </r>
    <r>
      <rPr>
        <sz val="11"/>
        <color theme="1" tint="0.34998626667073579"/>
        <rFont val="Calibri"/>
        <family val="2"/>
        <scheme val="minor"/>
      </rPr>
      <t>+1.5F</t>
    </r>
    <r>
      <rPr>
        <vertAlign val="subscript"/>
        <sz val="11"/>
        <color theme="1" tint="0.34998626667073579"/>
        <rFont val="Calibri"/>
        <family val="2"/>
        <scheme val="minor"/>
      </rPr>
      <t>n</t>
    </r>
    <r>
      <rPr>
        <vertAlign val="superscript"/>
        <sz val="11"/>
        <color theme="1" tint="0.34998626667073579"/>
        <rFont val="Calibri"/>
        <family val="2"/>
        <scheme val="minor"/>
      </rPr>
      <t>1.8</t>
    </r>
    <r>
      <rPr>
        <sz val="11"/>
        <color theme="1" tint="0.34998626667073579"/>
        <rFont val="Calibri"/>
        <family val="2"/>
        <scheme val="minor"/>
      </rPr>
      <t>+A</t>
    </r>
    <r>
      <rPr>
        <vertAlign val="subscript"/>
        <sz val="11"/>
        <color theme="1" tint="0.34998626667073579"/>
        <rFont val="Calibri"/>
        <family val="2"/>
        <scheme val="minor"/>
      </rPr>
      <t>1</t>
    </r>
    <r>
      <rPr>
        <sz val="11"/>
        <color theme="1" tint="0.34998626667073579"/>
        <rFont val="Calibri"/>
        <family val="2"/>
        <scheme val="minor"/>
      </rPr>
      <t>F</t>
    </r>
    <r>
      <rPr>
        <vertAlign val="subscript"/>
        <sz val="11"/>
        <color theme="1" tint="0.34998626667073579"/>
        <rFont val="Calibri"/>
        <family val="2"/>
        <scheme val="minor"/>
      </rPr>
      <t>n</t>
    </r>
    <r>
      <rPr>
        <vertAlign val="superscript"/>
        <sz val="11"/>
        <color theme="1" tint="0.34998626667073579"/>
        <rFont val="Calibri"/>
        <family val="2"/>
        <scheme val="minor"/>
      </rPr>
      <t>(N</t>
    </r>
    <r>
      <rPr>
        <sz val="7"/>
        <color theme="1" tint="0.34998626667073579"/>
        <rFont val="Calibri"/>
        <family val="2"/>
        <scheme val="minor"/>
      </rPr>
      <t>1</t>
    </r>
    <r>
      <rPr>
        <vertAlign val="superscript"/>
        <sz val="11"/>
        <color theme="1" tint="0.34998626667073579"/>
        <rFont val="Calibri"/>
        <family val="2"/>
        <scheme val="minor"/>
      </rPr>
      <t>)</t>
    </r>
    <r>
      <rPr>
        <sz val="11"/>
        <color theme="1" tint="0.34998626667073579"/>
        <rFont val="Calibri"/>
        <family val="2"/>
        <scheme val="minor"/>
      </rPr>
      <t>)(0.98+2.5/(M-2)</t>
    </r>
    <r>
      <rPr>
        <vertAlign val="superscript"/>
        <sz val="11"/>
        <color theme="1" tint="0.34998626667073579"/>
        <rFont val="Calibri"/>
        <family val="2"/>
        <scheme val="minor"/>
      </rPr>
      <t>4</t>
    </r>
    <r>
      <rPr>
        <sz val="11"/>
        <color theme="1" tint="0.34998626667073579"/>
        <rFont val="Calibri"/>
        <family val="2"/>
        <scheme val="minor"/>
      </rPr>
      <t>+(M-5)</t>
    </r>
    <r>
      <rPr>
        <vertAlign val="superscript"/>
        <sz val="11"/>
        <color theme="1" tint="0.34998626667073579"/>
        <rFont val="Calibri"/>
        <family val="2"/>
        <scheme val="minor"/>
      </rPr>
      <t>4</t>
    </r>
    <r>
      <rPr>
        <sz val="11"/>
        <color theme="1" tint="0.34998626667073579"/>
        <rFont val="Calibri"/>
        <family val="2"/>
        <scheme val="minor"/>
      </rPr>
      <t>(F</t>
    </r>
    <r>
      <rPr>
        <vertAlign val="subscript"/>
        <sz val="11"/>
        <color theme="1" tint="0.34998626667073579"/>
        <rFont val="Calibri"/>
        <family val="2"/>
        <scheme val="minor"/>
      </rPr>
      <t>n</t>
    </r>
    <r>
      <rPr>
        <sz val="11"/>
        <color theme="1" tint="0.34998626667073579"/>
        <rFont val="Calibri"/>
        <family val="2"/>
        <scheme val="minor"/>
      </rPr>
      <t>-0.1)</t>
    </r>
    <r>
      <rPr>
        <vertAlign val="superscript"/>
        <sz val="11"/>
        <color theme="1" tint="0.34998626667073579"/>
        <rFont val="Calibri"/>
        <family val="2"/>
        <scheme val="minor"/>
      </rPr>
      <t>4</t>
    </r>
  </si>
  <si>
    <r>
      <t>A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=1.35-0.23M+0.012M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=</t>
    </r>
  </si>
  <si>
    <r>
      <t>A</t>
    </r>
    <r>
      <rPr>
        <vertAlign val="subscript"/>
        <sz val="11"/>
        <color theme="1" tint="0.34998626667073579"/>
        <rFont val="Calibri"/>
        <family val="2"/>
        <scheme val="minor"/>
      </rPr>
      <t>0</t>
    </r>
    <r>
      <rPr>
        <sz val="11"/>
        <color theme="1" tint="0.34998626667073579"/>
        <rFont val="Calibri"/>
        <family val="2"/>
        <scheme val="minor"/>
      </rPr>
      <t>=1.35-0.23M+0.012M</t>
    </r>
    <r>
      <rPr>
        <vertAlign val="superscript"/>
        <sz val="11"/>
        <color theme="1" tint="0.34998626667073579"/>
        <rFont val="Calibri"/>
        <family val="2"/>
        <scheme val="minor"/>
      </rPr>
      <t>2</t>
    </r>
    <r>
      <rPr>
        <sz val="11"/>
        <color theme="1" tint="0.34998626667073579"/>
        <rFont val="Calibri"/>
        <family val="2"/>
        <scheme val="minor"/>
      </rPr>
      <t>)</t>
    </r>
  </si>
  <si>
    <r>
      <t>A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=0.0011M</t>
    </r>
    <r>
      <rPr>
        <vertAlign val="superscript"/>
        <sz val="11"/>
        <color theme="1"/>
        <rFont val="Calibri"/>
        <family val="2"/>
        <scheme val="minor"/>
      </rPr>
      <t>9.1</t>
    </r>
    <r>
      <rPr>
        <sz val="11"/>
        <color theme="1"/>
        <rFont val="Calibri"/>
        <family val="2"/>
        <scheme val="minor"/>
      </rPr>
      <t>=</t>
    </r>
  </si>
  <si>
    <r>
      <t>A</t>
    </r>
    <r>
      <rPr>
        <vertAlign val="subscript"/>
        <sz val="11"/>
        <color theme="1" tint="0.34998626667073579"/>
        <rFont val="Calibri"/>
        <family val="2"/>
        <scheme val="minor"/>
      </rPr>
      <t>1</t>
    </r>
    <r>
      <rPr>
        <sz val="11"/>
        <color theme="1" tint="0.34998626667073579"/>
        <rFont val="Calibri"/>
        <family val="2"/>
        <scheme val="minor"/>
      </rPr>
      <t>=0.0011M</t>
    </r>
    <r>
      <rPr>
        <vertAlign val="superscript"/>
        <sz val="11"/>
        <color theme="1" tint="0.34998626667073579"/>
        <rFont val="Calibri"/>
        <family val="2"/>
        <scheme val="minor"/>
      </rPr>
      <t>9.1</t>
    </r>
  </si>
  <si>
    <r>
      <t>N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=2M-3.7=</t>
    </r>
  </si>
  <si>
    <r>
      <t>M=L/</t>
    </r>
    <r>
      <rPr>
        <sz val="11"/>
        <color theme="1" tint="0.34998626667073579"/>
        <rFont val="Arial"/>
        <family val="2"/>
      </rPr>
      <t>▼</t>
    </r>
    <r>
      <rPr>
        <vertAlign val="superscript"/>
        <sz val="11"/>
        <color theme="1" tint="0.34998626667073579"/>
        <rFont val="Arial"/>
        <family val="2"/>
      </rPr>
      <t>1/3</t>
    </r>
  </si>
  <si>
    <r>
      <t>N</t>
    </r>
    <r>
      <rPr>
        <vertAlign val="subscript"/>
        <sz val="11"/>
        <color theme="1" tint="0.34998626667073579"/>
        <rFont val="Calibri"/>
        <family val="2"/>
        <scheme val="minor"/>
      </rPr>
      <t>1</t>
    </r>
    <r>
      <rPr>
        <sz val="11"/>
        <color theme="1" tint="0.34998626667073579"/>
        <rFont val="Calibri"/>
        <family val="2"/>
        <scheme val="minor"/>
      </rPr>
      <t>=2M-3.7</t>
    </r>
  </si>
  <si>
    <r>
      <t>E=(A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+1.5F</t>
    </r>
    <r>
      <rPr>
        <vertAlign val="subscript"/>
        <sz val="11"/>
        <color theme="1"/>
        <rFont val="Calibri"/>
        <family val="2"/>
        <scheme val="minor"/>
      </rPr>
      <t>n</t>
    </r>
    <r>
      <rPr>
        <vertAlign val="superscript"/>
        <sz val="11"/>
        <color theme="1"/>
        <rFont val="Calibri"/>
        <family val="2"/>
        <scheme val="minor"/>
      </rPr>
      <t>1.8</t>
    </r>
    <r>
      <rPr>
        <sz val="11"/>
        <color theme="1"/>
        <rFont val="Calibri"/>
        <family val="2"/>
        <scheme val="minor"/>
      </rPr>
      <t>+A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F</t>
    </r>
    <r>
      <rPr>
        <vertAlign val="subscript"/>
        <sz val="11"/>
        <color theme="1"/>
        <rFont val="Calibri"/>
        <family val="2"/>
        <scheme val="minor"/>
      </rPr>
      <t>n</t>
    </r>
    <r>
      <rPr>
        <vertAlign val="superscript"/>
        <sz val="11"/>
        <color theme="1"/>
        <rFont val="Calibri"/>
        <family val="2"/>
        <scheme val="minor"/>
      </rPr>
      <t>(N</t>
    </r>
    <r>
      <rPr>
        <sz val="7"/>
        <color theme="1"/>
        <rFont val="Calibri"/>
        <family val="2"/>
        <scheme val="minor"/>
      </rPr>
      <t>1</t>
    </r>
    <r>
      <rPr>
        <vertAlign val="superscript"/>
        <sz val="11"/>
        <color theme="1"/>
        <rFont val="Calibri"/>
        <family val="2"/>
        <scheme val="minor"/>
      </rPr>
      <t>)</t>
    </r>
    <r>
      <rPr>
        <sz val="11"/>
        <color theme="1"/>
        <rFont val="Calibri"/>
        <family val="2"/>
        <scheme val="minor"/>
      </rPr>
      <t>)(0.98+2.5/(M-2)</t>
    </r>
    <r>
      <rPr>
        <vertAlign val="super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+(M-5)</t>
    </r>
    <r>
      <rPr>
        <vertAlign val="super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(F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>-0.1)</t>
    </r>
    <r>
      <rPr>
        <vertAlign val="super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=</t>
    </r>
  </si>
  <si>
    <r>
      <t>G=B</t>
    </r>
    <r>
      <rPr>
        <vertAlign val="subscript"/>
        <sz val="11"/>
        <color theme="1" tint="0.34998626667073579"/>
        <rFont val="Calibri"/>
        <family val="2"/>
        <scheme val="minor"/>
      </rPr>
      <t>1</t>
    </r>
    <r>
      <rPr>
        <sz val="11"/>
        <color theme="1" tint="0.34998626667073579"/>
        <rFont val="Calibri"/>
        <family val="2"/>
        <scheme val="minor"/>
      </rPr>
      <t>B</t>
    </r>
    <r>
      <rPr>
        <vertAlign val="subscript"/>
        <sz val="11"/>
        <color theme="1" tint="0.34998626667073579"/>
        <rFont val="Calibri"/>
        <family val="2"/>
        <scheme val="minor"/>
      </rPr>
      <t>2</t>
    </r>
    <r>
      <rPr>
        <sz val="11"/>
        <color theme="1" tint="0.34998626667073579"/>
        <rFont val="Calibri"/>
        <family val="2"/>
        <scheme val="minor"/>
      </rPr>
      <t>/B</t>
    </r>
    <r>
      <rPr>
        <vertAlign val="subscript"/>
        <sz val="11"/>
        <color theme="1" tint="0.34998626667073579"/>
        <rFont val="Calibri"/>
        <family val="2"/>
        <scheme val="minor"/>
      </rPr>
      <t>3</t>
    </r>
  </si>
  <si>
    <r>
      <t>B</t>
    </r>
    <r>
      <rPr>
        <vertAlign val="subscript"/>
        <sz val="11"/>
        <color theme="1" tint="0.34998626667073579"/>
        <rFont val="Calibri"/>
        <family val="2"/>
        <scheme val="minor"/>
      </rPr>
      <t>1</t>
    </r>
    <r>
      <rPr>
        <sz val="11"/>
        <color theme="1" tint="0.34998626667073579"/>
        <rFont val="Calibri"/>
        <family val="2"/>
        <scheme val="minor"/>
      </rPr>
      <t>=7-0.09M</t>
    </r>
    <r>
      <rPr>
        <vertAlign val="superscript"/>
        <sz val="11"/>
        <color theme="1" tint="0.34998626667073579"/>
        <rFont val="Calibri"/>
        <family val="2"/>
        <scheme val="minor"/>
      </rPr>
      <t>2</t>
    </r>
  </si>
  <si>
    <r>
      <t>B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=7-0.09M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</t>
    </r>
  </si>
  <si>
    <r>
      <t>B</t>
    </r>
    <r>
      <rPr>
        <vertAlign val="subscript"/>
        <sz val="11"/>
        <color theme="1" tint="0.34998626667073579"/>
        <rFont val="Calibri"/>
        <family val="2"/>
        <scheme val="minor"/>
      </rPr>
      <t>2</t>
    </r>
    <r>
      <rPr>
        <sz val="11"/>
        <color theme="1" tint="0.34998626667073579"/>
        <rFont val="Calibri"/>
        <family val="2"/>
        <scheme val="minor"/>
      </rPr>
      <t>=(5C</t>
    </r>
    <r>
      <rPr>
        <vertAlign val="subscript"/>
        <sz val="11"/>
        <color theme="1" tint="0.34998626667073579"/>
        <rFont val="Calibri"/>
        <family val="2"/>
        <scheme val="minor"/>
      </rPr>
      <t>P</t>
    </r>
    <r>
      <rPr>
        <sz val="11"/>
        <color theme="1" tint="0.34998626667073579"/>
        <rFont val="Calibri"/>
        <family val="2"/>
        <scheme val="minor"/>
      </rPr>
      <t>-2.5)</t>
    </r>
    <r>
      <rPr>
        <vertAlign val="superscript"/>
        <sz val="11"/>
        <color theme="1" tint="0.34998626667073579"/>
        <rFont val="Calibri"/>
        <family val="2"/>
        <scheme val="minor"/>
      </rPr>
      <t>2</t>
    </r>
  </si>
  <si>
    <r>
      <t>B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=(5C</t>
    </r>
    <r>
      <rPr>
        <vertAlign val="subscript"/>
        <sz val="11"/>
        <color theme="1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>-2.5)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</t>
    </r>
  </si>
  <si>
    <r>
      <t>B</t>
    </r>
    <r>
      <rPr>
        <vertAlign val="subscript"/>
        <sz val="11"/>
        <color theme="1" tint="0.34998626667073579"/>
        <rFont val="Calibri"/>
        <family val="2"/>
        <scheme val="minor"/>
      </rPr>
      <t>3</t>
    </r>
    <r>
      <rPr>
        <sz val="11"/>
        <color theme="1" tint="0.34998626667073579"/>
        <rFont val="Calibri"/>
        <family val="2"/>
        <scheme val="minor"/>
      </rPr>
      <t>=(600(F</t>
    </r>
    <r>
      <rPr>
        <vertAlign val="subscript"/>
        <sz val="11"/>
        <color theme="1" tint="0.34998626667073579"/>
        <rFont val="Calibri"/>
        <family val="2"/>
        <scheme val="minor"/>
      </rPr>
      <t>n</t>
    </r>
    <r>
      <rPr>
        <sz val="11"/>
        <color theme="1" tint="0.34998626667073579"/>
        <rFont val="Calibri"/>
        <family val="2"/>
        <scheme val="minor"/>
      </rPr>
      <t>-0.315)</t>
    </r>
    <r>
      <rPr>
        <vertAlign val="superscript"/>
        <sz val="11"/>
        <color theme="1" tint="0.34998626667073579"/>
        <rFont val="Calibri"/>
        <family val="2"/>
        <scheme val="minor"/>
      </rPr>
      <t>2</t>
    </r>
    <r>
      <rPr>
        <sz val="11"/>
        <color theme="1" tint="0.34998626667073579"/>
        <rFont val="Calibri"/>
        <family val="2"/>
        <scheme val="minor"/>
      </rPr>
      <t>+1)</t>
    </r>
    <r>
      <rPr>
        <vertAlign val="superscript"/>
        <sz val="11"/>
        <color theme="1" tint="0.34998626667073579"/>
        <rFont val="Calibri"/>
        <family val="2"/>
        <scheme val="minor"/>
      </rPr>
      <t>1.5</t>
    </r>
  </si>
  <si>
    <r>
      <t>B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=(600(F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>-0.315)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+1)</t>
    </r>
    <r>
      <rPr>
        <vertAlign val="superscript"/>
        <sz val="11"/>
        <color theme="1"/>
        <rFont val="Calibri"/>
        <family val="2"/>
        <scheme val="minor"/>
      </rPr>
      <t>1.5</t>
    </r>
    <r>
      <rPr>
        <sz val="11"/>
        <color theme="1"/>
        <rFont val="Calibri"/>
        <family val="2"/>
        <scheme val="minor"/>
      </rPr>
      <t>=</t>
    </r>
  </si>
  <si>
    <r>
      <t>H=exp(80(F</t>
    </r>
    <r>
      <rPr>
        <vertAlign val="subscript"/>
        <sz val="11"/>
        <color theme="1" tint="0.34998626667073579"/>
        <rFont val="Calibri"/>
        <family val="2"/>
        <scheme val="minor"/>
      </rPr>
      <t>n</t>
    </r>
    <r>
      <rPr>
        <sz val="11"/>
        <color theme="1" tint="0.34998626667073579"/>
        <rFont val="Calibri"/>
        <family val="2"/>
        <scheme val="minor"/>
      </rPr>
      <t>-(0.04+0.59C</t>
    </r>
    <r>
      <rPr>
        <vertAlign val="subscript"/>
        <sz val="11"/>
        <color theme="1" tint="0.34998626667073579"/>
        <rFont val="Calibri"/>
        <family val="2"/>
        <scheme val="minor"/>
      </rPr>
      <t>P</t>
    </r>
    <r>
      <rPr>
        <sz val="11"/>
        <color theme="1" tint="0.34998626667073579"/>
        <rFont val="Calibri"/>
        <family val="2"/>
        <scheme val="minor"/>
      </rPr>
      <t>)-(0.015(M-5)))</t>
    </r>
  </si>
  <si>
    <r>
      <t>G=B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B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/B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=</t>
    </r>
  </si>
  <si>
    <r>
      <t>K=180F</t>
    </r>
    <r>
      <rPr>
        <vertAlign val="subscript"/>
        <sz val="11"/>
        <color theme="1" tint="0.34998626667073579"/>
        <rFont val="Calibri"/>
        <family val="2"/>
        <scheme val="minor"/>
      </rPr>
      <t>n</t>
    </r>
    <r>
      <rPr>
        <vertAlign val="superscript"/>
        <sz val="11"/>
        <color theme="1" tint="0.34998626667073579"/>
        <rFont val="Calibri"/>
        <family val="2"/>
        <scheme val="minor"/>
      </rPr>
      <t>3.7</t>
    </r>
    <r>
      <rPr>
        <sz val="11"/>
        <color theme="1" tint="0.34998626667073579"/>
        <rFont val="Calibri"/>
        <family val="2"/>
        <scheme val="minor"/>
      </rPr>
      <t>exp(20C</t>
    </r>
    <r>
      <rPr>
        <vertAlign val="subscript"/>
        <sz val="11"/>
        <color theme="1" tint="0.34998626667073579"/>
        <rFont val="Calibri"/>
        <family val="2"/>
        <scheme val="minor"/>
      </rPr>
      <t>P</t>
    </r>
    <r>
      <rPr>
        <sz val="11"/>
        <color theme="1" tint="0.34998626667073579"/>
        <rFont val="Calibri"/>
        <family val="2"/>
        <scheme val="minor"/>
      </rPr>
      <t>-16)</t>
    </r>
  </si>
  <si>
    <r>
      <t>C</t>
    </r>
    <r>
      <rPr>
        <vertAlign val="subscript"/>
        <sz val="11"/>
        <color theme="1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>=</t>
    </r>
  </si>
  <si>
    <r>
      <t>H=exp(80(F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>-(0.04+0.59C</t>
    </r>
    <r>
      <rPr>
        <vertAlign val="subscript"/>
        <sz val="11"/>
        <color theme="1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>)-(0.015(M-5))) =</t>
    </r>
  </si>
  <si>
    <r>
      <t>K=180F</t>
    </r>
    <r>
      <rPr>
        <vertAlign val="subscript"/>
        <sz val="11"/>
        <color theme="1"/>
        <rFont val="Calibri"/>
        <family val="2"/>
        <scheme val="minor"/>
      </rPr>
      <t>n</t>
    </r>
    <r>
      <rPr>
        <vertAlign val="superscript"/>
        <sz val="11"/>
        <color theme="1"/>
        <rFont val="Calibri"/>
        <family val="2"/>
        <scheme val="minor"/>
      </rPr>
      <t>3.7</t>
    </r>
    <r>
      <rPr>
        <sz val="11"/>
        <color theme="1"/>
        <rFont val="Calibri"/>
        <family val="2"/>
        <scheme val="minor"/>
      </rPr>
      <t>exp(20C</t>
    </r>
    <r>
      <rPr>
        <vertAlign val="subscript"/>
        <sz val="11"/>
        <color theme="1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>-16) =</t>
    </r>
  </si>
  <si>
    <t>#RoyalShippies</t>
  </si>
  <si>
    <r>
      <t>10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R(Standard)</t>
    </r>
    <r>
      <rPr>
        <sz val="11"/>
        <color theme="1"/>
        <rFont val="Calibri"/>
        <family val="2"/>
        <scheme val="minor"/>
      </rPr>
      <t>=E+G+H+K</t>
    </r>
  </si>
  <si>
    <t>#CUSAT</t>
  </si>
  <si>
    <t>Abdul Rahim O M</t>
  </si>
  <si>
    <t>RS40</t>
  </si>
  <si>
    <r>
      <t>10</t>
    </r>
    <r>
      <rPr>
        <b/>
        <vertAlign val="superscript"/>
        <sz val="9"/>
        <color theme="1"/>
        <rFont val="Calibri"/>
        <family val="2"/>
        <scheme val="minor"/>
      </rPr>
      <t>3</t>
    </r>
    <r>
      <rPr>
        <b/>
        <sz val="9"/>
        <color theme="1"/>
        <rFont val="Calibri"/>
        <family val="2"/>
        <scheme val="minor"/>
      </rPr>
      <t>C</t>
    </r>
    <r>
      <rPr>
        <b/>
        <vertAlign val="subscript"/>
        <sz val="9"/>
        <color theme="1"/>
        <rFont val="Calibri"/>
        <family val="2"/>
        <scheme val="minor"/>
      </rPr>
      <t>R</t>
    </r>
  </si>
  <si>
    <t>(Input)</t>
  </si>
  <si>
    <t>Shallow-water resistance calculations</t>
  </si>
  <si>
    <t>Velocity (in knots)</t>
  </si>
  <si>
    <t>Shallow water depth</t>
  </si>
  <si>
    <t>Entry check statement:</t>
  </si>
  <si>
    <r>
      <t>Use  empirical procedure (approximate) for R</t>
    </r>
    <r>
      <rPr>
        <b/>
        <vertAlign val="subscript"/>
        <sz val="11"/>
        <color theme="1"/>
        <rFont val="Calibri"/>
        <family val="2"/>
        <scheme val="minor"/>
      </rPr>
      <t>F</t>
    </r>
    <r>
      <rPr>
        <b/>
        <sz val="11"/>
        <color theme="1"/>
        <rFont val="Calibri"/>
        <family val="2"/>
        <scheme val="minor"/>
      </rPr>
      <t>(Deep,at V</t>
    </r>
    <r>
      <rPr>
        <b/>
        <vertAlign val="subscript"/>
        <sz val="11"/>
        <color theme="1"/>
        <rFont val="Calibri"/>
        <family val="2"/>
        <scheme val="minor"/>
      </rPr>
      <t>ꝏ</t>
    </r>
    <r>
      <rPr>
        <b/>
        <sz val="11"/>
        <color theme="1"/>
        <rFont val="Calibri"/>
        <family val="2"/>
        <scheme val="minor"/>
      </rPr>
      <t>)?</t>
    </r>
  </si>
  <si>
    <t>No</t>
  </si>
  <si>
    <t>Form Controls</t>
  </si>
  <si>
    <t>Ship Service Speed:</t>
  </si>
  <si>
    <t>knots</t>
  </si>
  <si>
    <t>Standard (0.4)</t>
  </si>
  <si>
    <t>Corresponding to length</t>
  </si>
  <si>
    <t>Corresponding to displacement</t>
  </si>
  <si>
    <t>Interpolate</t>
  </si>
  <si>
    <t>Current Result</t>
  </si>
  <si>
    <t>V (knots)</t>
  </si>
  <si>
    <t>V (in m/s)</t>
  </si>
  <si>
    <r>
      <rPr>
        <b/>
        <sz val="11"/>
        <color theme="1"/>
        <rFont val="Calibri"/>
        <family val="2"/>
      </rPr>
      <t>Δ</t>
    </r>
    <r>
      <rPr>
        <b/>
        <sz val="11"/>
        <color theme="1"/>
        <rFont val="Calibri"/>
        <family val="2"/>
        <scheme val="minor"/>
      </rPr>
      <t>C</t>
    </r>
    <r>
      <rPr>
        <b/>
        <vertAlign val="subscript"/>
        <sz val="11"/>
        <color theme="1"/>
        <rFont val="Calibri"/>
        <family val="2"/>
        <scheme val="minor"/>
      </rPr>
      <t>R(B/T Correction)</t>
    </r>
  </si>
  <si>
    <r>
      <rPr>
        <b/>
        <sz val="11"/>
        <color theme="1"/>
        <rFont val="Calibri"/>
        <family val="2"/>
      </rPr>
      <t>Δ</t>
    </r>
    <r>
      <rPr>
        <b/>
        <sz val="11"/>
        <color theme="1"/>
        <rFont val="Calibri"/>
        <family val="2"/>
        <scheme val="minor"/>
      </rPr>
      <t>C</t>
    </r>
    <r>
      <rPr>
        <b/>
        <vertAlign val="subscript"/>
        <sz val="11"/>
        <color theme="1"/>
        <rFont val="Calibri"/>
        <family val="2"/>
        <scheme val="minor"/>
      </rPr>
      <t>R(LCB Correction)</t>
    </r>
  </si>
  <si>
    <r>
      <rPr>
        <b/>
        <sz val="11"/>
        <color theme="1"/>
        <rFont val="Calibri"/>
        <family val="2"/>
      </rPr>
      <t>Δ</t>
    </r>
    <r>
      <rPr>
        <b/>
        <sz val="11"/>
        <color theme="1"/>
        <rFont val="Calibri"/>
        <family val="2"/>
        <scheme val="minor"/>
      </rPr>
      <t>C</t>
    </r>
    <r>
      <rPr>
        <b/>
        <vertAlign val="subscript"/>
        <sz val="11"/>
        <color theme="1"/>
        <rFont val="Calibri"/>
        <family val="2"/>
        <scheme val="minor"/>
      </rPr>
      <t>R(BB Correction)</t>
    </r>
  </si>
  <si>
    <r>
      <t>R</t>
    </r>
    <r>
      <rPr>
        <b/>
        <vertAlign val="subscript"/>
        <sz val="11"/>
        <color theme="1"/>
        <rFont val="Calibri"/>
        <family val="2"/>
        <scheme val="minor"/>
      </rPr>
      <t>N</t>
    </r>
  </si>
  <si>
    <r>
      <t>10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C</t>
    </r>
    <r>
      <rPr>
        <b/>
        <vertAlign val="subscript"/>
        <sz val="11"/>
        <color theme="1"/>
        <rFont val="Calibri"/>
        <family val="2"/>
        <scheme val="minor"/>
      </rPr>
      <t>F</t>
    </r>
    <r>
      <rPr>
        <b/>
        <sz val="11"/>
        <color theme="1"/>
        <rFont val="Calibri"/>
        <family val="2"/>
        <scheme val="minor"/>
      </rPr>
      <t>'</t>
    </r>
  </si>
  <si>
    <r>
      <t>10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C</t>
    </r>
    <r>
      <rPr>
        <b/>
        <vertAlign val="subscript"/>
        <sz val="11"/>
        <color theme="1"/>
        <rFont val="Calibri"/>
        <family val="2"/>
        <scheme val="minor"/>
      </rPr>
      <t>A</t>
    </r>
  </si>
  <si>
    <r>
      <t>10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C</t>
    </r>
    <r>
      <rPr>
        <b/>
        <vertAlign val="subscript"/>
        <sz val="11"/>
        <color theme="1"/>
        <rFont val="Calibri"/>
        <family val="2"/>
        <scheme val="minor"/>
      </rPr>
      <t>F</t>
    </r>
  </si>
  <si>
    <r>
      <t>F</t>
    </r>
    <r>
      <rPr>
        <b/>
        <vertAlign val="subscript"/>
        <sz val="11"/>
        <color theme="1"/>
        <rFont val="Calibri"/>
        <family val="2"/>
        <scheme val="minor"/>
      </rPr>
      <t>n</t>
    </r>
  </si>
  <si>
    <r>
      <rPr>
        <b/>
        <sz val="11"/>
        <color theme="1"/>
        <rFont val="Calibri"/>
        <family val="2"/>
      </rPr>
      <t>LCB</t>
    </r>
    <r>
      <rPr>
        <b/>
        <vertAlign val="subscript"/>
        <sz val="11"/>
        <color theme="1"/>
        <rFont val="Calibri"/>
        <family val="2"/>
        <scheme val="minor"/>
      </rPr>
      <t>(Standard)</t>
    </r>
  </si>
  <si>
    <r>
      <rPr>
        <b/>
        <sz val="11"/>
        <color theme="1"/>
        <rFont val="Calibri"/>
        <family val="2"/>
      </rPr>
      <t>Δ</t>
    </r>
    <r>
      <rPr>
        <b/>
        <sz val="11"/>
        <color theme="1"/>
        <rFont val="Calibri"/>
        <family val="2"/>
        <scheme val="minor"/>
      </rPr>
      <t>LCB</t>
    </r>
  </si>
  <si>
    <r>
      <t>∂10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C</t>
    </r>
    <r>
      <rPr>
        <b/>
        <vertAlign val="subscript"/>
        <sz val="11"/>
        <color theme="1"/>
        <rFont val="Calibri"/>
        <family val="2"/>
        <scheme val="minor"/>
      </rPr>
      <t xml:space="preserve">R </t>
    </r>
    <r>
      <rPr>
        <b/>
        <sz val="11"/>
        <color theme="1"/>
        <rFont val="Calibri"/>
        <family val="2"/>
        <scheme val="minor"/>
      </rPr>
      <t>/ ∂LCB</t>
    </r>
  </si>
  <si>
    <r>
      <t>10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C</t>
    </r>
    <r>
      <rPr>
        <b/>
        <vertAlign val="subscript"/>
        <sz val="11"/>
        <color theme="1"/>
        <rFont val="Calibri"/>
        <family val="2"/>
        <scheme val="minor"/>
      </rPr>
      <t>R</t>
    </r>
  </si>
  <si>
    <r>
      <t>10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C</t>
    </r>
    <r>
      <rPr>
        <b/>
        <vertAlign val="subscript"/>
        <sz val="11"/>
        <color theme="1"/>
        <rFont val="Calibri"/>
        <family val="2"/>
        <scheme val="minor"/>
      </rPr>
      <t>AS</t>
    </r>
  </si>
  <si>
    <r>
      <t>10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C</t>
    </r>
    <r>
      <rPr>
        <b/>
        <vertAlign val="subscript"/>
        <sz val="11"/>
        <color theme="1"/>
        <rFont val="Calibri"/>
        <family val="2"/>
        <scheme val="minor"/>
      </rPr>
      <t>AA</t>
    </r>
  </si>
  <si>
    <r>
      <t>R</t>
    </r>
    <r>
      <rPr>
        <b/>
        <vertAlign val="subscript"/>
        <sz val="11"/>
        <color theme="1"/>
        <rFont val="Calibri"/>
        <family val="2"/>
        <scheme val="minor"/>
      </rPr>
      <t>F</t>
    </r>
  </si>
  <si>
    <r>
      <t>R</t>
    </r>
    <r>
      <rPr>
        <b/>
        <vertAlign val="subscript"/>
        <sz val="11"/>
        <color theme="1"/>
        <rFont val="Calibri"/>
        <family val="2"/>
        <scheme val="minor"/>
      </rPr>
      <t>R</t>
    </r>
  </si>
  <si>
    <r>
      <t>R</t>
    </r>
    <r>
      <rPr>
        <b/>
        <vertAlign val="subscript"/>
        <sz val="11"/>
        <color theme="1"/>
        <rFont val="Calibri"/>
        <family val="2"/>
        <scheme val="minor"/>
      </rPr>
      <t>T</t>
    </r>
  </si>
  <si>
    <r>
      <t>10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C</t>
    </r>
    <r>
      <rPr>
        <b/>
        <vertAlign val="subscript"/>
        <sz val="11"/>
        <color theme="1"/>
        <rFont val="Calibri"/>
        <family val="2"/>
        <scheme val="minor"/>
      </rPr>
      <t>T</t>
    </r>
  </si>
  <si>
    <r>
      <t>Select known C</t>
    </r>
    <r>
      <rPr>
        <b/>
        <vertAlign val="subscript"/>
        <sz val="9"/>
        <color theme="3" tint="0.79998168889431442"/>
        <rFont val="Calibri"/>
        <family val="2"/>
        <scheme val="minor"/>
      </rPr>
      <t>P</t>
    </r>
  </si>
  <si>
    <t>Guldhammer and Harvald</t>
  </si>
  <si>
    <r>
      <rPr>
        <b/>
        <sz val="11"/>
        <color theme="1"/>
        <rFont val="Calibri"/>
        <family val="2"/>
      </rPr>
      <t>%LCB</t>
    </r>
    <r>
      <rPr>
        <b/>
        <vertAlign val="subscript"/>
        <sz val="11"/>
        <color theme="1"/>
        <rFont val="Calibri"/>
        <family val="2"/>
        <scheme val="minor"/>
      </rPr>
      <t>(Standard)</t>
    </r>
  </si>
  <si>
    <t>ρ=</t>
  </si>
  <si>
    <t>See calculations</t>
  </si>
  <si>
    <t>Go to results tab</t>
  </si>
  <si>
    <t>Go back to table (G&amp;H tab)</t>
  </si>
  <si>
    <t>This workbook may contain errors</t>
  </si>
  <si>
    <t>Please correct mistakes, if any</t>
  </si>
  <si>
    <t>Go back to G&amp;H tab</t>
  </si>
  <si>
    <t>(Not available)</t>
  </si>
  <si>
    <t>(NA)</t>
  </si>
  <si>
    <t>NA</t>
  </si>
  <si>
    <t xml:space="preserve"> </t>
  </si>
  <si>
    <t>mail to: abdupalakkad@yahoo.com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</si>
</sst>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.0000"/>
    <numFmt numFmtId="166" formatCode="0.00_ ;[Red]\-0.00\ "/>
    <numFmt numFmtId="167" formatCode="0.0_ ;[Red]\-0.0\ "/>
  </numFmts>
  <fonts count="8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333399"/>
      <name val="Calibri"/>
      <family val="2"/>
    </font>
    <font>
      <sz val="11"/>
      <color rgb="FF000000"/>
      <name val="Calibri"/>
      <family val="2"/>
    </font>
    <font>
      <i/>
      <vertAlign val="superscript"/>
      <sz val="10"/>
      <color rgb="FF16365C"/>
      <name val="Calibri"/>
      <family val="2"/>
    </font>
    <font>
      <sz val="10"/>
      <color rgb="FFA20000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u/>
      <sz val="14"/>
      <color theme="3"/>
      <name val="Calibri"/>
      <family val="2"/>
      <scheme val="minor"/>
    </font>
    <font>
      <b/>
      <u/>
      <sz val="16"/>
      <name val="Calibri"/>
      <family val="2"/>
      <scheme val="minor"/>
    </font>
    <font>
      <b/>
      <vertAlign val="superscript"/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vertAlign val="subscript"/>
      <sz val="11"/>
      <color rgb="FF0000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name val="Calibri"/>
      <family val="2"/>
      <scheme val="minor"/>
    </font>
    <font>
      <vertAlign val="subscript"/>
      <sz val="11"/>
      <color theme="0" tint="-0.499984740745262"/>
      <name val="Calibri"/>
      <family val="2"/>
      <scheme val="minor"/>
    </font>
    <font>
      <sz val="11"/>
      <color theme="5" tint="0.3999755851924192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vertAlign val="subscript"/>
      <sz val="11"/>
      <color rgb="FF808080"/>
      <name val="Calibri"/>
      <family val="2"/>
      <scheme val="minor"/>
    </font>
    <font>
      <sz val="11"/>
      <color rgb="FF808080"/>
      <name val="Calibri"/>
      <family val="2"/>
      <scheme val="minor"/>
    </font>
    <font>
      <vertAlign val="superscript"/>
      <sz val="11"/>
      <color rgb="FF808080"/>
      <name val="Arial"/>
      <family val="2"/>
    </font>
    <font>
      <b/>
      <vertAlign val="superscript"/>
      <sz val="11"/>
      <color theme="1"/>
      <name val="Calibri"/>
      <family val="2"/>
      <scheme val="minor"/>
    </font>
    <font>
      <b/>
      <u/>
      <vertAlign val="subscript"/>
      <sz val="16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name val="Calibri"/>
      <family val="2"/>
      <scheme val="minor"/>
    </font>
    <font>
      <vertAlign val="subscript"/>
      <sz val="11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vertAlign val="superscript"/>
      <sz val="1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u val="doubleAccounting"/>
      <sz val="11"/>
      <color theme="1"/>
      <name val="Calibri"/>
      <family val="2"/>
      <scheme val="minor"/>
    </font>
    <font>
      <sz val="11"/>
      <color theme="1"/>
      <name val="Arial"/>
      <family val="2"/>
    </font>
    <font>
      <vertAlign val="superscript"/>
      <sz val="11"/>
      <color theme="1"/>
      <name val="Arial"/>
      <family val="2"/>
    </font>
    <font>
      <u/>
      <sz val="11"/>
      <color theme="5" tint="-0.249977111117893"/>
      <name val="Calibri"/>
      <family val="2"/>
      <scheme val="minor"/>
    </font>
    <font>
      <u/>
      <vertAlign val="superscript"/>
      <sz val="11"/>
      <color theme="5" tint="-0.249977111117893"/>
      <name val="Calibri"/>
      <family val="2"/>
      <scheme val="minor"/>
    </font>
    <font>
      <u/>
      <vertAlign val="subscript"/>
      <sz val="11"/>
      <color theme="5" tint="-0.249977111117893"/>
      <name val="Calibri"/>
      <family val="2"/>
      <scheme val="minor"/>
    </font>
    <font>
      <u/>
      <sz val="11"/>
      <color theme="5" tint="-0.249977111117893"/>
      <name val="Arial"/>
      <family val="2"/>
    </font>
    <font>
      <u/>
      <vertAlign val="superscript"/>
      <sz val="11"/>
      <color theme="5" tint="-0.249977111117893"/>
      <name val="Arial"/>
      <family val="2"/>
    </font>
    <font>
      <b/>
      <u val="double"/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vertAlign val="superscript"/>
      <sz val="11"/>
      <color rgb="FF000000"/>
      <name val="Calibri"/>
      <family val="2"/>
      <scheme val="minor"/>
    </font>
    <font>
      <vertAlign val="subscript"/>
      <sz val="11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vertAlign val="subscript"/>
      <sz val="16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vertAlign val="subscript"/>
      <sz val="10"/>
      <color theme="1"/>
      <name val="Calibri"/>
      <family val="2"/>
      <scheme val="minor"/>
    </font>
    <font>
      <b/>
      <u val="doubleAccounting"/>
      <sz val="11"/>
      <color theme="1"/>
      <name val="Calibri"/>
      <family val="2"/>
      <scheme val="minor"/>
    </font>
    <font>
      <u/>
      <sz val="11"/>
      <color theme="1" tint="0.34998626667073579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vertAlign val="superscript"/>
      <sz val="11"/>
      <color theme="1" tint="0.34998626667073579"/>
      <name val="Calibri"/>
      <family val="2"/>
      <scheme val="minor"/>
    </font>
    <font>
      <vertAlign val="subscript"/>
      <sz val="11"/>
      <color theme="1" tint="0.34998626667073579"/>
      <name val="Calibri"/>
      <family val="2"/>
      <scheme val="minor"/>
    </font>
    <font>
      <sz val="7"/>
      <color theme="1" tint="0.34998626667073579"/>
      <name val="Calibri"/>
      <family val="2"/>
      <scheme val="minor"/>
    </font>
    <font>
      <sz val="11"/>
      <color theme="1" tint="0.34998626667073579"/>
      <name val="Arial"/>
      <family val="2"/>
    </font>
    <font>
      <vertAlign val="superscript"/>
      <sz val="11"/>
      <color theme="1" tint="0.34998626667073579"/>
      <name val="Arial"/>
      <family val="2"/>
    </font>
    <font>
      <sz val="7"/>
      <color theme="1"/>
      <name val="Calibri"/>
      <family val="2"/>
      <scheme val="minor"/>
    </font>
    <font>
      <sz val="9"/>
      <color theme="1" tint="0.3499862666707357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vertAlign val="subscript"/>
      <sz val="9"/>
      <color theme="1"/>
      <name val="Calibri"/>
      <family val="2"/>
      <scheme val="minor"/>
    </font>
    <font>
      <b/>
      <vertAlign val="superscript"/>
      <sz val="9"/>
      <color theme="1"/>
      <name val="Calibri"/>
      <family val="2"/>
      <scheme val="minor"/>
    </font>
    <font>
      <sz val="8"/>
      <color theme="2" tint="-0.74999237037263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Calibri"/>
      <family val="2"/>
    </font>
    <font>
      <b/>
      <sz val="11"/>
      <color theme="1"/>
      <name val="Calibri"/>
      <family val="2"/>
    </font>
    <font>
      <sz val="11"/>
      <color theme="3" tint="0.79998168889431442"/>
      <name val="Calibri"/>
      <family val="2"/>
      <scheme val="minor"/>
    </font>
    <font>
      <b/>
      <sz val="9"/>
      <color theme="3" tint="0.79998168889431442"/>
      <name val="Calibri"/>
      <family val="2"/>
      <scheme val="minor"/>
    </font>
    <font>
      <b/>
      <vertAlign val="subscript"/>
      <sz val="9"/>
      <color theme="3" tint="0.79998168889431442"/>
      <name val="Calibri"/>
      <family val="2"/>
      <scheme val="minor"/>
    </font>
    <font>
      <b/>
      <sz val="11"/>
      <color theme="3" tint="0.79998168889431442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8"/>
      <color theme="3"/>
      <name val="Calibri"/>
      <family val="2"/>
      <scheme val="minor"/>
    </font>
    <font>
      <i/>
      <sz val="8"/>
      <color theme="1" tint="0.34998626667073579"/>
      <name val="Calibri"/>
      <family val="2"/>
      <scheme val="minor"/>
    </font>
    <font>
      <sz val="11"/>
      <color theme="3"/>
      <name val="Calibri"/>
      <family val="2"/>
      <scheme val="minor"/>
    </font>
    <font>
      <u/>
      <sz val="10"/>
      <color theme="3" tint="-0.249977111117893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5898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/>
      <right/>
      <top/>
      <bottom style="thin">
        <color theme="5" tint="0.39997558519241921"/>
      </bottom>
      <diagonal/>
    </border>
    <border>
      <left/>
      <right style="thin">
        <color theme="5" tint="0.39997558519241921"/>
      </right>
      <top/>
      <bottom style="thin">
        <color theme="5" tint="0.39997558519241921"/>
      </bottom>
      <diagonal/>
    </border>
    <border>
      <left style="thin">
        <color theme="5" tint="0.39997558519241921"/>
      </left>
      <right/>
      <top/>
      <bottom style="thin">
        <color theme="5" tint="0.39997558519241921"/>
      </bottom>
      <diagonal/>
    </border>
    <border>
      <left/>
      <right style="thin">
        <color theme="5" tint="0.59999389629810485"/>
      </right>
      <top/>
      <bottom style="thin">
        <color theme="5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0" fontId="67" fillId="0" borderId="0" applyNumberFormat="0" applyFill="0" applyBorder="0" applyAlignment="0" applyProtection="0"/>
    <xf numFmtId="0" fontId="70" fillId="0" borderId="0">
      <alignment vertical="center"/>
    </xf>
  </cellStyleXfs>
  <cellXfs count="179">
    <xf numFmtId="0" fontId="0" fillId="0" borderId="0" xfId="0"/>
    <xf numFmtId="0" fontId="6" fillId="2" borderId="0" xfId="0" applyFont="1" applyFill="1" applyBorder="1" applyAlignment="1">
      <alignment vertical="top"/>
    </xf>
    <xf numFmtId="0" fontId="0" fillId="0" borderId="0" xfId="0" applyProtection="1"/>
    <xf numFmtId="0" fontId="7" fillId="0" borderId="0" xfId="0" applyFont="1" applyAlignment="1" applyProtection="1">
      <alignment vertical="top"/>
    </xf>
    <xf numFmtId="0" fontId="8" fillId="0" borderId="0" xfId="0" applyFont="1" applyProtection="1"/>
    <xf numFmtId="0" fontId="9" fillId="0" borderId="0" xfId="0" applyFont="1" applyProtection="1"/>
    <xf numFmtId="0" fontId="0" fillId="3" borderId="0" xfId="0" applyFill="1" applyAlignment="1" applyProtection="1"/>
    <xf numFmtId="164" fontId="0" fillId="3" borderId="1" xfId="0" applyNumberFormat="1" applyFill="1" applyBorder="1" applyAlignment="1" applyProtection="1">
      <alignment shrinkToFit="1"/>
      <protection locked="0"/>
    </xf>
    <xf numFmtId="0" fontId="0" fillId="3" borderId="0" xfId="0" applyFill="1" applyProtection="1"/>
    <xf numFmtId="0" fontId="0" fillId="4" borderId="0" xfId="0" applyFill="1" applyProtection="1"/>
    <xf numFmtId="0" fontId="0" fillId="4" borderId="1" xfId="0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0" fillId="2" borderId="0" xfId="0" applyFill="1" applyProtection="1"/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0" fontId="0" fillId="0" borderId="0" xfId="0" applyAlignment="1" applyProtection="1">
      <alignment horizontal="right"/>
    </xf>
    <xf numFmtId="0" fontId="0" fillId="0" borderId="0" xfId="0" applyAlignment="1" applyProtection="1">
      <alignment horizontal="center"/>
    </xf>
    <xf numFmtId="0" fontId="3" fillId="0" borderId="0" xfId="0" applyFont="1" applyFill="1" applyProtection="1"/>
    <xf numFmtId="0" fontId="0" fillId="0" borderId="0" xfId="0" applyAlignment="1" applyProtection="1"/>
    <xf numFmtId="165" fontId="0" fillId="0" borderId="0" xfId="0" applyNumberFormat="1" applyProtection="1"/>
    <xf numFmtId="0" fontId="13" fillId="0" borderId="2" xfId="0" applyFont="1" applyBorder="1" applyProtection="1"/>
    <xf numFmtId="0" fontId="0" fillId="0" borderId="2" xfId="0" applyBorder="1" applyProtection="1"/>
    <xf numFmtId="0" fontId="0" fillId="0" borderId="0" xfId="0" applyBorder="1" applyProtection="1"/>
    <xf numFmtId="0" fontId="14" fillId="0" borderId="0" xfId="0" applyFont="1" applyBorder="1" applyProtection="1"/>
    <xf numFmtId="0" fontId="0" fillId="0" borderId="3" xfId="0" applyBorder="1" applyProtection="1"/>
    <xf numFmtId="0" fontId="2" fillId="0" borderId="0" xfId="0" applyFont="1" applyBorder="1" applyProtection="1"/>
    <xf numFmtId="0" fontId="19" fillId="0" borderId="0" xfId="0" applyFont="1" applyProtection="1"/>
    <xf numFmtId="0" fontId="21" fillId="0" borderId="0" xfId="0" applyFont="1" applyProtection="1"/>
    <xf numFmtId="0" fontId="1" fillId="0" borderId="0" xfId="0" applyFont="1" applyProtection="1"/>
    <xf numFmtId="0" fontId="2" fillId="0" borderId="0" xfId="0" applyFont="1" applyAlignment="1" applyProtection="1">
      <alignment horizontal="right"/>
    </xf>
    <xf numFmtId="0" fontId="2" fillId="0" borderId="0" xfId="0" applyFont="1" applyProtection="1"/>
    <xf numFmtId="0" fontId="2" fillId="0" borderId="2" xfId="0" applyFont="1" applyBorder="1" applyAlignment="1" applyProtection="1">
      <alignment horizontal="left"/>
    </xf>
    <xf numFmtId="0" fontId="2" fillId="0" borderId="2" xfId="0" applyFont="1" applyBorder="1" applyProtection="1"/>
    <xf numFmtId="0" fontId="14" fillId="0" borderId="0" xfId="0" applyFont="1" applyProtection="1"/>
    <xf numFmtId="0" fontId="30" fillId="0" borderId="0" xfId="0" applyFont="1" applyProtection="1"/>
    <xf numFmtId="0" fontId="32" fillId="0" borderId="0" xfId="0" applyFont="1" applyAlignment="1" applyProtection="1">
      <alignment horizontal="right" indent="1"/>
    </xf>
    <xf numFmtId="0" fontId="33" fillId="0" borderId="0" xfId="0" applyFont="1" applyProtection="1"/>
    <xf numFmtId="0" fontId="32" fillId="0" borderId="0" xfId="0" applyFont="1" applyProtection="1"/>
    <xf numFmtId="0" fontId="30" fillId="0" borderId="0" xfId="0" applyFont="1" applyAlignment="1" applyProtection="1">
      <alignment horizontal="left"/>
    </xf>
    <xf numFmtId="0" fontId="30" fillId="0" borderId="0" xfId="0" applyFont="1" applyAlignment="1" applyProtection="1">
      <alignment horizontal="right"/>
    </xf>
    <xf numFmtId="0" fontId="35" fillId="0" borderId="0" xfId="0" applyFont="1" applyProtection="1"/>
    <xf numFmtId="0" fontId="36" fillId="0" borderId="0" xfId="0" applyFont="1" applyProtection="1"/>
    <xf numFmtId="0" fontId="39" fillId="0" borderId="0" xfId="0" applyFont="1" applyProtection="1"/>
    <xf numFmtId="0" fontId="44" fillId="0" borderId="0" xfId="0" applyFont="1" applyProtection="1"/>
    <xf numFmtId="0" fontId="1" fillId="0" borderId="0" xfId="0" applyFont="1" applyAlignment="1" applyProtection="1">
      <alignment horizontal="left"/>
    </xf>
    <xf numFmtId="0" fontId="0" fillId="6" borderId="0" xfId="0" applyFill="1" applyProtection="1">
      <protection hidden="1"/>
    </xf>
    <xf numFmtId="0" fontId="45" fillId="7" borderId="0" xfId="0" applyFont="1" applyFill="1" applyProtection="1">
      <protection hidden="1"/>
    </xf>
    <xf numFmtId="0" fontId="0" fillId="7" borderId="0" xfId="0" applyFill="1" applyProtection="1">
      <protection hidden="1"/>
    </xf>
    <xf numFmtId="0" fontId="0" fillId="8" borderId="0" xfId="0" applyFill="1" applyProtection="1">
      <protection locked="0" hidden="1"/>
    </xf>
    <xf numFmtId="0" fontId="45" fillId="8" borderId="0" xfId="0" applyFont="1" applyFill="1" applyProtection="1">
      <protection hidden="1"/>
    </xf>
    <xf numFmtId="0" fontId="46" fillId="0" borderId="0" xfId="0" applyFont="1" applyProtection="1"/>
    <xf numFmtId="0" fontId="3" fillId="0" borderId="0" xfId="0" applyFont="1" applyProtection="1"/>
    <xf numFmtId="0" fontId="1" fillId="0" borderId="4" xfId="0" applyFont="1" applyBorder="1" applyProtection="1"/>
    <xf numFmtId="0" fontId="1" fillId="0" borderId="0" xfId="0" applyFont="1" applyBorder="1" applyProtection="1"/>
    <xf numFmtId="0" fontId="2" fillId="0" borderId="0" xfId="0" applyFont="1" applyFill="1" applyProtection="1"/>
    <xf numFmtId="0" fontId="0" fillId="7" borderId="0" xfId="0" applyFill="1" applyProtection="1"/>
    <xf numFmtId="0" fontId="0" fillId="8" borderId="0" xfId="0" applyFill="1" applyProtection="1"/>
    <xf numFmtId="0" fontId="0" fillId="0" borderId="0" xfId="0" applyBorder="1" applyAlignment="1" applyProtection="1">
      <alignment vertical="center" wrapText="1"/>
    </xf>
    <xf numFmtId="0" fontId="2" fillId="7" borderId="0" xfId="0" applyFont="1" applyFill="1" applyProtection="1"/>
    <xf numFmtId="0" fontId="2" fillId="10" borderId="0" xfId="0" applyFont="1" applyFill="1" applyProtection="1"/>
    <xf numFmtId="0" fontId="0" fillId="8" borderId="0" xfId="0" applyNumberFormat="1" applyFill="1" applyProtection="1"/>
    <xf numFmtId="0" fontId="0" fillId="0" borderId="0" xfId="0" applyAlignment="1" applyProtection="1">
      <alignment vertical="center"/>
    </xf>
    <xf numFmtId="0" fontId="2" fillId="0" borderId="0" xfId="0" applyFont="1" applyBorder="1" applyAlignment="1" applyProtection="1">
      <alignment horizontal="right"/>
    </xf>
    <xf numFmtId="0" fontId="0" fillId="0" borderId="0" xfId="0" applyBorder="1" applyAlignment="1" applyProtection="1">
      <alignment horizontal="right"/>
    </xf>
    <xf numFmtId="0" fontId="53" fillId="0" borderId="0" xfId="0" applyFont="1" applyProtection="1"/>
    <xf numFmtId="0" fontId="0" fillId="6" borderId="0" xfId="0" applyFill="1" applyProtection="1"/>
    <xf numFmtId="0" fontId="0" fillId="0" borderId="5" xfId="0" applyBorder="1" applyProtection="1"/>
    <xf numFmtId="0" fontId="0" fillId="10" borderId="0" xfId="0" applyFill="1" applyProtection="1"/>
    <xf numFmtId="0" fontId="0" fillId="12" borderId="0" xfId="0" applyFill="1" applyProtection="1"/>
    <xf numFmtId="0" fontId="0" fillId="0" borderId="6" xfId="0" applyBorder="1" applyProtection="1"/>
    <xf numFmtId="0" fontId="54" fillId="0" borderId="0" xfId="0" applyFont="1" applyProtection="1"/>
    <xf numFmtId="0" fontId="55" fillId="0" borderId="0" xfId="0" applyFont="1" applyProtection="1"/>
    <xf numFmtId="0" fontId="0" fillId="0" borderId="0" xfId="0" applyBorder="1" applyAlignment="1" applyProtection="1"/>
    <xf numFmtId="0" fontId="0" fillId="0" borderId="0" xfId="0" applyAlignment="1" applyProtection="1">
      <alignment horizontal="left"/>
    </xf>
    <xf numFmtId="0" fontId="0" fillId="3" borderId="0" xfId="0" applyFill="1"/>
    <xf numFmtId="0" fontId="0" fillId="0" borderId="0" xfId="0" applyProtection="1">
      <protection hidden="1"/>
    </xf>
    <xf numFmtId="0" fontId="0" fillId="10" borderId="0" xfId="0" applyFill="1"/>
    <xf numFmtId="0" fontId="68" fillId="0" borderId="6" xfId="0" applyFont="1" applyBorder="1" applyProtection="1">
      <protection hidden="1"/>
    </xf>
    <xf numFmtId="0" fontId="0" fillId="0" borderId="2" xfId="0" applyBorder="1" applyProtection="1">
      <protection hidden="1"/>
    </xf>
    <xf numFmtId="0" fontId="0" fillId="0" borderId="8" xfId="0" applyBorder="1" applyProtection="1">
      <protection hidden="1"/>
    </xf>
    <xf numFmtId="0" fontId="2" fillId="3" borderId="0" xfId="0" applyFont="1" applyFill="1"/>
    <xf numFmtId="0" fontId="0" fillId="0" borderId="3" xfId="0" applyBorder="1" applyProtection="1">
      <protection hidden="1"/>
    </xf>
    <xf numFmtId="0" fontId="0" fillId="0" borderId="0" xfId="0" applyBorder="1" applyProtection="1">
      <protection hidden="1"/>
    </xf>
    <xf numFmtId="0" fontId="0" fillId="0" borderId="5" xfId="0" applyBorder="1" applyProtection="1">
      <protection hidden="1"/>
    </xf>
    <xf numFmtId="0" fontId="0" fillId="0" borderId="9" xfId="0" applyBorder="1" applyProtection="1">
      <protection hidden="1"/>
    </xf>
    <xf numFmtId="0" fontId="0" fillId="0" borderId="4" xfId="0" applyBorder="1" applyAlignment="1" applyProtection="1">
      <alignment horizontal="right"/>
      <protection hidden="1"/>
    </xf>
    <xf numFmtId="0" fontId="0" fillId="7" borderId="4" xfId="0" applyFill="1" applyBorder="1" applyProtection="1">
      <protection hidden="1"/>
    </xf>
    <xf numFmtId="0" fontId="0" fillId="7" borderId="10" xfId="0" applyFill="1" applyBorder="1" applyProtection="1">
      <protection hidden="1"/>
    </xf>
    <xf numFmtId="0" fontId="30" fillId="2" borderId="0" xfId="0" applyFont="1" applyFill="1" applyProtection="1">
      <protection locked="0" hidden="1"/>
    </xf>
    <xf numFmtId="0" fontId="2" fillId="0" borderId="0" xfId="0" applyFont="1" applyAlignment="1" applyProtection="1">
      <alignment horizontal="right"/>
      <protection hidden="1"/>
    </xf>
    <xf numFmtId="0" fontId="69" fillId="13" borderId="0" xfId="0" applyFont="1" applyFill="1" applyProtection="1">
      <protection locked="0" hidden="1"/>
    </xf>
    <xf numFmtId="0" fontId="2" fillId="14" borderId="7" xfId="0" applyFont="1" applyFill="1" applyBorder="1" applyProtection="1">
      <protection locked="0" hidden="1"/>
    </xf>
    <xf numFmtId="0" fontId="2" fillId="0" borderId="7" xfId="0" applyFont="1" applyBorder="1" applyAlignment="1" applyProtection="1">
      <protection locked="0"/>
    </xf>
    <xf numFmtId="0" fontId="2" fillId="0" borderId="0" xfId="0" applyFont="1" applyBorder="1" applyAlignment="1" applyProtection="1">
      <protection locked="0"/>
    </xf>
    <xf numFmtId="0" fontId="0" fillId="0" borderId="7" xfId="0" applyBorder="1" applyAlignment="1" applyProtection="1">
      <protection locked="0"/>
    </xf>
    <xf numFmtId="0" fontId="0" fillId="0" borderId="0" xfId="0" applyBorder="1" applyAlignment="1" applyProtection="1">
      <protection locked="0"/>
    </xf>
    <xf numFmtId="0" fontId="1" fillId="0" borderId="0" xfId="0" applyFont="1" applyAlignment="1"/>
    <xf numFmtId="0" fontId="0" fillId="0" borderId="4" xfId="0" applyBorder="1" applyProtection="1">
      <protection hidden="1"/>
    </xf>
    <xf numFmtId="0" fontId="0" fillId="0" borderId="10" xfId="0" applyBorder="1" applyProtection="1">
      <protection hidden="1"/>
    </xf>
    <xf numFmtId="0" fontId="0" fillId="15" borderId="0" xfId="0" applyFill="1" applyProtection="1"/>
    <xf numFmtId="164" fontId="0" fillId="15" borderId="1" xfId="0" applyNumberFormat="1" applyFill="1" applyBorder="1" applyAlignment="1" applyProtection="1">
      <alignment shrinkToFit="1"/>
    </xf>
    <xf numFmtId="164" fontId="0" fillId="15" borderId="1" xfId="0" applyNumberFormat="1" applyFill="1" applyBorder="1" applyProtection="1"/>
    <xf numFmtId="0" fontId="0" fillId="16" borderId="0" xfId="0" applyFill="1" applyProtection="1"/>
    <xf numFmtId="164" fontId="0" fillId="16" borderId="1" xfId="0" applyNumberFormat="1" applyFill="1" applyBorder="1" applyProtection="1"/>
    <xf numFmtId="0" fontId="0" fillId="0" borderId="0" xfId="0" applyAlignment="1" applyProtection="1">
      <alignment horizontal="left"/>
    </xf>
    <xf numFmtId="0" fontId="0" fillId="3" borderId="0" xfId="0" applyFill="1" applyProtection="1">
      <protection hidden="1"/>
    </xf>
    <xf numFmtId="0" fontId="67" fillId="3" borderId="0" xfId="1" applyFill="1" applyProtection="1">
      <protection hidden="1"/>
    </xf>
    <xf numFmtId="0" fontId="66" fillId="3" borderId="0" xfId="0" applyFont="1" applyFill="1" applyAlignment="1" applyProtection="1">
      <alignment horizontal="center" vertical="top"/>
      <protection hidden="1"/>
    </xf>
    <xf numFmtId="0" fontId="72" fillId="3" borderId="0" xfId="0" applyFont="1" applyFill="1" applyProtection="1">
      <protection hidden="1"/>
    </xf>
    <xf numFmtId="0" fontId="75" fillId="3" borderId="0" xfId="0" applyFont="1" applyFill="1" applyProtection="1">
      <protection hidden="1"/>
    </xf>
    <xf numFmtId="0" fontId="73" fillId="3" borderId="0" xfId="0" applyFont="1" applyFill="1" applyBorder="1" applyAlignment="1" applyProtection="1">
      <alignment horizontal="center"/>
      <protection hidden="1"/>
    </xf>
    <xf numFmtId="0" fontId="2" fillId="10" borderId="12" xfId="0" applyFont="1" applyFill="1" applyBorder="1" applyAlignment="1" applyProtection="1">
      <alignment vertical="center"/>
      <protection hidden="1"/>
    </xf>
    <xf numFmtId="166" fontId="0" fillId="10" borderId="11" xfId="0" applyNumberFormat="1" applyFont="1" applyFill="1" applyBorder="1" applyAlignment="1" applyProtection="1">
      <protection hidden="1"/>
    </xf>
    <xf numFmtId="166" fontId="0" fillId="10" borderId="13" xfId="0" applyNumberFormat="1" applyFont="1" applyFill="1" applyBorder="1" applyAlignment="1" applyProtection="1">
      <protection hidden="1"/>
    </xf>
    <xf numFmtId="0" fontId="0" fillId="8" borderId="14" xfId="0" applyFill="1" applyBorder="1" applyAlignment="1" applyProtection="1">
      <protection locked="0"/>
    </xf>
    <xf numFmtId="0" fontId="0" fillId="10" borderId="11" xfId="0" applyFill="1" applyBorder="1" applyProtection="1">
      <protection hidden="1"/>
    </xf>
    <xf numFmtId="0" fontId="63" fillId="7" borderId="16" xfId="0" applyFont="1" applyFill="1" applyBorder="1" applyProtection="1">
      <protection hidden="1"/>
    </xf>
    <xf numFmtId="0" fontId="0" fillId="7" borderId="15" xfId="0" applyFill="1" applyBorder="1" applyProtection="1">
      <protection hidden="1"/>
    </xf>
    <xf numFmtId="0" fontId="0" fillId="8" borderId="17" xfId="0" applyFill="1" applyBorder="1" applyAlignment="1" applyProtection="1">
      <protection locked="0"/>
    </xf>
    <xf numFmtId="0" fontId="0" fillId="8" borderId="17" xfId="0" applyFill="1" applyBorder="1" applyAlignment="1" applyProtection="1">
      <protection locked="0" hidden="1"/>
    </xf>
    <xf numFmtId="0" fontId="0" fillId="8" borderId="14" xfId="0" applyFill="1" applyBorder="1" applyAlignment="1" applyProtection="1">
      <protection locked="0" hidden="1"/>
    </xf>
    <xf numFmtId="0" fontId="36" fillId="0" borderId="0" xfId="0" applyFont="1" applyAlignment="1" applyProtection="1">
      <alignment horizontal="left"/>
    </xf>
    <xf numFmtId="0" fontId="0" fillId="5" borderId="0" xfId="0" applyFill="1" applyProtection="1"/>
    <xf numFmtId="0" fontId="2" fillId="10" borderId="0" xfId="0" applyFont="1" applyFill="1" applyProtection="1">
      <protection hidden="1"/>
    </xf>
    <xf numFmtId="0" fontId="0" fillId="17" borderId="0" xfId="0" applyFill="1" applyProtection="1">
      <protection hidden="1"/>
    </xf>
    <xf numFmtId="0" fontId="46" fillId="17" borderId="0" xfId="0" applyFont="1" applyFill="1" applyProtection="1">
      <protection hidden="1"/>
    </xf>
    <xf numFmtId="0" fontId="76" fillId="17" borderId="0" xfId="0" applyFont="1" applyFill="1" applyProtection="1">
      <protection hidden="1"/>
    </xf>
    <xf numFmtId="0" fontId="77" fillId="17" borderId="0" xfId="0" applyFont="1" applyFill="1" applyProtection="1">
      <protection hidden="1"/>
    </xf>
    <xf numFmtId="0" fontId="78" fillId="17" borderId="0" xfId="0" applyFont="1" applyFill="1" applyProtection="1">
      <protection hidden="1"/>
    </xf>
    <xf numFmtId="0" fontId="19" fillId="17" borderId="0" xfId="0" applyFont="1" applyFill="1" applyProtection="1">
      <protection hidden="1"/>
    </xf>
    <xf numFmtId="0" fontId="0" fillId="18" borderId="19" xfId="0" applyFill="1" applyBorder="1"/>
    <xf numFmtId="0" fontId="2" fillId="18" borderId="19" xfId="0" applyFont="1" applyFill="1" applyBorder="1" applyProtection="1">
      <protection hidden="1"/>
    </xf>
    <xf numFmtId="0" fontId="2" fillId="18" borderId="19" xfId="0" applyFont="1" applyFill="1" applyBorder="1" applyProtection="1">
      <protection locked="0"/>
    </xf>
    <xf numFmtId="0" fontId="0" fillId="18" borderId="19" xfId="0" applyFill="1" applyBorder="1" applyProtection="1">
      <protection locked="0"/>
    </xf>
    <xf numFmtId="0" fontId="0" fillId="18" borderId="20" xfId="0" applyFill="1" applyBorder="1" applyProtection="1">
      <protection locked="0"/>
    </xf>
    <xf numFmtId="0" fontId="0" fillId="18" borderId="21" xfId="0" applyFill="1" applyBorder="1"/>
    <xf numFmtId="0" fontId="0" fillId="18" borderId="0" xfId="0" applyFill="1" applyBorder="1"/>
    <xf numFmtId="0" fontId="2" fillId="18" borderId="0" xfId="0" applyFont="1" applyFill="1" applyBorder="1" applyProtection="1">
      <protection locked="0"/>
    </xf>
    <xf numFmtId="0" fontId="0" fillId="18" borderId="0" xfId="0" applyFill="1" applyBorder="1" applyProtection="1">
      <protection locked="0"/>
    </xf>
    <xf numFmtId="0" fontId="0" fillId="18" borderId="22" xfId="0" applyFill="1" applyBorder="1"/>
    <xf numFmtId="0" fontId="0" fillId="18" borderId="23" xfId="0" applyFill="1" applyBorder="1"/>
    <xf numFmtId="0" fontId="79" fillId="17" borderId="0" xfId="0" applyFont="1" applyFill="1" applyProtection="1">
      <protection hidden="1"/>
    </xf>
    <xf numFmtId="0" fontId="2" fillId="19" borderId="18" xfId="0" applyFont="1" applyFill="1" applyBorder="1"/>
    <xf numFmtId="0" fontId="0" fillId="19" borderId="19" xfId="0" applyFill="1" applyBorder="1"/>
    <xf numFmtId="0" fontId="0" fillId="19" borderId="19" xfId="0" applyFill="1" applyBorder="1" applyProtection="1">
      <protection locked="0"/>
    </xf>
    <xf numFmtId="0" fontId="0" fillId="19" borderId="3" xfId="0" applyFill="1" applyBorder="1" applyProtection="1">
      <protection locked="0" hidden="1"/>
    </xf>
    <xf numFmtId="0" fontId="67" fillId="0" borderId="0" xfId="1" applyProtection="1"/>
    <xf numFmtId="0" fontId="62" fillId="0" borderId="0" xfId="1" applyFont="1" applyProtection="1"/>
    <xf numFmtId="0" fontId="0" fillId="3" borderId="0" xfId="0" applyFill="1" applyAlignment="1" applyProtection="1">
      <alignment horizontal="left"/>
      <protection hidden="1"/>
    </xf>
    <xf numFmtId="0" fontId="80" fillId="3" borderId="0" xfId="1" applyFont="1" applyFill="1" applyAlignment="1" applyProtection="1">
      <protection hidden="1"/>
    </xf>
    <xf numFmtId="167" fontId="0" fillId="3" borderId="0" xfId="0" applyNumberFormat="1" applyFill="1" applyAlignment="1" applyProtection="1">
      <alignment horizontal="left"/>
      <protection hidden="1"/>
    </xf>
    <xf numFmtId="0" fontId="62" fillId="2" borderId="0" xfId="1" applyFont="1" applyFill="1" applyAlignment="1"/>
    <xf numFmtId="0" fontId="81" fillId="0" borderId="0" xfId="1" applyFont="1" applyProtection="1"/>
    <xf numFmtId="0" fontId="82" fillId="17" borderId="0" xfId="0" applyFont="1" applyFill="1" applyProtection="1">
      <protection hidden="1"/>
    </xf>
    <xf numFmtId="0" fontId="19" fillId="17" borderId="0" xfId="0" applyFont="1" applyFill="1" applyAlignment="1" applyProtection="1">
      <alignment horizontal="center"/>
      <protection hidden="1"/>
    </xf>
    <xf numFmtId="0" fontId="0" fillId="0" borderId="2" xfId="0" applyBorder="1" applyAlignment="1" applyProtection="1">
      <alignment horizontal="right"/>
    </xf>
    <xf numFmtId="0" fontId="30" fillId="17" borderId="0" xfId="0" applyFont="1" applyFill="1" applyProtection="1">
      <protection hidden="1"/>
    </xf>
    <xf numFmtId="0" fontId="2" fillId="17" borderId="0" xfId="0" applyFont="1" applyFill="1" applyProtection="1">
      <protection hidden="1"/>
    </xf>
    <xf numFmtId="0" fontId="30" fillId="17" borderId="0" xfId="0" applyFont="1" applyFill="1" applyAlignment="1" applyProtection="1">
      <alignment horizontal="right"/>
      <protection hidden="1"/>
    </xf>
    <xf numFmtId="0" fontId="81" fillId="2" borderId="0" xfId="1" applyFont="1" applyFill="1" applyAlignment="1"/>
    <xf numFmtId="0" fontId="18" fillId="0" borderId="0" xfId="0" applyFont="1" applyAlignment="1" applyProtection="1">
      <alignment horizontal="center"/>
    </xf>
    <xf numFmtId="0" fontId="18" fillId="0" borderId="0" xfId="0" applyFont="1" applyAlignment="1" applyProtection="1">
      <alignment horizontal="left"/>
    </xf>
    <xf numFmtId="0" fontId="0" fillId="0" borderId="0" xfId="0" applyAlignment="1" applyProtection="1">
      <alignment horizontal="left"/>
    </xf>
    <xf numFmtId="0" fontId="29" fillId="0" borderId="0" xfId="0" applyFont="1" applyAlignment="1" applyProtection="1">
      <alignment horizontal="center"/>
    </xf>
    <xf numFmtId="2" fontId="0" fillId="0" borderId="0" xfId="0" applyNumberFormat="1" applyAlignment="1" applyProtection="1">
      <alignment horizontal="left"/>
    </xf>
    <xf numFmtId="0" fontId="30" fillId="0" borderId="0" xfId="0" applyFont="1" applyAlignment="1" applyProtection="1">
      <alignment horizontal="left" shrinkToFit="1"/>
    </xf>
    <xf numFmtId="0" fontId="0" fillId="0" borderId="0" xfId="0" applyNumberFormat="1" applyAlignment="1" applyProtection="1">
      <alignment horizontal="left"/>
    </xf>
    <xf numFmtId="0" fontId="49" fillId="9" borderId="0" xfId="0" applyFont="1" applyFill="1" applyAlignment="1" applyProtection="1">
      <alignment horizontal="center"/>
    </xf>
    <xf numFmtId="0" fontId="2" fillId="7" borderId="0" xfId="0" applyFont="1" applyFill="1" applyBorder="1" applyAlignment="1" applyProtection="1">
      <alignment horizontal="center" vertical="center" wrapText="1"/>
    </xf>
    <xf numFmtId="0" fontId="51" fillId="7" borderId="0" xfId="0" applyFont="1" applyFill="1" applyBorder="1" applyAlignment="1" applyProtection="1">
      <alignment horizontal="center" vertical="center"/>
    </xf>
    <xf numFmtId="0" fontId="2" fillId="7" borderId="0" xfId="0" applyFont="1" applyFill="1" applyAlignment="1" applyProtection="1">
      <alignment horizontal="center"/>
    </xf>
    <xf numFmtId="0" fontId="0" fillId="0" borderId="0" xfId="0" applyAlignment="1" applyProtection="1">
      <alignment horizontal="right" indent="1"/>
    </xf>
    <xf numFmtId="0" fontId="0" fillId="8" borderId="0" xfId="0" applyNumberFormat="1" applyFill="1" applyAlignment="1" applyProtection="1">
      <alignment horizontal="center"/>
    </xf>
    <xf numFmtId="0" fontId="0" fillId="11" borderId="0" xfId="0" applyFill="1" applyAlignment="1" applyProtection="1">
      <alignment horizontal="left" indent="2"/>
    </xf>
    <xf numFmtId="0" fontId="0" fillId="0" borderId="0" xfId="0" applyBorder="1" applyAlignment="1" applyProtection="1">
      <alignment horizontal="left"/>
    </xf>
    <xf numFmtId="0" fontId="0" fillId="0" borderId="0" xfId="0" applyBorder="1" applyAlignment="1" applyProtection="1">
      <alignment horizontal="right"/>
    </xf>
    <xf numFmtId="0" fontId="83" fillId="17" borderId="0" xfId="1" applyFont="1" applyFill="1" applyAlignment="1" applyProtection="1">
      <alignment horizontal="center"/>
      <protection hidden="1"/>
    </xf>
    <xf numFmtId="0" fontId="2" fillId="0" borderId="0" xfId="0" applyFont="1" applyAlignment="1" applyProtection="1">
      <alignment horizontal="center"/>
      <protection hidden="1"/>
    </xf>
    <xf numFmtId="0" fontId="2" fillId="0" borderId="5" xfId="0" applyFont="1" applyBorder="1" applyAlignment="1" applyProtection="1">
      <alignment horizontal="center"/>
      <protection hidden="1"/>
    </xf>
  </cellXfs>
  <cellStyles count="3">
    <cellStyle name="Hyperlink" xfId="1" builtinId="8"/>
    <cellStyle name="Normal" xfId="0" builtinId="0"/>
    <cellStyle name="Normal 2" xfId="2"/>
  </cellStyles>
  <dxfs count="14">
    <dxf>
      <border>
        <left/>
        <right style="thin">
          <color theme="2"/>
        </right>
        <top/>
        <bottom/>
        <vertical/>
        <horizontal/>
      </border>
    </dxf>
    <dxf>
      <border>
        <left style="thin">
          <color theme="5" tint="0.39994506668294322"/>
        </left>
        <right style="thin">
          <color theme="5" tint="0.39994506668294322"/>
        </right>
        <vertical/>
        <horizontal/>
      </border>
    </dxf>
    <dxf>
      <font>
        <b/>
        <i val="0"/>
        <color rgb="FFFF0000"/>
      </font>
    </dxf>
    <dxf>
      <font>
        <color theme="2"/>
      </font>
    </dxf>
    <dxf>
      <font>
        <color theme="3" tint="0.79998168889431442"/>
      </font>
      <fill>
        <patternFill>
          <bgColor theme="3" tint="0.7999816888943144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3" tint="0.79998168889431442"/>
      </font>
      <fill>
        <patternFill>
          <bgColor theme="3" tint="0.7999816888943144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3" tint="0.79998168889431442"/>
      </font>
      <fill>
        <patternFill>
          <bgColor theme="3" tint="0.7999816888943144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3" tint="0.79998168889431442"/>
      </font>
      <fill>
        <patternFill>
          <bgColor theme="3" tint="0.7999816888943144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3" tint="0.79998168889431442"/>
      </font>
      <fill>
        <patternFill>
          <bgColor theme="3" tint="0.7999816888943144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3" tint="0.79998168889431442"/>
      </font>
      <fill>
        <patternFill>
          <bgColor theme="3" tint="0.7999816888943144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3" tint="0.79998168889431442"/>
      </font>
      <fill>
        <patternFill>
          <bgColor theme="3" tint="0.7999816888943144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3" tint="0.79998168889431442"/>
      </font>
      <fill>
        <patternFill>
          <bgColor theme="3" tint="0.7999816888943144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3" tint="0.79998168889431442"/>
      </font>
      <fill>
        <patternFill>
          <bgColor theme="3" tint="0.7999816888943144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g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g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g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g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jpg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jpg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jp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l-GR" sz="1200"/>
              <a:t>%Δ</a:t>
            </a:r>
            <a:r>
              <a:rPr lang="en-IN" sz="1200"/>
              <a:t>LCB vs Fn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2.6823126032006664E-2"/>
          <c:y val="4.0740132494768364E-2"/>
          <c:w val="0.95237601905668823"/>
          <c:h val="0.90192099793539759"/>
        </c:manualLayout>
      </c:layout>
      <c:scatterChart>
        <c:scatterStyle val="smoothMarker"/>
        <c:varyColors val="0"/>
        <c:ser>
          <c:idx val="0"/>
          <c:order val="0"/>
          <c:tx>
            <c:v>Reference</c:v>
          </c:tx>
          <c:spPr>
            <a:ln w="9525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Tools1!$F$9:$F$10</c:f>
              <c:numCache>
                <c:formatCode>General</c:formatCode>
                <c:ptCount val="2"/>
                <c:pt idx="0">
                  <c:v>0.14499999999999999</c:v>
                </c:pt>
                <c:pt idx="1">
                  <c:v>0.2838</c:v>
                </c:pt>
              </c:numCache>
            </c:numRef>
          </c:xVal>
          <c:yVal>
            <c:numRef>
              <c:f>Tools1!$D$7:$D$8</c:f>
              <c:numCache>
                <c:formatCode>General</c:formatCode>
                <c:ptCount val="2"/>
                <c:pt idx="0">
                  <c:v>3</c:v>
                </c:pt>
                <c:pt idx="1">
                  <c:v>-3</c:v>
                </c:pt>
              </c:numCache>
            </c:numRef>
          </c:yVal>
          <c:smooth val="1"/>
        </c:ser>
        <c:ser>
          <c:idx val="1"/>
          <c:order val="1"/>
          <c:tx>
            <c:v>Std. LCB</c:v>
          </c:tx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8.0549597727697958E-2"/>
                  <c:y val="3.9679068198007969E-2"/>
                </c:manualLayout>
              </c:layout>
              <c:numFmt formatCode="0.000000" sourceLinked="0"/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0.32488337750171509"/>
                  <c:y val="-3.471918467325688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xVal>
            <c:numRef>
              <c:f>Tools1!$E$7:$F$7</c:f>
              <c:numCache>
                <c:formatCode>General</c:formatCode>
                <c:ptCount val="2"/>
                <c:pt idx="0">
                  <c:v>0.1</c:v>
                </c:pt>
                <c:pt idx="1">
                  <c:v>0.19417693517095749</c:v>
                </c:pt>
              </c:numCache>
            </c:numRef>
          </c:xVal>
          <c:yVal>
            <c:numRef>
              <c:f>Tools1!$E$8:$F$8</c:f>
              <c:numCache>
                <c:formatCode>General</c:formatCode>
                <c:ptCount val="2"/>
                <c:pt idx="0">
                  <c:v>0.87419588598166476</c:v>
                </c:pt>
                <c:pt idx="1">
                  <c:v>0.87419588598166476</c:v>
                </c:pt>
              </c:numCache>
            </c:numRef>
          </c:yVal>
          <c:smooth val="1"/>
        </c:ser>
        <c:ser>
          <c:idx val="2"/>
          <c:order val="2"/>
          <c:tx>
            <c:v>Fn</c:v>
          </c:tx>
          <c:spPr>
            <a:ln w="28575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Tools1!$F$7:$G$7</c:f>
              <c:numCache>
                <c:formatCode>General</c:formatCode>
                <c:ptCount val="2"/>
                <c:pt idx="0">
                  <c:v>0.19417693517095749</c:v>
                </c:pt>
                <c:pt idx="1">
                  <c:v>0.19417693517095749</c:v>
                </c:pt>
              </c:numCache>
            </c:numRef>
          </c:xVal>
          <c:yVal>
            <c:numRef>
              <c:f>Tools1!$F$8:$G$8</c:f>
              <c:numCache>
                <c:formatCode>General</c:formatCode>
                <c:ptCount val="2"/>
                <c:pt idx="0">
                  <c:v>0.87419588598166476</c:v>
                </c:pt>
                <c:pt idx="1">
                  <c:v>-3</c:v>
                </c:pt>
              </c:numCache>
            </c:numRef>
          </c:yVal>
          <c:smooth val="1"/>
        </c:ser>
        <c:ser>
          <c:idx val="3"/>
          <c:order val="3"/>
          <c:tx>
            <c:v>Ship's LCB</c:v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7.7529093521042786E-2"/>
                  <c:y val="-2.9759301148505966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"/>
              <c:delete val="1"/>
            </c:dLbl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Tools1!$D$9:$E$9</c:f>
              <c:numCache>
                <c:formatCode>General</c:formatCode>
                <c:ptCount val="2"/>
                <c:pt idx="0">
                  <c:v>0.08</c:v>
                </c:pt>
                <c:pt idx="1">
                  <c:v>0.105</c:v>
                </c:pt>
              </c:numCache>
            </c:numRef>
          </c:xVal>
          <c:yVal>
            <c:numRef>
              <c:f>Tools1!$D$10:$E$10</c:f>
              <c:numCache>
                <c:formatCode>General</c:formatCode>
                <c:ptCount val="2"/>
                <c:pt idx="0">
                  <c:v>-1.4449939385104233</c:v>
                </c:pt>
                <c:pt idx="1">
                  <c:v>-1.4449939385104233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333888"/>
        <c:axId val="171352064"/>
      </c:scatterChart>
      <c:valAx>
        <c:axId val="171333888"/>
        <c:scaling>
          <c:orientation val="minMax"/>
          <c:max val="0.34000000000000008"/>
          <c:min val="6.0000000000000012E-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00">
                <a:solidFill>
                  <a:schemeClr val="bg1"/>
                </a:solidFill>
              </a:defRPr>
            </a:pPr>
            <a:endParaRPr lang="en-US"/>
          </a:p>
        </c:txPr>
        <c:crossAx val="171352064"/>
        <c:crosses val="autoZero"/>
        <c:crossBetween val="midCat"/>
        <c:majorUnit val="2.0000000000000004E-2"/>
      </c:valAx>
      <c:valAx>
        <c:axId val="171352064"/>
        <c:scaling>
          <c:orientation val="minMax"/>
          <c:max val="4"/>
          <c:min val="-4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00">
                <a:solidFill>
                  <a:schemeClr val="bg1"/>
                </a:solidFill>
              </a:defRPr>
            </a:pPr>
            <a:endParaRPr lang="en-US"/>
          </a:p>
        </c:txPr>
        <c:crossAx val="171333888"/>
        <c:crosses val="autoZero"/>
        <c:crossBetween val="midCat"/>
        <c:maj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</c:spPr>
    </c:plotArea>
    <c:legend>
      <c:legendPos val="r"/>
      <c:layout>
        <c:manualLayout>
          <c:xMode val="edge"/>
          <c:yMode val="edge"/>
          <c:x val="4.6216868461592467E-2"/>
          <c:y val="0.86178937715899584"/>
          <c:w val="0.74425961260767104"/>
          <c:h val="0.1357553322483582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IN" sz="1200" b="1" i="0" u="none" strike="noStrike" baseline="0">
                <a:effectLst/>
              </a:rPr>
              <a:t>∂10</a:t>
            </a:r>
            <a:r>
              <a:rPr lang="en-IN" sz="1200" b="1" i="0" u="none" strike="noStrike" baseline="30000">
                <a:effectLst/>
              </a:rPr>
              <a:t>3</a:t>
            </a:r>
            <a:r>
              <a:rPr lang="en-IN" sz="1200" b="1" i="0" u="none" strike="noStrike" baseline="0">
                <a:effectLst/>
              </a:rPr>
              <a:t>C</a:t>
            </a:r>
            <a:r>
              <a:rPr lang="en-IN" sz="1200" b="1" i="0" u="none" strike="noStrike" baseline="-25000">
                <a:effectLst/>
              </a:rPr>
              <a:t>R </a:t>
            </a:r>
            <a:r>
              <a:rPr lang="en-IN" sz="1200" b="1" i="0" u="none" strike="noStrike" baseline="0">
                <a:effectLst/>
              </a:rPr>
              <a:t>/ ∂LCB:</a:t>
            </a:r>
            <a:endParaRPr lang="en-IN" sz="1200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2.7777777777777779E-3"/>
          <c:y val="5.0925925925925923E-2"/>
          <c:w val="0.96666666666666667"/>
          <c:h val="0.8981481481481481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Tools1!$Z$2</c:f>
              <c:strCache>
                <c:ptCount val="1"/>
                <c:pt idx="0">
                  <c:v>0.85</c:v>
                </c:pt>
              </c:strCache>
            </c:strRef>
          </c:tx>
          <c:spPr>
            <a:ln w="3175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Tools1!$AB$3:$AB$4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Tools1!$AC$3:$AC$4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Tools1!$Z$6</c:f>
              <c:strCache>
                <c:ptCount val="1"/>
                <c:pt idx="0">
                  <c:v>0.8</c:v>
                </c:pt>
              </c:strCache>
            </c:strRef>
          </c:tx>
          <c:spPr>
            <a:ln w="3175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Tools1!$AB$7:$AB$8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Tools1!$AC$7:$AC$8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Tools1!$Z$10</c:f>
              <c:strCache>
                <c:ptCount val="1"/>
                <c:pt idx="0">
                  <c:v>0.75</c:v>
                </c:pt>
              </c:strCache>
            </c:strRef>
          </c:tx>
          <c:spPr>
            <a:ln w="3175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Tools1!$AB$11:$AB$12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Tools1!$AC$11:$AC$12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Tools1!$Z$14</c:f>
              <c:strCache>
                <c:ptCount val="1"/>
                <c:pt idx="0">
                  <c:v>0.7</c:v>
                </c:pt>
              </c:strCache>
            </c:strRef>
          </c:tx>
          <c:spPr>
            <a:ln w="3175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Tools1!$AB$15:$AB$16</c:f>
              <c:numCache>
                <c:formatCode>General</c:formatCode>
                <c:ptCount val="2"/>
                <c:pt idx="0">
                  <c:v>0.1948</c:v>
                </c:pt>
                <c:pt idx="1">
                  <c:v>0.30130000000000001</c:v>
                </c:pt>
              </c:numCache>
            </c:numRef>
          </c:xVal>
          <c:yVal>
            <c:numRef>
              <c:f>Tools1!$AC$15:$AC$16</c:f>
              <c:numCache>
                <c:formatCode>General</c:formatCode>
                <c:ptCount val="2"/>
                <c:pt idx="0">
                  <c:v>0</c:v>
                </c:pt>
                <c:pt idx="1">
                  <c:v>0.47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Tools1!$Z$18</c:f>
              <c:strCache>
                <c:ptCount val="1"/>
                <c:pt idx="0">
                  <c:v>0.65</c:v>
                </c:pt>
              </c:strCache>
            </c:strRef>
          </c:tx>
          <c:spPr>
            <a:ln w="3175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Tools1!$AB$19:$AB$20</c:f>
              <c:numCache>
                <c:formatCode>General</c:formatCode>
                <c:ptCount val="2"/>
                <c:pt idx="0">
                  <c:v>0.20390000000000003</c:v>
                </c:pt>
                <c:pt idx="1">
                  <c:v>0.31180000000000002</c:v>
                </c:pt>
              </c:numCache>
            </c:numRef>
          </c:xVal>
          <c:yVal>
            <c:numRef>
              <c:f>Tools1!$AC$19:$AC$20</c:f>
              <c:numCache>
                <c:formatCode>General</c:formatCode>
                <c:ptCount val="2"/>
                <c:pt idx="0">
                  <c:v>0</c:v>
                </c:pt>
                <c:pt idx="1">
                  <c:v>0.42599999999999999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Tools1!$Z$22</c:f>
              <c:strCache>
                <c:ptCount val="1"/>
                <c:pt idx="0">
                  <c:v>0.6</c:v>
                </c:pt>
              </c:strCache>
            </c:strRef>
          </c:tx>
          <c:spPr>
            <a:ln w="3175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Tools1!$AB$23:$AB$24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Tools1!$AC$23:$AC$24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Tools1!$Z$26</c:f>
              <c:strCache>
                <c:ptCount val="1"/>
                <c:pt idx="0">
                  <c:v>0.55</c:v>
                </c:pt>
              </c:strCache>
            </c:strRef>
          </c:tx>
          <c:spPr>
            <a:ln w="3175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Tools1!$AB$27:$AB$28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Tools1!$AC$27:$AC$28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</c:ser>
        <c:ser>
          <c:idx val="7"/>
          <c:order val="7"/>
          <c:tx>
            <c:v>Fn</c:v>
          </c:tx>
          <c:spPr>
            <a:ln w="3175">
              <a:solidFill>
                <a:srgbClr val="FF00FF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7.6923076923076927E-2"/>
                  <c:y val="0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FF"/>
                      </a:solidFill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</c:dLbl>
            <c:dLbl>
              <c:idx val="1"/>
              <c:delete val="1"/>
            </c:dLbl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Tools1!$V$18:$V$19</c:f>
              <c:numCache>
                <c:formatCode>General</c:formatCode>
                <c:ptCount val="2"/>
                <c:pt idx="0">
                  <c:v>0.19417693517095749</c:v>
                </c:pt>
                <c:pt idx="1">
                  <c:v>0.19417693517095749</c:v>
                </c:pt>
              </c:numCache>
            </c:numRef>
          </c:xVal>
          <c:yVal>
            <c:numRef>
              <c:f>Tools1!$W$18:$W$19</c:f>
              <c:numCache>
                <c:formatCode>General</c:formatCode>
                <c:ptCount val="2"/>
                <c:pt idx="0">
                  <c:v>-0.2</c:v>
                </c:pt>
                <c:pt idx="1">
                  <c:v>0.59</c:v>
                </c:pt>
              </c:numCache>
            </c:numRef>
          </c:yVal>
          <c:smooth val="1"/>
        </c:ser>
        <c:ser>
          <c:idx val="8"/>
          <c:order val="8"/>
          <c:tx>
            <c:v>0.85cr</c:v>
          </c:tx>
          <c:spPr>
            <a:ln w="12700">
              <a:solidFill>
                <a:srgbClr val="00FF00"/>
              </a:solidFill>
            </a:ln>
          </c:spPr>
          <c:marker>
            <c:symbol val="none"/>
          </c:marker>
          <c:xVal>
            <c:numRef>
              <c:f>Tools1!$V$17:$V$18</c:f>
              <c:numCache>
                <c:formatCode>General</c:formatCode>
                <c:ptCount val="2"/>
                <c:pt idx="0">
                  <c:v>0.09</c:v>
                </c:pt>
                <c:pt idx="1">
                  <c:v>0.19417693517095749</c:v>
                </c:pt>
              </c:numCache>
            </c:numRef>
          </c:xVal>
          <c:yVal>
            <c:numRef>
              <c:f>Tools1!$AD$3:$AD$4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</c:ser>
        <c:ser>
          <c:idx val="9"/>
          <c:order val="9"/>
          <c:tx>
            <c:v>0.80cr</c:v>
          </c:tx>
          <c:spPr>
            <a:ln w="12700"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Tools1!$V$17:$V$18</c:f>
              <c:numCache>
                <c:formatCode>General</c:formatCode>
                <c:ptCount val="2"/>
                <c:pt idx="0">
                  <c:v>0.09</c:v>
                </c:pt>
                <c:pt idx="1">
                  <c:v>0.19417693517095749</c:v>
                </c:pt>
              </c:numCache>
            </c:numRef>
          </c:xVal>
          <c:yVal>
            <c:numRef>
              <c:f>Tools1!$AD$7:$AD$8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</c:ser>
        <c:ser>
          <c:idx val="10"/>
          <c:order val="10"/>
          <c:tx>
            <c:v>0.75cr</c:v>
          </c:tx>
          <c:spPr>
            <a:ln w="12700">
              <a:solidFill>
                <a:srgbClr val="00FF00"/>
              </a:solidFill>
            </a:ln>
          </c:spPr>
          <c:marker>
            <c:symbol val="none"/>
          </c:marker>
          <c:xVal>
            <c:numRef>
              <c:f>Tools1!$V$17:$V$18</c:f>
              <c:numCache>
                <c:formatCode>General</c:formatCode>
                <c:ptCount val="2"/>
                <c:pt idx="0">
                  <c:v>0.09</c:v>
                </c:pt>
                <c:pt idx="1">
                  <c:v>0.19417693517095749</c:v>
                </c:pt>
              </c:numCache>
            </c:numRef>
          </c:xVal>
          <c:yVal>
            <c:numRef>
              <c:f>Tools1!$AD$11:$AD$12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</c:ser>
        <c:ser>
          <c:idx val="11"/>
          <c:order val="11"/>
          <c:tx>
            <c:v>0.70cr</c:v>
          </c:tx>
          <c:spPr>
            <a:ln w="12700"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Tools1!$V$17:$V$18</c:f>
              <c:numCache>
                <c:formatCode>General</c:formatCode>
                <c:ptCount val="2"/>
                <c:pt idx="0">
                  <c:v>0.09</c:v>
                </c:pt>
                <c:pt idx="1">
                  <c:v>0.19417693517095749</c:v>
                </c:pt>
              </c:numCache>
            </c:numRef>
          </c:xVal>
          <c:yVal>
            <c:numRef>
              <c:f>Tools1!$AD$15:$AD$16</c:f>
              <c:numCache>
                <c:formatCode>General</c:formatCode>
                <c:ptCount val="2"/>
                <c:pt idx="0">
                  <c:v>#N/A</c:v>
                </c:pt>
                <c:pt idx="1">
                  <c:v>-2.7496757713613013E-3</c:v>
                </c:pt>
              </c:numCache>
            </c:numRef>
          </c:yVal>
          <c:smooth val="1"/>
        </c:ser>
        <c:ser>
          <c:idx val="12"/>
          <c:order val="12"/>
          <c:tx>
            <c:v>0.65cr</c:v>
          </c:tx>
          <c:spPr>
            <a:ln w="12700">
              <a:solidFill>
                <a:srgbClr val="00FF00"/>
              </a:solidFill>
            </a:ln>
          </c:spPr>
          <c:marker>
            <c:symbol val="none"/>
          </c:marker>
          <c:xVal>
            <c:numRef>
              <c:f>Tools1!$V$17:$V$18</c:f>
              <c:numCache>
                <c:formatCode>General</c:formatCode>
                <c:ptCount val="2"/>
                <c:pt idx="0">
                  <c:v>0.09</c:v>
                </c:pt>
                <c:pt idx="1">
                  <c:v>0.19417693517095749</c:v>
                </c:pt>
              </c:numCache>
            </c:numRef>
          </c:xVal>
          <c:yVal>
            <c:numRef>
              <c:f>Tools1!$AD$19:$AD$20</c:f>
              <c:numCache>
                <c:formatCode>General</c:formatCode>
                <c:ptCount val="2"/>
                <c:pt idx="0">
                  <c:v>#N/A</c:v>
                </c:pt>
                <c:pt idx="1">
                  <c:v>-3.8387633152660972E-2</c:v>
                </c:pt>
              </c:numCache>
            </c:numRef>
          </c:yVal>
          <c:smooth val="1"/>
        </c:ser>
        <c:ser>
          <c:idx val="13"/>
          <c:order val="13"/>
          <c:tx>
            <c:v>0.60cr</c:v>
          </c:tx>
          <c:spPr>
            <a:ln w="12700"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Tools1!$V$17:$V$18</c:f>
              <c:numCache>
                <c:formatCode>General</c:formatCode>
                <c:ptCount val="2"/>
                <c:pt idx="0">
                  <c:v>0.09</c:v>
                </c:pt>
                <c:pt idx="1">
                  <c:v>0.19417693517095749</c:v>
                </c:pt>
              </c:numCache>
            </c:numRef>
          </c:xVal>
          <c:yVal>
            <c:numRef>
              <c:f>Tools1!$AD$23:$AD$24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</c:ser>
        <c:ser>
          <c:idx val="14"/>
          <c:order val="14"/>
          <c:tx>
            <c:v>0.55cr</c:v>
          </c:tx>
          <c:spPr>
            <a:ln w="12700">
              <a:solidFill>
                <a:srgbClr val="00FF00"/>
              </a:solidFill>
            </a:ln>
          </c:spPr>
          <c:marker>
            <c:symbol val="none"/>
          </c:marker>
          <c:xVal>
            <c:numRef>
              <c:f>Tools1!$V$17:$V$18</c:f>
              <c:numCache>
                <c:formatCode>General</c:formatCode>
                <c:ptCount val="2"/>
                <c:pt idx="0">
                  <c:v>0.09</c:v>
                </c:pt>
                <c:pt idx="1">
                  <c:v>0.19417693517095749</c:v>
                </c:pt>
              </c:numCache>
            </c:numRef>
          </c:xVal>
          <c:yVal>
            <c:numRef>
              <c:f>Tools1!$AD$27:$AD$28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</c:ser>
        <c:ser>
          <c:idx val="15"/>
          <c:order val="15"/>
          <c:tx>
            <c:v>Required value</c:v>
          </c:tx>
          <c:spPr>
            <a:ln w="19050">
              <a:solidFill>
                <a:srgbClr val="FF3300"/>
              </a:solidFill>
              <a:tailEnd type="triangle" w="lg" len="lg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"/>
                  <c:y val="-4.6296296296296294E-3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</c:dLbl>
            <c:dLbl>
              <c:idx val="1"/>
              <c:delete val="1"/>
            </c:dLbl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</c:dLbls>
          <c:xVal>
            <c:numRef>
              <c:f>Tools1!$V$17:$V$18</c:f>
              <c:numCache>
                <c:formatCode>General</c:formatCode>
                <c:ptCount val="2"/>
                <c:pt idx="0">
                  <c:v>0.09</c:v>
                </c:pt>
                <c:pt idx="1">
                  <c:v>0.19417693517095749</c:v>
                </c:pt>
              </c:numCache>
            </c:numRef>
          </c:xVal>
          <c:yVal>
            <c:numRef>
              <c:f>Tools1!$W$26:$W$27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804032"/>
        <c:axId val="135805568"/>
      </c:scatterChart>
      <c:valAx>
        <c:axId val="135804032"/>
        <c:scaling>
          <c:orientation val="minMax"/>
          <c:max val="0.34000000000000008"/>
          <c:min val="6.0000000000000012E-2"/>
        </c:scaling>
        <c:delete val="1"/>
        <c:axPos val="b"/>
        <c:numFmt formatCode="General" sourceLinked="1"/>
        <c:majorTickMark val="out"/>
        <c:minorTickMark val="none"/>
        <c:tickLblPos val="nextTo"/>
        <c:crossAx val="135805568"/>
        <c:crosses val="autoZero"/>
        <c:crossBetween val="midCat"/>
        <c:majorUnit val="2.0000000000000004E-2"/>
      </c:valAx>
      <c:valAx>
        <c:axId val="135805568"/>
        <c:scaling>
          <c:orientation val="minMax"/>
          <c:max val="0.70000000000000007"/>
          <c:min val="-0.2"/>
        </c:scaling>
        <c:delete val="1"/>
        <c:axPos val="l"/>
        <c:numFmt formatCode="General" sourceLinked="1"/>
        <c:majorTickMark val="out"/>
        <c:minorTickMark val="none"/>
        <c:tickLblPos val="nextTo"/>
        <c:crossAx val="135804032"/>
        <c:crosses val="autoZero"/>
        <c:crossBetween val="midCat"/>
        <c:majorUnit val="0.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3175"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598615390467502E-2"/>
          <c:y val="4.5689381419915104E-2"/>
          <c:w val="0.88625965232606796"/>
          <c:h val="0.91608227510566431"/>
        </c:manualLayout>
      </c:layout>
      <c:scatterChart>
        <c:scatterStyle val="smoothMarker"/>
        <c:varyColors val="0"/>
        <c:ser>
          <c:idx val="0"/>
          <c:order val="0"/>
          <c:tx>
            <c:v>Fn</c:v>
          </c:tx>
          <c:spPr>
            <a:ln w="12700">
              <a:solidFill>
                <a:srgbClr val="FF00FF"/>
              </a:solidFill>
            </a:ln>
          </c:spPr>
          <c:marker>
            <c:symbol val="none"/>
          </c:marker>
          <c:xVal>
            <c:numRef>
              <c:f>'4.0'!$O$38:$P$38</c:f>
              <c:numCache>
                <c:formatCode>General</c:formatCode>
                <c:ptCount val="2"/>
                <c:pt idx="0">
                  <c:v>0.19417693517095749</c:v>
                </c:pt>
                <c:pt idx="1">
                  <c:v>0.19417693517095749</c:v>
                </c:pt>
              </c:numCache>
            </c:numRef>
          </c:xVal>
          <c:yVal>
            <c:numRef>
              <c:f>'4.0'!$O$39:$P$39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1"/>
        </c:ser>
        <c:ser>
          <c:idx val="1"/>
          <c:order val="1"/>
          <c:tx>
            <c:v>L</c:v>
          </c:tx>
          <c:spPr>
            <a:ln w="9525">
              <a:solidFill>
                <a:srgbClr val="00FF00"/>
              </a:solidFill>
            </a:ln>
          </c:spPr>
          <c:marker>
            <c:symbol val="none"/>
          </c:marker>
          <c:xVal>
            <c:numRef>
              <c:f>'4.0'!$N$38:$O$38</c:f>
              <c:numCache>
                <c:formatCode>General</c:formatCode>
                <c:ptCount val="2"/>
                <c:pt idx="0">
                  <c:v>0.15</c:v>
                </c:pt>
                <c:pt idx="1">
                  <c:v>0.19417693517095749</c:v>
                </c:pt>
              </c:numCache>
            </c:numRef>
          </c:xVal>
          <c:yVal>
            <c:numRef>
              <c:f>'4.0'!$N$36:$N$37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H</c:v>
          </c:tx>
          <c:spPr>
            <a:ln w="9525">
              <a:solidFill>
                <a:srgbClr val="00FF00"/>
              </a:solidFill>
            </a:ln>
          </c:spPr>
          <c:marker>
            <c:symbol val="none"/>
          </c:marker>
          <c:xVal>
            <c:numRef>
              <c:f>'4.0'!$N$38:$O$38</c:f>
              <c:numCache>
                <c:formatCode>General</c:formatCode>
                <c:ptCount val="2"/>
                <c:pt idx="0">
                  <c:v>0.15</c:v>
                </c:pt>
                <c:pt idx="1">
                  <c:v>0.19417693517095749</c:v>
                </c:pt>
              </c:numCache>
            </c:numRef>
          </c:xVal>
          <c:yVal>
            <c:numRef>
              <c:f>'4.0'!$O$36:$O$37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1"/>
        </c:ser>
        <c:ser>
          <c:idx val="3"/>
          <c:order val="3"/>
          <c:tx>
            <c:v>Required Value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'4.0'!$N$38:$O$38</c:f>
              <c:numCache>
                <c:formatCode>General</c:formatCode>
                <c:ptCount val="2"/>
                <c:pt idx="0">
                  <c:v>0.15</c:v>
                </c:pt>
                <c:pt idx="1">
                  <c:v>0.19417693517095749</c:v>
                </c:pt>
              </c:numCache>
            </c:numRef>
          </c:xVal>
          <c:yVal>
            <c:numRef>
              <c:f>'4.0'!$P$36:$P$37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145344"/>
        <c:axId val="135146880"/>
      </c:scatterChart>
      <c:valAx>
        <c:axId val="135145344"/>
        <c:scaling>
          <c:orientation val="minMax"/>
          <c:max val="0.45"/>
          <c:min val="0.15000000000000002"/>
        </c:scaling>
        <c:delete val="0"/>
        <c:axPos val="b"/>
        <c:numFmt formatCode="General" sourceLinked="1"/>
        <c:majorTickMark val="out"/>
        <c:minorTickMark val="none"/>
        <c:tickLblPos val="nextTo"/>
        <c:crossAx val="135146880"/>
        <c:crosses val="autoZero"/>
        <c:crossBetween val="midCat"/>
        <c:majorUnit val="5.000000000000001E-2"/>
      </c:valAx>
      <c:valAx>
        <c:axId val="135146880"/>
        <c:scaling>
          <c:orientation val="minMax"/>
          <c:max val="1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35145344"/>
        <c:crosses val="autoZero"/>
        <c:crossBetween val="midCat"/>
        <c:maj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6350"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598615390467502E-2"/>
          <c:y val="4.5689381419915104E-2"/>
          <c:w val="0.88625965232606796"/>
          <c:h val="0.91608227510566431"/>
        </c:manualLayout>
      </c:layout>
      <c:scatterChart>
        <c:scatterStyle val="smoothMarker"/>
        <c:varyColors val="0"/>
        <c:ser>
          <c:idx val="0"/>
          <c:order val="0"/>
          <c:tx>
            <c:v>Fn</c:v>
          </c:tx>
          <c:spPr>
            <a:ln w="12700">
              <a:solidFill>
                <a:srgbClr val="FF00FF"/>
              </a:solidFill>
            </a:ln>
          </c:spPr>
          <c:marker>
            <c:symbol val="none"/>
          </c:marker>
          <c:xVal>
            <c:numRef>
              <c:f>'4.5'!$O$38:$P$38</c:f>
              <c:numCache>
                <c:formatCode>General</c:formatCode>
                <c:ptCount val="2"/>
                <c:pt idx="0">
                  <c:v>0.19417693517095749</c:v>
                </c:pt>
                <c:pt idx="1">
                  <c:v>0.19417693517095749</c:v>
                </c:pt>
              </c:numCache>
            </c:numRef>
          </c:xVal>
          <c:yVal>
            <c:numRef>
              <c:f>'4.5'!$O$39:$P$39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1"/>
        </c:ser>
        <c:ser>
          <c:idx val="1"/>
          <c:order val="1"/>
          <c:tx>
            <c:v>L</c:v>
          </c:tx>
          <c:spPr>
            <a:ln w="9525">
              <a:solidFill>
                <a:srgbClr val="00FF00"/>
              </a:solidFill>
            </a:ln>
          </c:spPr>
          <c:marker>
            <c:symbol val="none"/>
          </c:marker>
          <c:xVal>
            <c:numRef>
              <c:f>'4.5'!$N$38:$O$38</c:f>
              <c:numCache>
                <c:formatCode>General</c:formatCode>
                <c:ptCount val="2"/>
                <c:pt idx="0">
                  <c:v>0.15</c:v>
                </c:pt>
                <c:pt idx="1">
                  <c:v>0.19417693517095749</c:v>
                </c:pt>
              </c:numCache>
            </c:numRef>
          </c:xVal>
          <c:yVal>
            <c:numRef>
              <c:f>'4.5'!$N$36:$N$37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H</c:v>
          </c:tx>
          <c:spPr>
            <a:ln w="9525">
              <a:solidFill>
                <a:srgbClr val="00FF00"/>
              </a:solidFill>
            </a:ln>
          </c:spPr>
          <c:marker>
            <c:symbol val="none"/>
          </c:marker>
          <c:xVal>
            <c:numRef>
              <c:f>'4.5'!$N$38:$O$38</c:f>
              <c:numCache>
                <c:formatCode>General</c:formatCode>
                <c:ptCount val="2"/>
                <c:pt idx="0">
                  <c:v>0.15</c:v>
                </c:pt>
                <c:pt idx="1">
                  <c:v>0.19417693517095749</c:v>
                </c:pt>
              </c:numCache>
            </c:numRef>
          </c:xVal>
          <c:yVal>
            <c:numRef>
              <c:f>'4.5'!$O$36:$O$37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1"/>
        </c:ser>
        <c:ser>
          <c:idx val="3"/>
          <c:order val="3"/>
          <c:tx>
            <c:v>Required Value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'4.5'!$N$38:$O$38</c:f>
              <c:numCache>
                <c:formatCode>General</c:formatCode>
                <c:ptCount val="2"/>
                <c:pt idx="0">
                  <c:v>0.15</c:v>
                </c:pt>
                <c:pt idx="1">
                  <c:v>0.19417693517095749</c:v>
                </c:pt>
              </c:numCache>
            </c:numRef>
          </c:xVal>
          <c:yVal>
            <c:numRef>
              <c:f>'4.5'!$P$36:$P$37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249920"/>
        <c:axId val="135251456"/>
      </c:scatterChart>
      <c:valAx>
        <c:axId val="135249920"/>
        <c:scaling>
          <c:orientation val="minMax"/>
          <c:max val="0.45"/>
          <c:min val="0.15000000000000002"/>
        </c:scaling>
        <c:delete val="0"/>
        <c:axPos val="b"/>
        <c:numFmt formatCode="General" sourceLinked="1"/>
        <c:majorTickMark val="out"/>
        <c:minorTickMark val="none"/>
        <c:tickLblPos val="nextTo"/>
        <c:crossAx val="135251456"/>
        <c:crosses val="autoZero"/>
        <c:crossBetween val="midCat"/>
        <c:majorUnit val="5.000000000000001E-2"/>
      </c:valAx>
      <c:valAx>
        <c:axId val="135251456"/>
        <c:scaling>
          <c:orientation val="minMax"/>
          <c:max val="1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35249920"/>
        <c:crosses val="autoZero"/>
        <c:crossBetween val="midCat"/>
        <c:maj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6350"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598615390467502E-2"/>
          <c:y val="4.5689381419915104E-2"/>
          <c:w val="0.88625965232606796"/>
          <c:h val="0.91608227510566431"/>
        </c:manualLayout>
      </c:layout>
      <c:scatterChart>
        <c:scatterStyle val="smoothMarker"/>
        <c:varyColors val="0"/>
        <c:ser>
          <c:idx val="0"/>
          <c:order val="0"/>
          <c:tx>
            <c:v>Fn</c:v>
          </c:tx>
          <c:spPr>
            <a:ln w="12700">
              <a:solidFill>
                <a:srgbClr val="FF00FF"/>
              </a:solidFill>
            </a:ln>
          </c:spPr>
          <c:marker>
            <c:symbol val="none"/>
          </c:marker>
          <c:xVal>
            <c:numRef>
              <c:f>'5.0'!$O$38:$P$38</c:f>
              <c:numCache>
                <c:formatCode>General</c:formatCode>
                <c:ptCount val="2"/>
                <c:pt idx="0">
                  <c:v>0.19417693517095749</c:v>
                </c:pt>
                <c:pt idx="1">
                  <c:v>0.19417693517095749</c:v>
                </c:pt>
              </c:numCache>
            </c:numRef>
          </c:xVal>
          <c:yVal>
            <c:numRef>
              <c:f>'5.0'!$O$39:$P$39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1"/>
        </c:ser>
        <c:ser>
          <c:idx val="1"/>
          <c:order val="1"/>
          <c:tx>
            <c:v>L</c:v>
          </c:tx>
          <c:spPr>
            <a:ln w="9525">
              <a:solidFill>
                <a:srgbClr val="00FF00"/>
              </a:solidFill>
            </a:ln>
          </c:spPr>
          <c:marker>
            <c:symbol val="none"/>
          </c:marker>
          <c:xVal>
            <c:numRef>
              <c:f>'5.0'!$N$38:$O$38</c:f>
              <c:numCache>
                <c:formatCode>General</c:formatCode>
                <c:ptCount val="2"/>
                <c:pt idx="0">
                  <c:v>0.15</c:v>
                </c:pt>
                <c:pt idx="1">
                  <c:v>0.19417693517095749</c:v>
                </c:pt>
              </c:numCache>
            </c:numRef>
          </c:xVal>
          <c:yVal>
            <c:numRef>
              <c:f>'5.0'!$N$36:$N$37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H</c:v>
          </c:tx>
          <c:spPr>
            <a:ln w="9525">
              <a:solidFill>
                <a:srgbClr val="00FF00"/>
              </a:solidFill>
            </a:ln>
          </c:spPr>
          <c:marker>
            <c:symbol val="none"/>
          </c:marker>
          <c:xVal>
            <c:numRef>
              <c:f>'5.0'!$N$38:$O$38</c:f>
              <c:numCache>
                <c:formatCode>General</c:formatCode>
                <c:ptCount val="2"/>
                <c:pt idx="0">
                  <c:v>0.15</c:v>
                </c:pt>
                <c:pt idx="1">
                  <c:v>0.19417693517095749</c:v>
                </c:pt>
              </c:numCache>
            </c:numRef>
          </c:xVal>
          <c:yVal>
            <c:numRef>
              <c:f>'5.0'!$O$36:$O$37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1"/>
        </c:ser>
        <c:ser>
          <c:idx val="3"/>
          <c:order val="3"/>
          <c:tx>
            <c:v>Required Value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'5.0'!$N$38:$O$38</c:f>
              <c:numCache>
                <c:formatCode>General</c:formatCode>
                <c:ptCount val="2"/>
                <c:pt idx="0">
                  <c:v>0.15</c:v>
                </c:pt>
                <c:pt idx="1">
                  <c:v>0.19417693517095749</c:v>
                </c:pt>
              </c:numCache>
            </c:numRef>
          </c:xVal>
          <c:yVal>
            <c:numRef>
              <c:f>'5.0'!$P$36:$P$37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401280"/>
        <c:axId val="136402816"/>
      </c:scatterChart>
      <c:valAx>
        <c:axId val="136401280"/>
        <c:scaling>
          <c:orientation val="minMax"/>
          <c:max val="0.45"/>
          <c:min val="0.15000000000000002"/>
        </c:scaling>
        <c:delete val="0"/>
        <c:axPos val="b"/>
        <c:numFmt formatCode="General" sourceLinked="1"/>
        <c:majorTickMark val="out"/>
        <c:minorTickMark val="none"/>
        <c:tickLblPos val="nextTo"/>
        <c:crossAx val="136402816"/>
        <c:crosses val="autoZero"/>
        <c:crossBetween val="midCat"/>
        <c:majorUnit val="5.000000000000001E-2"/>
      </c:valAx>
      <c:valAx>
        <c:axId val="136402816"/>
        <c:scaling>
          <c:orientation val="minMax"/>
          <c:max val="1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36401280"/>
        <c:crosses val="autoZero"/>
        <c:crossBetween val="midCat"/>
        <c:maj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6350"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598615390467502E-2"/>
          <c:y val="4.5689381419915104E-2"/>
          <c:w val="0.88625965232606796"/>
          <c:h val="0.91608227510566431"/>
        </c:manualLayout>
      </c:layout>
      <c:scatterChart>
        <c:scatterStyle val="smoothMarker"/>
        <c:varyColors val="0"/>
        <c:ser>
          <c:idx val="0"/>
          <c:order val="0"/>
          <c:tx>
            <c:v>Fn</c:v>
          </c:tx>
          <c:spPr>
            <a:ln w="12700">
              <a:solidFill>
                <a:srgbClr val="FF00FF"/>
              </a:solidFill>
            </a:ln>
          </c:spPr>
          <c:marker>
            <c:symbol val="none"/>
          </c:marker>
          <c:xVal>
            <c:numRef>
              <c:f>'5.5'!$O$38:$P$38</c:f>
              <c:numCache>
                <c:formatCode>General</c:formatCode>
                <c:ptCount val="2"/>
                <c:pt idx="0">
                  <c:v>0.19417693517095749</c:v>
                </c:pt>
                <c:pt idx="1">
                  <c:v>0.19417693517095749</c:v>
                </c:pt>
              </c:numCache>
            </c:numRef>
          </c:xVal>
          <c:yVal>
            <c:numRef>
              <c:f>'5.5'!$O$39:$P$39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1"/>
        </c:ser>
        <c:ser>
          <c:idx val="1"/>
          <c:order val="1"/>
          <c:tx>
            <c:v>L</c:v>
          </c:tx>
          <c:spPr>
            <a:ln w="9525">
              <a:solidFill>
                <a:srgbClr val="00FF00"/>
              </a:solidFill>
            </a:ln>
          </c:spPr>
          <c:marker>
            <c:symbol val="none"/>
          </c:marker>
          <c:xVal>
            <c:numRef>
              <c:f>'5.5'!$N$38:$O$38</c:f>
              <c:numCache>
                <c:formatCode>General</c:formatCode>
                <c:ptCount val="2"/>
                <c:pt idx="0">
                  <c:v>0.15</c:v>
                </c:pt>
                <c:pt idx="1">
                  <c:v>0.19417693517095749</c:v>
                </c:pt>
              </c:numCache>
            </c:numRef>
          </c:xVal>
          <c:yVal>
            <c:numRef>
              <c:f>'5.5'!$N$36:$N$37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H</c:v>
          </c:tx>
          <c:spPr>
            <a:ln w="9525">
              <a:solidFill>
                <a:srgbClr val="00FF00"/>
              </a:solidFill>
            </a:ln>
          </c:spPr>
          <c:marker>
            <c:symbol val="none"/>
          </c:marker>
          <c:xVal>
            <c:numRef>
              <c:f>'5.5'!$N$38:$O$38</c:f>
              <c:numCache>
                <c:formatCode>General</c:formatCode>
                <c:ptCount val="2"/>
                <c:pt idx="0">
                  <c:v>0.15</c:v>
                </c:pt>
                <c:pt idx="1">
                  <c:v>0.19417693517095749</c:v>
                </c:pt>
              </c:numCache>
            </c:numRef>
          </c:xVal>
          <c:yVal>
            <c:numRef>
              <c:f>'5.5'!$O$36:$O$37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1"/>
        </c:ser>
        <c:ser>
          <c:idx val="3"/>
          <c:order val="3"/>
          <c:tx>
            <c:v>Required Value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'5.5'!$N$38:$O$38</c:f>
              <c:numCache>
                <c:formatCode>General</c:formatCode>
                <c:ptCount val="2"/>
                <c:pt idx="0">
                  <c:v>0.15</c:v>
                </c:pt>
                <c:pt idx="1">
                  <c:v>0.19417693517095749</c:v>
                </c:pt>
              </c:numCache>
            </c:numRef>
          </c:xVal>
          <c:yVal>
            <c:numRef>
              <c:f>'5.5'!$P$36:$P$37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268224"/>
        <c:axId val="135269760"/>
      </c:scatterChart>
      <c:valAx>
        <c:axId val="135268224"/>
        <c:scaling>
          <c:orientation val="minMax"/>
          <c:max val="0.45"/>
          <c:min val="0.15000000000000002"/>
        </c:scaling>
        <c:delete val="0"/>
        <c:axPos val="b"/>
        <c:numFmt formatCode="General" sourceLinked="1"/>
        <c:majorTickMark val="out"/>
        <c:minorTickMark val="none"/>
        <c:tickLblPos val="nextTo"/>
        <c:crossAx val="135269760"/>
        <c:crosses val="autoZero"/>
        <c:crossBetween val="midCat"/>
        <c:majorUnit val="5.000000000000001E-2"/>
      </c:valAx>
      <c:valAx>
        <c:axId val="135269760"/>
        <c:scaling>
          <c:orientation val="minMax"/>
          <c:max val="1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35268224"/>
        <c:crosses val="autoZero"/>
        <c:crossBetween val="midCat"/>
        <c:maj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6350"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598615390467502E-2"/>
          <c:y val="4.5689381419915104E-2"/>
          <c:w val="0.88625965232606796"/>
          <c:h val="0.91608227510566431"/>
        </c:manualLayout>
      </c:layout>
      <c:scatterChart>
        <c:scatterStyle val="smoothMarker"/>
        <c:varyColors val="0"/>
        <c:ser>
          <c:idx val="0"/>
          <c:order val="0"/>
          <c:tx>
            <c:v>Fn</c:v>
          </c:tx>
          <c:spPr>
            <a:ln w="12700">
              <a:solidFill>
                <a:srgbClr val="FF00FF"/>
              </a:solidFill>
            </a:ln>
          </c:spPr>
          <c:marker>
            <c:symbol val="none"/>
          </c:marker>
          <c:xVal>
            <c:numRef>
              <c:f>'6.0'!$O$38:$P$38</c:f>
              <c:numCache>
                <c:formatCode>General</c:formatCode>
                <c:ptCount val="2"/>
                <c:pt idx="0">
                  <c:v>0.19417693517095749</c:v>
                </c:pt>
                <c:pt idx="1">
                  <c:v>0.19417693517095749</c:v>
                </c:pt>
              </c:numCache>
            </c:numRef>
          </c:xVal>
          <c:yVal>
            <c:numRef>
              <c:f>'6.0'!$O$39:$P$39</c:f>
              <c:numCache>
                <c:formatCode>General</c:formatCode>
                <c:ptCount val="2"/>
                <c:pt idx="0">
                  <c:v>0</c:v>
                </c:pt>
                <c:pt idx="1">
                  <c:v>12</c:v>
                </c:pt>
              </c:numCache>
            </c:numRef>
          </c:yVal>
          <c:smooth val="1"/>
        </c:ser>
        <c:ser>
          <c:idx val="1"/>
          <c:order val="1"/>
          <c:tx>
            <c:v>L</c:v>
          </c:tx>
          <c:spPr>
            <a:ln w="9525">
              <a:solidFill>
                <a:srgbClr val="00FF00"/>
              </a:solidFill>
            </a:ln>
          </c:spPr>
          <c:marker>
            <c:symbol val="none"/>
          </c:marker>
          <c:xVal>
            <c:numRef>
              <c:f>'6.0'!$N$38:$O$38</c:f>
              <c:numCache>
                <c:formatCode>General</c:formatCode>
                <c:ptCount val="2"/>
                <c:pt idx="0">
                  <c:v>0.15</c:v>
                </c:pt>
                <c:pt idx="1">
                  <c:v>0.19417693517095749</c:v>
                </c:pt>
              </c:numCache>
            </c:numRef>
          </c:xVal>
          <c:yVal>
            <c:numRef>
              <c:f>'6.0'!$N$36:$N$37</c:f>
              <c:numCache>
                <c:formatCode>General</c:formatCode>
                <c:ptCount val="2"/>
                <c:pt idx="0">
                  <c:v>0.54</c:v>
                </c:pt>
                <c:pt idx="1">
                  <c:v>0.54</c:v>
                </c:pt>
              </c:numCache>
            </c:numRef>
          </c:yVal>
          <c:smooth val="1"/>
        </c:ser>
        <c:ser>
          <c:idx val="2"/>
          <c:order val="2"/>
          <c:tx>
            <c:v>H</c:v>
          </c:tx>
          <c:spPr>
            <a:ln w="9525">
              <a:solidFill>
                <a:srgbClr val="00FF00"/>
              </a:solidFill>
            </a:ln>
          </c:spPr>
          <c:marker>
            <c:symbol val="none"/>
          </c:marker>
          <c:xVal>
            <c:numRef>
              <c:f>'6.0'!$N$38:$O$38</c:f>
              <c:numCache>
                <c:formatCode>General</c:formatCode>
                <c:ptCount val="2"/>
                <c:pt idx="0">
                  <c:v>0.15</c:v>
                </c:pt>
                <c:pt idx="1">
                  <c:v>0.19417693517095749</c:v>
                </c:pt>
              </c:numCache>
            </c:numRef>
          </c:xVal>
          <c:yVal>
            <c:numRef>
              <c:f>'6.0'!$O$36:$O$37</c:f>
              <c:numCache>
                <c:formatCode>General</c:formatCode>
                <c:ptCount val="2"/>
                <c:pt idx="0">
                  <c:v>0.62</c:v>
                </c:pt>
                <c:pt idx="1">
                  <c:v>0.62</c:v>
                </c:pt>
              </c:numCache>
            </c:numRef>
          </c:yVal>
          <c:smooth val="1"/>
        </c:ser>
        <c:ser>
          <c:idx val="3"/>
          <c:order val="3"/>
          <c:tx>
            <c:v>Required Value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'6.0'!$N$38:$O$38</c:f>
              <c:numCache>
                <c:formatCode>General</c:formatCode>
                <c:ptCount val="2"/>
                <c:pt idx="0">
                  <c:v>0.15</c:v>
                </c:pt>
                <c:pt idx="1">
                  <c:v>0.19417693517095749</c:v>
                </c:pt>
              </c:numCache>
            </c:numRef>
          </c:xVal>
          <c:yVal>
            <c:numRef>
              <c:f>'6.0'!$P$36:$P$37</c:f>
              <c:numCache>
                <c:formatCode>General</c:formatCode>
                <c:ptCount val="2"/>
                <c:pt idx="0">
                  <c:v>0.55071459195959238</c:v>
                </c:pt>
                <c:pt idx="1">
                  <c:v>0.55071459195959238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74144"/>
        <c:axId val="136375680"/>
      </c:scatterChart>
      <c:valAx>
        <c:axId val="136374144"/>
        <c:scaling>
          <c:orientation val="minMax"/>
          <c:max val="0.45"/>
          <c:min val="0.15000000000000002"/>
        </c:scaling>
        <c:delete val="0"/>
        <c:axPos val="b"/>
        <c:numFmt formatCode="General" sourceLinked="1"/>
        <c:majorTickMark val="out"/>
        <c:minorTickMark val="none"/>
        <c:tickLblPos val="nextTo"/>
        <c:crossAx val="136375680"/>
        <c:crosses val="autoZero"/>
        <c:crossBetween val="midCat"/>
        <c:majorUnit val="5.000000000000001E-2"/>
      </c:valAx>
      <c:valAx>
        <c:axId val="136375680"/>
        <c:scaling>
          <c:orientation val="minMax"/>
          <c:max val="1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36374144"/>
        <c:crosses val="autoZero"/>
        <c:crossBetween val="midCat"/>
        <c:maj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6350"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598615390467502E-2"/>
          <c:y val="4.5689381419915104E-2"/>
          <c:w val="0.88625965232606796"/>
          <c:h val="0.91608227510566431"/>
        </c:manualLayout>
      </c:layout>
      <c:scatterChart>
        <c:scatterStyle val="smoothMarker"/>
        <c:varyColors val="0"/>
        <c:ser>
          <c:idx val="0"/>
          <c:order val="0"/>
          <c:tx>
            <c:v>Fn</c:v>
          </c:tx>
          <c:spPr>
            <a:ln w="12700">
              <a:solidFill>
                <a:srgbClr val="FF00FF"/>
              </a:solidFill>
            </a:ln>
          </c:spPr>
          <c:marker>
            <c:symbol val="none"/>
          </c:marker>
          <c:xVal>
            <c:numRef>
              <c:f>'6.5'!$O$38:$P$38</c:f>
              <c:numCache>
                <c:formatCode>General</c:formatCode>
                <c:ptCount val="2"/>
                <c:pt idx="0">
                  <c:v>0.19417693517095749</c:v>
                </c:pt>
                <c:pt idx="1">
                  <c:v>0.19417693517095749</c:v>
                </c:pt>
              </c:numCache>
            </c:numRef>
          </c:xVal>
          <c:yVal>
            <c:numRef>
              <c:f>'6.5'!$O$39:$P$39</c:f>
              <c:numCache>
                <c:formatCode>General</c:formatCode>
                <c:ptCount val="2"/>
                <c:pt idx="0">
                  <c:v>0</c:v>
                </c:pt>
                <c:pt idx="1">
                  <c:v>12</c:v>
                </c:pt>
              </c:numCache>
            </c:numRef>
          </c:yVal>
          <c:smooth val="1"/>
        </c:ser>
        <c:ser>
          <c:idx val="1"/>
          <c:order val="1"/>
          <c:tx>
            <c:v>L</c:v>
          </c:tx>
          <c:spPr>
            <a:ln w="9525">
              <a:solidFill>
                <a:srgbClr val="00FF00"/>
              </a:solidFill>
            </a:ln>
          </c:spPr>
          <c:marker>
            <c:symbol val="none"/>
          </c:marker>
          <c:xVal>
            <c:numRef>
              <c:f>'6.5'!$N$38:$O$38</c:f>
              <c:numCache>
                <c:formatCode>General</c:formatCode>
                <c:ptCount val="2"/>
                <c:pt idx="0">
                  <c:v>0.15</c:v>
                </c:pt>
                <c:pt idx="1">
                  <c:v>0.19417693517095749</c:v>
                </c:pt>
              </c:numCache>
            </c:numRef>
          </c:xVal>
          <c:yVal>
            <c:numRef>
              <c:f>'6.5'!$N$36:$N$37</c:f>
              <c:numCache>
                <c:formatCode>General</c:formatCode>
                <c:ptCount val="2"/>
                <c:pt idx="0">
                  <c:v>0.47</c:v>
                </c:pt>
                <c:pt idx="1">
                  <c:v>0.47</c:v>
                </c:pt>
              </c:numCache>
            </c:numRef>
          </c:yVal>
          <c:smooth val="1"/>
        </c:ser>
        <c:ser>
          <c:idx val="2"/>
          <c:order val="2"/>
          <c:tx>
            <c:v>H</c:v>
          </c:tx>
          <c:spPr>
            <a:ln w="9525">
              <a:solidFill>
                <a:srgbClr val="00FF00"/>
              </a:solidFill>
            </a:ln>
          </c:spPr>
          <c:marker>
            <c:symbol val="none"/>
          </c:marker>
          <c:xVal>
            <c:numRef>
              <c:f>'6.5'!$N$38:$O$38</c:f>
              <c:numCache>
                <c:formatCode>General</c:formatCode>
                <c:ptCount val="2"/>
                <c:pt idx="0">
                  <c:v>0.15</c:v>
                </c:pt>
                <c:pt idx="1">
                  <c:v>0.19417693517095749</c:v>
                </c:pt>
              </c:numCache>
            </c:numRef>
          </c:xVal>
          <c:yVal>
            <c:numRef>
              <c:f>'6.5'!$O$36:$O$37</c:f>
              <c:numCache>
                <c:formatCode>General</c:formatCode>
                <c:ptCount val="2"/>
                <c:pt idx="0">
                  <c:v>0.54</c:v>
                </c:pt>
                <c:pt idx="1">
                  <c:v>0.54</c:v>
                </c:pt>
              </c:numCache>
            </c:numRef>
          </c:yVal>
          <c:smooth val="1"/>
        </c:ser>
        <c:ser>
          <c:idx val="3"/>
          <c:order val="3"/>
          <c:tx>
            <c:v>Required Value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'6.5'!$N$38:$O$38</c:f>
              <c:numCache>
                <c:formatCode>General</c:formatCode>
                <c:ptCount val="2"/>
                <c:pt idx="0">
                  <c:v>0.15</c:v>
                </c:pt>
                <c:pt idx="1">
                  <c:v>0.19417693517095749</c:v>
                </c:pt>
              </c:numCache>
            </c:numRef>
          </c:xVal>
          <c:yVal>
            <c:numRef>
              <c:f>'6.5'!$P$36:$P$37</c:f>
              <c:numCache>
                <c:formatCode>General</c:formatCode>
                <c:ptCount val="2"/>
                <c:pt idx="0">
                  <c:v>0.47937526796464336</c:v>
                </c:pt>
                <c:pt idx="1">
                  <c:v>0.47937526796464336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05216"/>
        <c:axId val="136506752"/>
      </c:scatterChart>
      <c:valAx>
        <c:axId val="136505216"/>
        <c:scaling>
          <c:orientation val="minMax"/>
          <c:max val="0.45"/>
          <c:min val="0.15000000000000002"/>
        </c:scaling>
        <c:delete val="0"/>
        <c:axPos val="b"/>
        <c:numFmt formatCode="General" sourceLinked="1"/>
        <c:majorTickMark val="out"/>
        <c:minorTickMark val="none"/>
        <c:tickLblPos val="nextTo"/>
        <c:crossAx val="136506752"/>
        <c:crosses val="autoZero"/>
        <c:crossBetween val="midCat"/>
        <c:majorUnit val="5.000000000000001E-2"/>
      </c:valAx>
      <c:valAx>
        <c:axId val="136506752"/>
        <c:scaling>
          <c:orientation val="minMax"/>
          <c:max val="1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36505216"/>
        <c:crosses val="autoZero"/>
        <c:crossBetween val="midCat"/>
        <c:maj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6350"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598615390467502E-2"/>
          <c:y val="4.5689381419915104E-2"/>
          <c:w val="0.88625965232606796"/>
          <c:h val="0.91608227510566431"/>
        </c:manualLayout>
      </c:layout>
      <c:scatterChart>
        <c:scatterStyle val="smoothMarker"/>
        <c:varyColors val="0"/>
        <c:ser>
          <c:idx val="0"/>
          <c:order val="0"/>
          <c:tx>
            <c:v>Fn</c:v>
          </c:tx>
          <c:spPr>
            <a:ln w="12700">
              <a:solidFill>
                <a:srgbClr val="FF00FF"/>
              </a:solidFill>
            </a:ln>
          </c:spPr>
          <c:marker>
            <c:symbol val="none"/>
          </c:marker>
          <c:xVal>
            <c:numRef>
              <c:f>'7.0'!$O$38:$P$38</c:f>
              <c:numCache>
                <c:formatCode>General</c:formatCode>
                <c:ptCount val="2"/>
                <c:pt idx="0">
                  <c:v>0.19417693517095749</c:v>
                </c:pt>
                <c:pt idx="1">
                  <c:v>0.19417693517095749</c:v>
                </c:pt>
              </c:numCache>
            </c:numRef>
          </c:xVal>
          <c:yVal>
            <c:numRef>
              <c:f>'7.0'!$O$39:$P$39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1"/>
        </c:ser>
        <c:ser>
          <c:idx val="1"/>
          <c:order val="1"/>
          <c:tx>
            <c:v>L</c:v>
          </c:tx>
          <c:spPr>
            <a:ln w="9525">
              <a:solidFill>
                <a:srgbClr val="00FF00"/>
              </a:solidFill>
            </a:ln>
          </c:spPr>
          <c:marker>
            <c:symbol val="none"/>
          </c:marker>
          <c:xVal>
            <c:numRef>
              <c:f>'7.0'!$N$38:$O$38</c:f>
              <c:numCache>
                <c:formatCode>General</c:formatCode>
                <c:ptCount val="2"/>
                <c:pt idx="0">
                  <c:v>0.15</c:v>
                </c:pt>
                <c:pt idx="1">
                  <c:v>0.19417693517095749</c:v>
                </c:pt>
              </c:numCache>
            </c:numRef>
          </c:xVal>
          <c:yVal>
            <c:numRef>
              <c:f>'7.0'!$N$36:$N$37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H</c:v>
          </c:tx>
          <c:spPr>
            <a:ln w="9525">
              <a:solidFill>
                <a:srgbClr val="00FF00"/>
              </a:solidFill>
            </a:ln>
          </c:spPr>
          <c:marker>
            <c:symbol val="none"/>
          </c:marker>
          <c:xVal>
            <c:numRef>
              <c:f>'7.0'!$N$38:$O$38</c:f>
              <c:numCache>
                <c:formatCode>General</c:formatCode>
                <c:ptCount val="2"/>
                <c:pt idx="0">
                  <c:v>0.15</c:v>
                </c:pt>
                <c:pt idx="1">
                  <c:v>0.19417693517095749</c:v>
                </c:pt>
              </c:numCache>
            </c:numRef>
          </c:xVal>
          <c:yVal>
            <c:numRef>
              <c:f>'7.0'!$O$36:$O$37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1"/>
        </c:ser>
        <c:ser>
          <c:idx val="3"/>
          <c:order val="3"/>
          <c:tx>
            <c:v>Required Value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'7.0'!$N$38:$O$38</c:f>
              <c:numCache>
                <c:formatCode>General</c:formatCode>
                <c:ptCount val="2"/>
                <c:pt idx="0">
                  <c:v>0.15</c:v>
                </c:pt>
                <c:pt idx="1">
                  <c:v>0.19417693517095749</c:v>
                </c:pt>
              </c:numCache>
            </c:numRef>
          </c:xVal>
          <c:yVal>
            <c:numRef>
              <c:f>'7.0'!$P$36:$P$37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001792"/>
        <c:axId val="136011776"/>
      </c:scatterChart>
      <c:valAx>
        <c:axId val="136001792"/>
        <c:scaling>
          <c:orientation val="minMax"/>
          <c:max val="0.45"/>
          <c:min val="0.15000000000000002"/>
        </c:scaling>
        <c:delete val="0"/>
        <c:axPos val="b"/>
        <c:numFmt formatCode="General" sourceLinked="1"/>
        <c:majorTickMark val="out"/>
        <c:minorTickMark val="none"/>
        <c:tickLblPos val="nextTo"/>
        <c:crossAx val="136011776"/>
        <c:crosses val="autoZero"/>
        <c:crossBetween val="midCat"/>
        <c:majorUnit val="5.000000000000001E-2"/>
      </c:valAx>
      <c:valAx>
        <c:axId val="136011776"/>
        <c:scaling>
          <c:orientation val="minMax"/>
          <c:max val="1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36001792"/>
        <c:crosses val="autoZero"/>
        <c:crossBetween val="midCat"/>
        <c:maj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6350"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598615390467502E-2"/>
          <c:y val="4.5689381419915104E-2"/>
          <c:w val="0.88625965232606796"/>
          <c:h val="0.91608227510566431"/>
        </c:manualLayout>
      </c:layout>
      <c:scatterChart>
        <c:scatterStyle val="smoothMarker"/>
        <c:varyColors val="0"/>
        <c:ser>
          <c:idx val="0"/>
          <c:order val="0"/>
          <c:tx>
            <c:v>Fn</c:v>
          </c:tx>
          <c:spPr>
            <a:ln w="12700">
              <a:solidFill>
                <a:srgbClr val="FF00FF"/>
              </a:solidFill>
            </a:ln>
          </c:spPr>
          <c:marker>
            <c:symbol val="none"/>
          </c:marker>
          <c:xVal>
            <c:numRef>
              <c:f>'7.5'!$O$38:$P$38</c:f>
              <c:numCache>
                <c:formatCode>General</c:formatCode>
                <c:ptCount val="2"/>
                <c:pt idx="0">
                  <c:v>0.19417693517095749</c:v>
                </c:pt>
                <c:pt idx="1">
                  <c:v>0.19417693517095749</c:v>
                </c:pt>
              </c:numCache>
            </c:numRef>
          </c:xVal>
          <c:yVal>
            <c:numRef>
              <c:f>'7.5'!$O$39:$P$39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1"/>
        </c:ser>
        <c:ser>
          <c:idx val="1"/>
          <c:order val="1"/>
          <c:tx>
            <c:v>L</c:v>
          </c:tx>
          <c:spPr>
            <a:ln w="9525">
              <a:solidFill>
                <a:srgbClr val="00FF00"/>
              </a:solidFill>
            </a:ln>
          </c:spPr>
          <c:marker>
            <c:symbol val="none"/>
          </c:marker>
          <c:xVal>
            <c:numRef>
              <c:f>'7.5'!$N$38:$O$38</c:f>
              <c:numCache>
                <c:formatCode>General</c:formatCode>
                <c:ptCount val="2"/>
                <c:pt idx="0">
                  <c:v>0.15</c:v>
                </c:pt>
                <c:pt idx="1">
                  <c:v>0.19417693517095749</c:v>
                </c:pt>
              </c:numCache>
            </c:numRef>
          </c:xVal>
          <c:yVal>
            <c:numRef>
              <c:f>'7.5'!$N$36:$N$37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H</c:v>
          </c:tx>
          <c:spPr>
            <a:ln w="9525">
              <a:solidFill>
                <a:srgbClr val="00FF00"/>
              </a:solidFill>
            </a:ln>
          </c:spPr>
          <c:marker>
            <c:symbol val="none"/>
          </c:marker>
          <c:xVal>
            <c:numRef>
              <c:f>'7.5'!$N$38:$O$38</c:f>
              <c:numCache>
                <c:formatCode>General</c:formatCode>
                <c:ptCount val="2"/>
                <c:pt idx="0">
                  <c:v>0.15</c:v>
                </c:pt>
                <c:pt idx="1">
                  <c:v>0.19417693517095749</c:v>
                </c:pt>
              </c:numCache>
            </c:numRef>
          </c:xVal>
          <c:yVal>
            <c:numRef>
              <c:f>'7.5'!$O$36:$O$37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1"/>
        </c:ser>
        <c:ser>
          <c:idx val="3"/>
          <c:order val="3"/>
          <c:tx>
            <c:v>Required Value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'7.5'!$N$38:$O$38</c:f>
              <c:numCache>
                <c:formatCode>General</c:formatCode>
                <c:ptCount val="2"/>
                <c:pt idx="0">
                  <c:v>0.15</c:v>
                </c:pt>
                <c:pt idx="1">
                  <c:v>0.19417693517095749</c:v>
                </c:pt>
              </c:numCache>
            </c:numRef>
          </c:xVal>
          <c:yVal>
            <c:numRef>
              <c:f>'7.5'!$P$36:$P$37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074560"/>
        <c:axId val="137076096"/>
      </c:scatterChart>
      <c:valAx>
        <c:axId val="137074560"/>
        <c:scaling>
          <c:orientation val="minMax"/>
          <c:max val="0.45"/>
          <c:min val="0.15000000000000002"/>
        </c:scaling>
        <c:delete val="0"/>
        <c:axPos val="b"/>
        <c:numFmt formatCode="General" sourceLinked="1"/>
        <c:majorTickMark val="out"/>
        <c:minorTickMark val="none"/>
        <c:tickLblPos val="nextTo"/>
        <c:crossAx val="137076096"/>
        <c:crosses val="autoZero"/>
        <c:crossBetween val="midCat"/>
        <c:majorUnit val="5.000000000000001E-2"/>
      </c:valAx>
      <c:valAx>
        <c:axId val="137076096"/>
        <c:scaling>
          <c:orientation val="minMax"/>
          <c:max val="1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37074560"/>
        <c:crosses val="autoZero"/>
        <c:crossBetween val="midCat"/>
        <c:maj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6350"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598615390467502E-2"/>
          <c:y val="4.5689381419915104E-2"/>
          <c:w val="0.88625965232606796"/>
          <c:h val="0.91608227510566431"/>
        </c:manualLayout>
      </c:layout>
      <c:scatterChart>
        <c:scatterStyle val="smoothMarker"/>
        <c:varyColors val="0"/>
        <c:ser>
          <c:idx val="0"/>
          <c:order val="0"/>
          <c:tx>
            <c:v>Fn</c:v>
          </c:tx>
          <c:spPr>
            <a:ln w="12700">
              <a:solidFill>
                <a:srgbClr val="FF00FF"/>
              </a:solidFill>
            </a:ln>
          </c:spPr>
          <c:marker>
            <c:symbol val="none"/>
          </c:marker>
          <c:xVal>
            <c:numRef>
              <c:f>'8.0'!$O$38:$P$38</c:f>
              <c:numCache>
                <c:formatCode>General</c:formatCode>
                <c:ptCount val="2"/>
                <c:pt idx="0">
                  <c:v>0.19417693517095749</c:v>
                </c:pt>
                <c:pt idx="1">
                  <c:v>0.19417693517095749</c:v>
                </c:pt>
              </c:numCache>
            </c:numRef>
          </c:xVal>
          <c:yVal>
            <c:numRef>
              <c:f>'8.0'!$O$39:$P$39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1"/>
        </c:ser>
        <c:ser>
          <c:idx val="1"/>
          <c:order val="1"/>
          <c:tx>
            <c:v>L</c:v>
          </c:tx>
          <c:spPr>
            <a:ln w="9525">
              <a:solidFill>
                <a:srgbClr val="00FF00"/>
              </a:solidFill>
            </a:ln>
          </c:spPr>
          <c:marker>
            <c:symbol val="none"/>
          </c:marker>
          <c:xVal>
            <c:numRef>
              <c:f>'8.0'!$N$38:$O$38</c:f>
              <c:numCache>
                <c:formatCode>General</c:formatCode>
                <c:ptCount val="2"/>
                <c:pt idx="0">
                  <c:v>0.15</c:v>
                </c:pt>
                <c:pt idx="1">
                  <c:v>0.19417693517095749</c:v>
                </c:pt>
              </c:numCache>
            </c:numRef>
          </c:xVal>
          <c:yVal>
            <c:numRef>
              <c:f>'8.0'!$N$36:$N$37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H</c:v>
          </c:tx>
          <c:spPr>
            <a:ln w="9525">
              <a:solidFill>
                <a:srgbClr val="00FF00"/>
              </a:solidFill>
            </a:ln>
          </c:spPr>
          <c:marker>
            <c:symbol val="none"/>
          </c:marker>
          <c:xVal>
            <c:numRef>
              <c:f>'8.0'!$N$38:$O$38</c:f>
              <c:numCache>
                <c:formatCode>General</c:formatCode>
                <c:ptCount val="2"/>
                <c:pt idx="0">
                  <c:v>0.15</c:v>
                </c:pt>
                <c:pt idx="1">
                  <c:v>0.19417693517095749</c:v>
                </c:pt>
              </c:numCache>
            </c:numRef>
          </c:xVal>
          <c:yVal>
            <c:numRef>
              <c:f>'8.0'!$O$36:$O$37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1"/>
        </c:ser>
        <c:ser>
          <c:idx val="3"/>
          <c:order val="3"/>
          <c:tx>
            <c:v>Required Value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'8.0'!$N$38:$O$38</c:f>
              <c:numCache>
                <c:formatCode>General</c:formatCode>
                <c:ptCount val="2"/>
                <c:pt idx="0">
                  <c:v>0.15</c:v>
                </c:pt>
                <c:pt idx="1">
                  <c:v>0.19417693517095749</c:v>
                </c:pt>
              </c:numCache>
            </c:numRef>
          </c:xVal>
          <c:yVal>
            <c:numRef>
              <c:f>'8.0'!$P$36:$P$37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783744"/>
        <c:axId val="136785280"/>
      </c:scatterChart>
      <c:valAx>
        <c:axId val="136783744"/>
        <c:scaling>
          <c:orientation val="minMax"/>
          <c:max val="0.45"/>
          <c:min val="0.15000000000000002"/>
        </c:scaling>
        <c:delete val="0"/>
        <c:axPos val="b"/>
        <c:numFmt formatCode="General" sourceLinked="1"/>
        <c:majorTickMark val="out"/>
        <c:minorTickMark val="none"/>
        <c:tickLblPos val="nextTo"/>
        <c:crossAx val="136785280"/>
        <c:crosses val="autoZero"/>
        <c:crossBetween val="midCat"/>
        <c:majorUnit val="5.000000000000001E-2"/>
      </c:valAx>
      <c:valAx>
        <c:axId val="136785280"/>
        <c:scaling>
          <c:orientation val="minMax"/>
          <c:max val="1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36783744"/>
        <c:crosses val="autoZero"/>
        <c:crossBetween val="midCat"/>
        <c:maj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6350"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/>
            </a:pPr>
            <a:r>
              <a:rPr lang="en-IN" sz="1200" b="0"/>
              <a:t>Resistance</a:t>
            </a:r>
            <a:r>
              <a:rPr lang="en-IN" sz="1200" b="0" baseline="0"/>
              <a:t> vs V</a:t>
            </a:r>
            <a:endParaRPr lang="en-IN" sz="1200" b="0"/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3"/>
          <c:order val="0"/>
          <c:tx>
            <c:v>RF</c:v>
          </c:tx>
          <c:marker>
            <c:symbol val="none"/>
          </c:marker>
          <c:xVal>
            <c:numRef>
              <c:f>Tools1!Velocities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Tools1!RF</c:f>
              <c:numCache>
                <c:formatCode>General</c:formatCode>
                <c:ptCount val="20"/>
                <c:pt idx="0">
                  <c:v>3.0367517203704182</c:v>
                </c:pt>
                <c:pt idx="1">
                  <c:v>10.910625478077442</c:v>
                </c:pt>
                <c:pt idx="2">
                  <c:v>23.096442206955384</c:v>
                </c:pt>
                <c:pt idx="3">
                  <c:v>39.350881133077422</c:v>
                </c:pt>
                <c:pt idx="4">
                  <c:v>59.514947881921216</c:v>
                </c:pt>
                <c:pt idx="5">
                  <c:v>83.471587945514656</c:v>
                </c:pt>
                <c:pt idx="6">
                  <c:v>111.12877913108225</c:v>
                </c:pt>
                <c:pt idx="7">
                  <c:v>142.41107002793331</c:v>
                </c:pt>
                <c:pt idx="8">
                  <c:v>177.25474975104183</c:v>
                </c:pt>
                <c:pt idx="9">
                  <c:v>215.6048375261482</c:v>
                </c:pt>
                <c:pt idx="10">
                  <c:v>257.41308386258788</c:v>
                </c:pt>
                <c:pt idx="11">
                  <c:v>302.63657812273163</c:v>
                </c:pt>
                <c:pt idx="12">
                  <c:v>351.23674120560423</c:v>
                </c:pt>
                <c:pt idx="13">
                  <c:v>403.17857425849616</c:v>
                </c:pt>
                <c:pt idx="14">
                  <c:v>458.43008404899126</c:v>
                </c:pt>
                <c:pt idx="15">
                  <c:v>516.96183405604211</c:v>
                </c:pt>
                <c:pt idx="16">
                  <c:v>578.74658739068877</c:v>
                </c:pt>
                <c:pt idx="17">
                  <c:v>643.75901830564567</c:v>
                </c:pt>
                <c:pt idx="18">
                  <c:v>711.97547593425668</c:v>
                </c:pt>
                <c:pt idx="19">
                  <c:v>783.37378847908315</c:v>
                </c:pt>
              </c:numCache>
            </c:numRef>
          </c:yVal>
          <c:smooth val="1"/>
        </c:ser>
        <c:ser>
          <c:idx val="0"/>
          <c:order val="1"/>
          <c:tx>
            <c:v>RR</c:v>
          </c:tx>
          <c:marker>
            <c:symbol val="none"/>
          </c:marker>
          <c:xVal>
            <c:numRef>
              <c:f>Tools1!$BK$2:$BK$111</c:f>
              <c:numCache>
                <c:formatCode>General</c:formatCode>
                <c:ptCount val="110"/>
                <c:pt idx="0">
                  <c:v>17</c:v>
                </c:pt>
                <c:pt idx="1">
                  <c:v>18</c:v>
                </c:pt>
                <c:pt idx="2">
                  <c:v>20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</c:numCache>
            </c:numRef>
          </c:xVal>
          <c:yVal>
            <c:numRef>
              <c:f>Tools1!$CE$2:$CE$111</c:f>
              <c:numCache>
                <c:formatCode>General</c:formatCode>
                <c:ptCount val="110"/>
                <c:pt idx="0">
                  <c:v>#N/A</c:v>
                </c:pt>
                <c:pt idx="1">
                  <c:v>328.72745240844455</c:v>
                </c:pt>
                <c:pt idx="2">
                  <c:v>394.42942588738168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</c:numCache>
            </c:numRef>
          </c:yVal>
          <c:smooth val="1"/>
        </c:ser>
        <c:ser>
          <c:idx val="1"/>
          <c:order val="2"/>
          <c:tx>
            <c:v>RT</c:v>
          </c:tx>
          <c:marker>
            <c:symbol val="none"/>
          </c:marker>
          <c:xVal>
            <c:numRef>
              <c:f>Tools1!$BK$2:$BK$111</c:f>
              <c:numCache>
                <c:formatCode>General</c:formatCode>
                <c:ptCount val="110"/>
                <c:pt idx="0">
                  <c:v>17</c:v>
                </c:pt>
                <c:pt idx="1">
                  <c:v>18</c:v>
                </c:pt>
                <c:pt idx="2">
                  <c:v>20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</c:numCache>
            </c:numRef>
          </c:xVal>
          <c:yVal>
            <c:numRef>
              <c:f>Tools1!$CH$2:$CH$111</c:f>
              <c:numCache>
                <c:formatCode>General</c:formatCode>
                <c:ptCount val="110"/>
                <c:pt idx="0">
                  <c:v>#N/A</c:v>
                </c:pt>
                <c:pt idx="1">
                  <c:v>1031.2203568220737</c:v>
                </c:pt>
                <c:pt idx="2">
                  <c:v>1250.3141848701482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868992"/>
        <c:axId val="136870528"/>
      </c:scatterChart>
      <c:valAx>
        <c:axId val="136868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6870528"/>
        <c:crosses val="autoZero"/>
        <c:crossBetween val="midCat"/>
      </c:valAx>
      <c:valAx>
        <c:axId val="136870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686899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Drop" dropStyle="combo" dx="16" fmlaLink="Tools1!$O$15" fmlaRange="Tools1!$A$18:$A$20" noThreeD="1" sel="2" val="0"/>
</file>

<file path=xl/ctrlProps/ctrlProp2.xml><?xml version="1.0" encoding="utf-8"?>
<formControlPr xmlns="http://schemas.microsoft.com/office/spreadsheetml/2009/9/main" objectType="Drop" dropStyle="combo" dx="16" fmlaLink="Tools1!$O$17" fmlaRange="Tools1!$C$4:$C$5" noThreeD="1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6" fmlaLink="Tools1!$O$15" fmlaRange="Tools1!$A$18:$A$20" noThreeD="1" sel="2" val="0"/>
</file>

<file path=xl/ctrlProps/ctrlProp6.xml><?xml version="1.0" encoding="utf-8"?>
<formControlPr xmlns="http://schemas.microsoft.com/office/spreadsheetml/2009/9/main" objectType="Drop" dropStyle="combo" dx="16" fmlaLink="Tools1!$O$17" fmlaRange="Tools1!$C$4:$C$5" noThreeD="1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List" dx="16" fmlaLink="Tools1!N9" fmlaRange="$P$33:$P$34" noThreeD="1" val="0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List" dx="16" fmlaLink="Tools1!N10" fmlaRange="$P$33:$P$34" noThreeD="1" val="0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List" dx="16" fmlaLink="Tools1!N11" fmlaRange="$P$33:$P$34" noThreeD="1" val="0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List" dx="16" fmlaLink="Tools1!N12" fmlaRange="$P$33:$P$34" noThreeD="1" val="0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List" dx="16" fmlaLink="Tools1!N13" fmlaRange="$P$33:$P$34" noThreeD="1" val="0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List" dx="16" fmlaLink="Tools1!N14" fmlaRange="$P$33:$P$34" noThreeD="1" val="0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List" dx="16" fmlaLink="Tools1!N15" fmlaRange="$P$33:$P$34" noThreeD="1" val="0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List" dx="16" fmlaLink="Tools1!N16" fmlaRange="$P$33:$P$34" noThreeD="1" val="0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List" dx="16" fmlaLink="Tools1!N17" fmlaRange="$P$33:$P$34" noThreeD="1" val="0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microsoft.com/office/2007/relationships/hdphoto" Target="../media/hdphoto1.wdp"/><Relationship Id="rId1" Type="http://schemas.openxmlformats.org/officeDocument/2006/relationships/image" Target="../media/image1.jpeg"/><Relationship Id="rId6" Type="http://schemas.openxmlformats.org/officeDocument/2006/relationships/chart" Target="../charts/chart2.xml"/><Relationship Id="rId5" Type="http://schemas.openxmlformats.org/officeDocument/2006/relationships/chart" Target="../charts/chart1.xml"/><Relationship Id="rId4" Type="http://schemas.microsoft.com/office/2007/relationships/hdphoto" Target="../media/hdphoto2.wdp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265056</xdr:colOff>
      <xdr:row>102</xdr:row>
      <xdr:rowOff>0</xdr:rowOff>
    </xdr:from>
    <xdr:to>
      <xdr:col>5</xdr:col>
      <xdr:colOff>266700</xdr:colOff>
      <xdr:row>110</xdr:row>
      <xdr:rowOff>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Photocopy trans="60000" detail="5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056" y="21612225"/>
          <a:ext cx="3154419" cy="1571625"/>
        </a:xfrm>
        <a:prstGeom prst="rect">
          <a:avLst/>
        </a:prstGeom>
        <a:effectLst>
          <a:outerShdw blurRad="76200" sx="103000" sy="103000" algn="ctr" rotWithShape="0">
            <a:srgbClr val="000000">
              <a:alpha val="28000"/>
            </a:srgbClr>
          </a:outerShdw>
        </a:effectLst>
      </xdr:spPr>
    </xdr:pic>
    <xdr:clientData/>
  </xdr:twoCellAnchor>
  <xdr:twoCellAnchor editAs="oneCell">
    <xdr:from>
      <xdr:col>10</xdr:col>
      <xdr:colOff>605705</xdr:colOff>
      <xdr:row>102</xdr:row>
      <xdr:rowOff>0</xdr:rowOff>
    </xdr:from>
    <xdr:to>
      <xdr:col>15</xdr:col>
      <xdr:colOff>0</xdr:colOff>
      <xdr:row>110</xdr:row>
      <xdr:rowOff>28575</xdr:rowOff>
    </xdr:to>
    <xdr:pic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artisticPhotocopy trans="67000" detail="1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457" t="8340" r="18089" b="4137"/>
        <a:stretch/>
      </xdr:blipFill>
      <xdr:spPr>
        <a:xfrm>
          <a:off x="7216055" y="21612225"/>
          <a:ext cx="2442295" cy="1600200"/>
        </a:xfrm>
        <a:prstGeom prst="rect">
          <a:avLst/>
        </a:prstGeom>
        <a:effectLst>
          <a:outerShdw blurRad="76200" sx="103000" sy="103000" algn="ctr" rotWithShape="0">
            <a:srgbClr val="000000">
              <a:alpha val="28000"/>
            </a:srgbClr>
          </a:outerShdw>
        </a:effectLst>
      </xdr:spPr>
    </xdr:pic>
    <xdr:clientData/>
  </xdr:twoCellAnchor>
  <xdr:twoCellAnchor>
    <xdr:from>
      <xdr:col>6</xdr:col>
      <xdr:colOff>180974</xdr:colOff>
      <xdr:row>56</xdr:row>
      <xdr:rowOff>171449</xdr:rowOff>
    </xdr:from>
    <xdr:to>
      <xdr:col>12</xdr:col>
      <xdr:colOff>171450</xdr:colOff>
      <xdr:row>69</xdr:row>
      <xdr:rowOff>161924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0</xdr:rowOff>
        </xdr:from>
        <xdr:to>
          <xdr:col>5</xdr:col>
          <xdr:colOff>533400</xdr:colOff>
          <xdr:row>33</xdr:row>
          <xdr:rowOff>0</xdr:rowOff>
        </xdr:to>
        <xdr:sp macro="" textlink="">
          <xdr:nvSpPr>
            <xdr:cNvPr id="3073" name="Drop Dow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45</xdr:row>
          <xdr:rowOff>0</xdr:rowOff>
        </xdr:from>
        <xdr:to>
          <xdr:col>4</xdr:col>
          <xdr:colOff>609600</xdr:colOff>
          <xdr:row>46</xdr:row>
          <xdr:rowOff>0</xdr:rowOff>
        </xdr:to>
        <xdr:sp macro="" textlink="">
          <xdr:nvSpPr>
            <xdr:cNvPr id="3074" name="Drop Dow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200025</xdr:colOff>
      <xdr:row>56</xdr:row>
      <xdr:rowOff>171450</xdr:rowOff>
    </xdr:from>
    <xdr:to>
      <xdr:col>19</xdr:col>
      <xdr:colOff>200025</xdr:colOff>
      <xdr:row>69</xdr:row>
      <xdr:rowOff>171449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41</xdr:row>
          <xdr:rowOff>0</xdr:rowOff>
        </xdr:from>
        <xdr:to>
          <xdr:col>3</xdr:col>
          <xdr:colOff>0</xdr:colOff>
          <xdr:row>42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333399"/>
                  </a:solidFill>
                  <a:latin typeface="Calibri"/>
                  <a:cs typeface="Calibri"/>
                </a:rPr>
                <a:t>Graph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333399"/>
                  </a:solidFill>
                  <a:latin typeface="Calibri"/>
                  <a:cs typeface="Calibri"/>
                </a:rPr>
                <a:t>Graph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6</xdr:col>
          <xdr:colOff>476250</xdr:colOff>
          <xdr:row>17</xdr:row>
          <xdr:rowOff>0</xdr:rowOff>
        </xdr:to>
        <xdr:sp macro="" textlink="">
          <xdr:nvSpPr>
            <xdr:cNvPr id="3077" name="Drop Dow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20</xdr:row>
          <xdr:rowOff>0</xdr:rowOff>
        </xdr:from>
        <xdr:to>
          <xdr:col>6</xdr:col>
          <xdr:colOff>504825</xdr:colOff>
          <xdr:row>21</xdr:row>
          <xdr:rowOff>0</xdr:rowOff>
        </xdr:to>
        <xdr:sp macro="" textlink="">
          <xdr:nvSpPr>
            <xdr:cNvPr id="3078" name="Drop Dow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152400</xdr:colOff>
          <xdr:row>43</xdr:row>
          <xdr:rowOff>0</xdr:rowOff>
        </xdr:from>
        <xdr:to>
          <xdr:col>6</xdr:col>
          <xdr:colOff>152400</xdr:colOff>
          <xdr:row>44</xdr:row>
          <xdr:rowOff>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11</xdr:col>
          <xdr:colOff>0</xdr:colOff>
          <xdr:row>4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Velocity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523875</xdr:colOff>
      <xdr:row>36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0</xdr:rowOff>
        </xdr:from>
        <xdr:to>
          <xdr:col>14</xdr:col>
          <xdr:colOff>361950</xdr:colOff>
          <xdr:row>25</xdr:row>
          <xdr:rowOff>142875</xdr:rowOff>
        </xdr:to>
        <xdr:sp macro="" textlink="">
          <xdr:nvSpPr>
            <xdr:cNvPr id="4097" name="List Box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514350</xdr:colOff>
          <xdr:row>28</xdr:row>
          <xdr:rowOff>133350</xdr:rowOff>
        </xdr:from>
        <xdr:to>
          <xdr:col>14</xdr:col>
          <xdr:colOff>19050</xdr:colOff>
          <xdr:row>30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21</xdr:row>
          <xdr:rowOff>0</xdr:rowOff>
        </xdr:from>
        <xdr:to>
          <xdr:col>12</xdr:col>
          <xdr:colOff>66675</xdr:colOff>
          <xdr:row>22</xdr:row>
          <xdr:rowOff>19050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228600</xdr:colOff>
          <xdr:row>21</xdr:row>
          <xdr:rowOff>0</xdr:rowOff>
        </xdr:from>
        <xdr:to>
          <xdr:col>13</xdr:col>
          <xdr:colOff>276225</xdr:colOff>
          <xdr:row>22</xdr:row>
          <xdr:rowOff>19050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419100</xdr:colOff>
          <xdr:row>28</xdr:row>
          <xdr:rowOff>142875</xdr:rowOff>
        </xdr:from>
        <xdr:to>
          <xdr:col>12</xdr:col>
          <xdr:colOff>438150</xdr:colOff>
          <xdr:row>30</xdr:row>
          <xdr:rowOff>9525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523875</xdr:colOff>
      <xdr:row>36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0</xdr:rowOff>
        </xdr:from>
        <xdr:to>
          <xdr:col>14</xdr:col>
          <xdr:colOff>361950</xdr:colOff>
          <xdr:row>25</xdr:row>
          <xdr:rowOff>142875</xdr:rowOff>
        </xdr:to>
        <xdr:sp macro="" textlink="">
          <xdr:nvSpPr>
            <xdr:cNvPr id="25601" name="List Box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28</xdr:row>
          <xdr:rowOff>133350</xdr:rowOff>
        </xdr:from>
        <xdr:to>
          <xdr:col>14</xdr:col>
          <xdr:colOff>19050</xdr:colOff>
          <xdr:row>30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21</xdr:row>
          <xdr:rowOff>0</xdr:rowOff>
        </xdr:from>
        <xdr:to>
          <xdr:col>12</xdr:col>
          <xdr:colOff>66675</xdr:colOff>
          <xdr:row>22</xdr:row>
          <xdr:rowOff>19050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228600</xdr:colOff>
          <xdr:row>21</xdr:row>
          <xdr:rowOff>0</xdr:rowOff>
        </xdr:from>
        <xdr:to>
          <xdr:col>13</xdr:col>
          <xdr:colOff>276225</xdr:colOff>
          <xdr:row>22</xdr:row>
          <xdr:rowOff>19050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419100</xdr:colOff>
          <xdr:row>28</xdr:row>
          <xdr:rowOff>142875</xdr:rowOff>
        </xdr:from>
        <xdr:to>
          <xdr:col>12</xdr:col>
          <xdr:colOff>438150</xdr:colOff>
          <xdr:row>30</xdr:row>
          <xdr:rowOff>9525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523875</xdr:colOff>
      <xdr:row>36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0</xdr:rowOff>
        </xdr:from>
        <xdr:to>
          <xdr:col>14</xdr:col>
          <xdr:colOff>361950</xdr:colOff>
          <xdr:row>25</xdr:row>
          <xdr:rowOff>142875</xdr:rowOff>
        </xdr:to>
        <xdr:sp macro="" textlink="">
          <xdr:nvSpPr>
            <xdr:cNvPr id="24577" name="List Box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28</xdr:row>
          <xdr:rowOff>133350</xdr:rowOff>
        </xdr:from>
        <xdr:to>
          <xdr:col>14</xdr:col>
          <xdr:colOff>19050</xdr:colOff>
          <xdr:row>30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21</xdr:row>
          <xdr:rowOff>0</xdr:rowOff>
        </xdr:from>
        <xdr:to>
          <xdr:col>12</xdr:col>
          <xdr:colOff>66675</xdr:colOff>
          <xdr:row>22</xdr:row>
          <xdr:rowOff>19050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228600</xdr:colOff>
          <xdr:row>21</xdr:row>
          <xdr:rowOff>0</xdr:rowOff>
        </xdr:from>
        <xdr:to>
          <xdr:col>13</xdr:col>
          <xdr:colOff>276225</xdr:colOff>
          <xdr:row>22</xdr:row>
          <xdr:rowOff>19050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419100</xdr:colOff>
          <xdr:row>28</xdr:row>
          <xdr:rowOff>142875</xdr:rowOff>
        </xdr:from>
        <xdr:to>
          <xdr:col>12</xdr:col>
          <xdr:colOff>438150</xdr:colOff>
          <xdr:row>30</xdr:row>
          <xdr:rowOff>9525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523875</xdr:colOff>
      <xdr:row>36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0</xdr:rowOff>
        </xdr:from>
        <xdr:to>
          <xdr:col>14</xdr:col>
          <xdr:colOff>361950</xdr:colOff>
          <xdr:row>25</xdr:row>
          <xdr:rowOff>142875</xdr:rowOff>
        </xdr:to>
        <xdr:sp macro="" textlink="">
          <xdr:nvSpPr>
            <xdr:cNvPr id="23553" name="List Box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28</xdr:row>
          <xdr:rowOff>133350</xdr:rowOff>
        </xdr:from>
        <xdr:to>
          <xdr:col>14</xdr:col>
          <xdr:colOff>19050</xdr:colOff>
          <xdr:row>30</xdr:row>
          <xdr:rowOff>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21</xdr:row>
          <xdr:rowOff>0</xdr:rowOff>
        </xdr:from>
        <xdr:to>
          <xdr:col>12</xdr:col>
          <xdr:colOff>66675</xdr:colOff>
          <xdr:row>22</xdr:row>
          <xdr:rowOff>19050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228600</xdr:colOff>
          <xdr:row>21</xdr:row>
          <xdr:rowOff>0</xdr:rowOff>
        </xdr:from>
        <xdr:to>
          <xdr:col>13</xdr:col>
          <xdr:colOff>276225</xdr:colOff>
          <xdr:row>22</xdr:row>
          <xdr:rowOff>19050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419100</xdr:colOff>
          <xdr:row>28</xdr:row>
          <xdr:rowOff>142875</xdr:rowOff>
        </xdr:from>
        <xdr:to>
          <xdr:col>12</xdr:col>
          <xdr:colOff>438150</xdr:colOff>
          <xdr:row>30</xdr:row>
          <xdr:rowOff>9525</xdr:rowOff>
        </xdr:to>
        <xdr:sp macro="" textlink="">
          <xdr:nvSpPr>
            <xdr:cNvPr id="23557" name="Button 5" hidden="1">
              <a:extLst>
                <a:ext uri="{63B3BB69-23CF-44E3-9099-C40C66FF867C}">
                  <a14:compatExt spid="_x0000_s23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523875</xdr:colOff>
      <xdr:row>36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0</xdr:rowOff>
        </xdr:from>
        <xdr:to>
          <xdr:col>14</xdr:col>
          <xdr:colOff>361950</xdr:colOff>
          <xdr:row>25</xdr:row>
          <xdr:rowOff>142875</xdr:rowOff>
        </xdr:to>
        <xdr:sp macro="" textlink="">
          <xdr:nvSpPr>
            <xdr:cNvPr id="22529" name="List Box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28</xdr:row>
          <xdr:rowOff>133350</xdr:rowOff>
        </xdr:from>
        <xdr:to>
          <xdr:col>14</xdr:col>
          <xdr:colOff>19050</xdr:colOff>
          <xdr:row>30</xdr:row>
          <xdr:rowOff>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21</xdr:row>
          <xdr:rowOff>0</xdr:rowOff>
        </xdr:from>
        <xdr:to>
          <xdr:col>12</xdr:col>
          <xdr:colOff>66675</xdr:colOff>
          <xdr:row>22</xdr:row>
          <xdr:rowOff>19050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228600</xdr:colOff>
          <xdr:row>21</xdr:row>
          <xdr:rowOff>0</xdr:rowOff>
        </xdr:from>
        <xdr:to>
          <xdr:col>13</xdr:col>
          <xdr:colOff>276225</xdr:colOff>
          <xdr:row>22</xdr:row>
          <xdr:rowOff>19050</xdr:rowOff>
        </xdr:to>
        <xdr:sp macro="" textlink="">
          <xdr:nvSpPr>
            <xdr:cNvPr id="22532" name="Butto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419100</xdr:colOff>
          <xdr:row>28</xdr:row>
          <xdr:rowOff>142875</xdr:rowOff>
        </xdr:from>
        <xdr:to>
          <xdr:col>12</xdr:col>
          <xdr:colOff>438150</xdr:colOff>
          <xdr:row>30</xdr:row>
          <xdr:rowOff>9525</xdr:rowOff>
        </xdr:to>
        <xdr:sp macro="" textlink="">
          <xdr:nvSpPr>
            <xdr:cNvPr id="22533" name="Butto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523875</xdr:colOff>
      <xdr:row>36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0</xdr:rowOff>
        </xdr:from>
        <xdr:to>
          <xdr:col>14</xdr:col>
          <xdr:colOff>361950</xdr:colOff>
          <xdr:row>25</xdr:row>
          <xdr:rowOff>142875</xdr:rowOff>
        </xdr:to>
        <xdr:sp macro="" textlink="">
          <xdr:nvSpPr>
            <xdr:cNvPr id="21505" name="List Box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28</xdr:row>
          <xdr:rowOff>133350</xdr:rowOff>
        </xdr:from>
        <xdr:to>
          <xdr:col>14</xdr:col>
          <xdr:colOff>19050</xdr:colOff>
          <xdr:row>30</xdr:row>
          <xdr:rowOff>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21</xdr:row>
          <xdr:rowOff>0</xdr:rowOff>
        </xdr:from>
        <xdr:to>
          <xdr:col>12</xdr:col>
          <xdr:colOff>66675</xdr:colOff>
          <xdr:row>22</xdr:row>
          <xdr:rowOff>19050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228600</xdr:colOff>
          <xdr:row>21</xdr:row>
          <xdr:rowOff>0</xdr:rowOff>
        </xdr:from>
        <xdr:to>
          <xdr:col>13</xdr:col>
          <xdr:colOff>276225</xdr:colOff>
          <xdr:row>22</xdr:row>
          <xdr:rowOff>19050</xdr:rowOff>
        </xdr:to>
        <xdr:sp macro="" textlink="">
          <xdr:nvSpPr>
            <xdr:cNvPr id="21508" name="Button 4" hidden="1">
              <a:extLst>
                <a:ext uri="{63B3BB69-23CF-44E3-9099-C40C66FF867C}">
                  <a14:compatExt spid="_x0000_s215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419100</xdr:colOff>
          <xdr:row>28</xdr:row>
          <xdr:rowOff>142875</xdr:rowOff>
        </xdr:from>
        <xdr:to>
          <xdr:col>12</xdr:col>
          <xdr:colOff>438150</xdr:colOff>
          <xdr:row>30</xdr:row>
          <xdr:rowOff>9525</xdr:rowOff>
        </xdr:to>
        <xdr:sp macro="" textlink="">
          <xdr:nvSpPr>
            <xdr:cNvPr id="21509" name="Button 5" hidden="1">
              <a:extLst>
                <a:ext uri="{63B3BB69-23CF-44E3-9099-C40C66FF867C}">
                  <a14:compatExt spid="_x0000_s215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523875</xdr:colOff>
      <xdr:row>36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0</xdr:rowOff>
        </xdr:from>
        <xdr:to>
          <xdr:col>14</xdr:col>
          <xdr:colOff>361950</xdr:colOff>
          <xdr:row>25</xdr:row>
          <xdr:rowOff>142875</xdr:rowOff>
        </xdr:to>
        <xdr:sp macro="" textlink="">
          <xdr:nvSpPr>
            <xdr:cNvPr id="20481" name="List Box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28</xdr:row>
          <xdr:rowOff>133350</xdr:rowOff>
        </xdr:from>
        <xdr:to>
          <xdr:col>14</xdr:col>
          <xdr:colOff>19050</xdr:colOff>
          <xdr:row>30</xdr:row>
          <xdr:rowOff>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21</xdr:row>
          <xdr:rowOff>0</xdr:rowOff>
        </xdr:from>
        <xdr:to>
          <xdr:col>12</xdr:col>
          <xdr:colOff>66675</xdr:colOff>
          <xdr:row>22</xdr:row>
          <xdr:rowOff>19050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228600</xdr:colOff>
          <xdr:row>21</xdr:row>
          <xdr:rowOff>0</xdr:rowOff>
        </xdr:from>
        <xdr:to>
          <xdr:col>13</xdr:col>
          <xdr:colOff>276225</xdr:colOff>
          <xdr:row>22</xdr:row>
          <xdr:rowOff>19050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419100</xdr:colOff>
          <xdr:row>28</xdr:row>
          <xdr:rowOff>142875</xdr:rowOff>
        </xdr:from>
        <xdr:to>
          <xdr:col>12</xdr:col>
          <xdr:colOff>438150</xdr:colOff>
          <xdr:row>30</xdr:row>
          <xdr:rowOff>9525</xdr:rowOff>
        </xdr:to>
        <xdr:sp macro="" textlink="">
          <xdr:nvSpPr>
            <xdr:cNvPr id="20485" name="Button 5" hidden="1">
              <a:extLst>
                <a:ext uri="{63B3BB69-23CF-44E3-9099-C40C66FF867C}">
                  <a14:compatExt spid="_x0000_s204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523875</xdr:colOff>
      <xdr:row>36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0</xdr:rowOff>
        </xdr:from>
        <xdr:to>
          <xdr:col>14</xdr:col>
          <xdr:colOff>361950</xdr:colOff>
          <xdr:row>25</xdr:row>
          <xdr:rowOff>142875</xdr:rowOff>
        </xdr:to>
        <xdr:sp macro="" textlink="">
          <xdr:nvSpPr>
            <xdr:cNvPr id="19457" name="List Box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28</xdr:row>
          <xdr:rowOff>133350</xdr:rowOff>
        </xdr:from>
        <xdr:to>
          <xdr:col>14</xdr:col>
          <xdr:colOff>19050</xdr:colOff>
          <xdr:row>30</xdr:row>
          <xdr:rowOff>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21</xdr:row>
          <xdr:rowOff>0</xdr:rowOff>
        </xdr:from>
        <xdr:to>
          <xdr:col>12</xdr:col>
          <xdr:colOff>66675</xdr:colOff>
          <xdr:row>22</xdr:row>
          <xdr:rowOff>19050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228600</xdr:colOff>
          <xdr:row>21</xdr:row>
          <xdr:rowOff>0</xdr:rowOff>
        </xdr:from>
        <xdr:to>
          <xdr:col>13</xdr:col>
          <xdr:colOff>276225</xdr:colOff>
          <xdr:row>22</xdr:row>
          <xdr:rowOff>19050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419100</xdr:colOff>
          <xdr:row>28</xdr:row>
          <xdr:rowOff>142875</xdr:rowOff>
        </xdr:from>
        <xdr:to>
          <xdr:col>12</xdr:col>
          <xdr:colOff>438150</xdr:colOff>
          <xdr:row>30</xdr:row>
          <xdr:rowOff>9525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523875</xdr:colOff>
      <xdr:row>36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0</xdr:rowOff>
        </xdr:from>
        <xdr:to>
          <xdr:col>14</xdr:col>
          <xdr:colOff>361950</xdr:colOff>
          <xdr:row>25</xdr:row>
          <xdr:rowOff>142875</xdr:rowOff>
        </xdr:to>
        <xdr:sp macro="" textlink="">
          <xdr:nvSpPr>
            <xdr:cNvPr id="17409" name="List Box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28</xdr:row>
          <xdr:rowOff>133350</xdr:rowOff>
        </xdr:from>
        <xdr:to>
          <xdr:col>14</xdr:col>
          <xdr:colOff>19050</xdr:colOff>
          <xdr:row>30</xdr:row>
          <xdr:rowOff>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21</xdr:row>
          <xdr:rowOff>0</xdr:rowOff>
        </xdr:from>
        <xdr:to>
          <xdr:col>12</xdr:col>
          <xdr:colOff>66675</xdr:colOff>
          <xdr:row>22</xdr:row>
          <xdr:rowOff>19050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228600</xdr:colOff>
          <xdr:row>21</xdr:row>
          <xdr:rowOff>0</xdr:rowOff>
        </xdr:from>
        <xdr:to>
          <xdr:col>13</xdr:col>
          <xdr:colOff>276225</xdr:colOff>
          <xdr:row>22</xdr:row>
          <xdr:rowOff>19050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419100</xdr:colOff>
          <xdr:row>28</xdr:row>
          <xdr:rowOff>142875</xdr:rowOff>
        </xdr:from>
        <xdr:to>
          <xdr:col>12</xdr:col>
          <xdr:colOff>438150</xdr:colOff>
          <xdr:row>30</xdr:row>
          <xdr:rowOff>9525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down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</xdr:row>
          <xdr:rowOff>0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Undo 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495300</xdr:colOff>
          <xdr:row>0</xdr:row>
          <xdr:rowOff>57150</xdr:rowOff>
        </xdr:from>
        <xdr:to>
          <xdr:col>8</xdr:col>
          <xdr:colOff>600075</xdr:colOff>
          <xdr:row>1</xdr:row>
          <xdr:rowOff>95250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Velocity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428625</xdr:colOff>
      <xdr:row>18</xdr:row>
      <xdr:rowOff>9525</xdr:rowOff>
    </xdr:from>
    <xdr:to>
      <xdr:col>15</xdr:col>
      <xdr:colOff>0</xdr:colOff>
      <xdr:row>32</xdr:row>
      <xdr:rowOff>85725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3" Type="http://schemas.openxmlformats.org/officeDocument/2006/relationships/hyperlink" Target="mailto:abdupalakkad@yahoo.com" TargetMode="External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2" Type="http://schemas.openxmlformats.org/officeDocument/2006/relationships/hyperlink" Target="mailto:abdupalakkad@yahoo.com" TargetMode="External"/><Relationship Id="rId1" Type="http://schemas.openxmlformats.org/officeDocument/2006/relationships/hyperlink" Target="mailto:abdupalakkad@yahoo.com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5.xml"/><Relationship Id="rId5" Type="http://schemas.openxmlformats.org/officeDocument/2006/relationships/drawing" Target="../drawings/drawing1.xml"/><Relationship Id="rId10" Type="http://schemas.openxmlformats.org/officeDocument/2006/relationships/ctrlProp" Target="../ctrlProps/ctrlProp4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1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3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3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42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41.xml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8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4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6.xml"/><Relationship Id="rId5" Type="http://schemas.openxmlformats.org/officeDocument/2006/relationships/ctrlProp" Target="../ctrlProps/ctrlProp45.xml"/><Relationship Id="rId4" Type="http://schemas.openxmlformats.org/officeDocument/2006/relationships/ctrlProp" Target="../ctrlProps/ctrlProp4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5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57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6.xml"/><Relationship Id="rId5" Type="http://schemas.openxmlformats.org/officeDocument/2006/relationships/ctrlProp" Target="../ctrlProps/ctrlProp55.xml"/><Relationship Id="rId4" Type="http://schemas.openxmlformats.org/officeDocument/2006/relationships/ctrlProp" Target="../ctrlProps/ctrlProp5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6">
    <tabColor theme="6" tint="0.59999389629810485"/>
  </sheetPr>
  <dimension ref="A1:V149"/>
  <sheetViews>
    <sheetView showGridLines="0" showRowColHeaders="0" tabSelected="1" zoomScaleNormal="100" workbookViewId="0">
      <selection activeCell="O6" sqref="O6"/>
    </sheetView>
  </sheetViews>
  <sheetFormatPr defaultRowHeight="15" x14ac:dyDescent="0.25"/>
  <cols>
    <col min="1" max="1" width="5.7109375" style="2" customWidth="1"/>
    <col min="2" max="2" width="9.140625" style="2" customWidth="1"/>
    <col min="3" max="3" width="12" style="2" bestFit="1" customWidth="1"/>
    <col min="4" max="4" width="10.140625" style="2" customWidth="1"/>
    <col min="5" max="5" width="10.28515625" style="2" customWidth="1"/>
    <col min="6" max="6" width="11" style="2" customWidth="1"/>
    <col min="7" max="7" width="9.140625" style="2" customWidth="1"/>
    <col min="8" max="8" width="13.42578125" style="2" customWidth="1"/>
    <col min="9" max="15" width="9.140625" style="2"/>
    <col min="16" max="16" width="12" style="2" bestFit="1" customWidth="1"/>
    <col min="17" max="16384" width="9.140625" style="2"/>
  </cols>
  <sheetData>
    <row r="1" spans="1:18" x14ac:dyDescent="0.25">
      <c r="A1" s="1"/>
      <c r="J1" s="3" t="s">
        <v>0</v>
      </c>
    </row>
    <row r="2" spans="1:18" s="5" customFormat="1" ht="23.25" x14ac:dyDescent="0.35">
      <c r="A2" s="4" t="s">
        <v>1</v>
      </c>
    </row>
    <row r="3" spans="1:18" x14ac:dyDescent="0.25">
      <c r="B3" s="6" t="s">
        <v>2</v>
      </c>
      <c r="C3" s="7">
        <v>258.60000000000002</v>
      </c>
      <c r="D3" s="8" t="s">
        <v>3</v>
      </c>
    </row>
    <row r="4" spans="1:18" ht="18" x14ac:dyDescent="0.35">
      <c r="B4" s="9" t="s">
        <v>4</v>
      </c>
      <c r="C4" s="10">
        <v>32.200000000000003</v>
      </c>
      <c r="D4" s="9" t="s">
        <v>3</v>
      </c>
      <c r="H4" s="2" t="s">
        <v>5</v>
      </c>
      <c r="I4" s="122">
        <f>Tools1!O26</f>
        <v>18</v>
      </c>
    </row>
    <row r="5" spans="1:18" ht="18" x14ac:dyDescent="0.35">
      <c r="B5" s="8" t="s">
        <v>6</v>
      </c>
      <c r="C5" s="11">
        <v>12</v>
      </c>
      <c r="D5" s="8" t="s">
        <v>3</v>
      </c>
      <c r="H5" s="2" t="s">
        <v>7</v>
      </c>
      <c r="I5" s="12">
        <f>I4*0.54325</f>
        <v>9.7785000000000011</v>
      </c>
    </row>
    <row r="6" spans="1:18" ht="18.75" x14ac:dyDescent="0.35">
      <c r="B6" s="9" t="s">
        <v>13</v>
      </c>
      <c r="C6" s="13">
        <v>378.36666666666667</v>
      </c>
      <c r="D6" s="9" t="s">
        <v>14</v>
      </c>
    </row>
    <row r="7" spans="1:18" ht="18.75" x14ac:dyDescent="0.35">
      <c r="B7" s="8" t="s">
        <v>17</v>
      </c>
      <c r="C7" s="14">
        <v>45.169999999999995</v>
      </c>
      <c r="D7" s="8" t="s">
        <v>14</v>
      </c>
      <c r="H7" s="15" t="s">
        <v>10</v>
      </c>
      <c r="I7" s="16" t="s">
        <v>11</v>
      </c>
      <c r="J7" s="2" t="s">
        <v>12</v>
      </c>
      <c r="K7" s="17">
        <f>1.188*10^-6</f>
        <v>1.1879999999999999E-6</v>
      </c>
    </row>
    <row r="8" spans="1:18" ht="17.25" x14ac:dyDescent="0.25">
      <c r="B8" s="9" t="s">
        <v>19</v>
      </c>
      <c r="C8" s="13">
        <v>-3.7367543249879551</v>
      </c>
      <c r="D8" s="9" t="s">
        <v>3</v>
      </c>
      <c r="H8" s="15" t="s">
        <v>15</v>
      </c>
      <c r="I8" s="16">
        <v>9.8066499999999994</v>
      </c>
      <c r="J8" s="2" t="s">
        <v>16</v>
      </c>
    </row>
    <row r="9" spans="1:18" ht="17.25" x14ac:dyDescent="0.25">
      <c r="B9" s="8" t="s">
        <v>20</v>
      </c>
      <c r="C9" s="7">
        <v>64254.887933333339</v>
      </c>
      <c r="D9" s="8" t="s">
        <v>21</v>
      </c>
      <c r="H9" s="15" t="s">
        <v>183</v>
      </c>
      <c r="I9" s="16">
        <v>1.0249999999999999</v>
      </c>
      <c r="J9" s="2" t="s">
        <v>18</v>
      </c>
    </row>
    <row r="10" spans="1:18" ht="17.25" customHeight="1" x14ac:dyDescent="0.25">
      <c r="B10" s="99" t="s">
        <v>22</v>
      </c>
      <c r="C10" s="100">
        <f>▼_*1.006*1.025</f>
        <v>66256.427692456666</v>
      </c>
      <c r="D10" s="99" t="s">
        <v>23</v>
      </c>
      <c r="O10" s="18"/>
    </row>
    <row r="11" spans="1:18" ht="18" x14ac:dyDescent="0.35">
      <c r="B11" s="102" t="s">
        <v>8</v>
      </c>
      <c r="C11" s="103">
        <f>▼_/(AMID*LBP)</f>
        <v>0.65669661997474527</v>
      </c>
      <c r="D11" s="102"/>
      <c r="N11" s="18"/>
      <c r="O11" s="18"/>
    </row>
    <row r="12" spans="1:18" ht="18" x14ac:dyDescent="0.35">
      <c r="B12" s="99" t="s">
        <v>9</v>
      </c>
      <c r="C12" s="101">
        <f>▼_/(LBP*BREADTH*DRAFT)</f>
        <v>0.64304376581550482</v>
      </c>
      <c r="D12" s="99"/>
      <c r="I12" s="19"/>
      <c r="N12" s="18"/>
      <c r="O12" s="18"/>
    </row>
    <row r="13" spans="1:18" x14ac:dyDescent="0.25">
      <c r="I13" s="19"/>
      <c r="N13" s="18"/>
      <c r="O13" s="18"/>
      <c r="P13" s="151"/>
    </row>
    <row r="14" spans="1:18" ht="18.75" x14ac:dyDescent="0.3">
      <c r="A14" s="20" t="s">
        <v>24</v>
      </c>
      <c r="B14" s="21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</row>
    <row r="15" spans="1:18" s="22" customFormat="1" ht="20.25" customHeight="1" x14ac:dyDescent="0.35">
      <c r="C15" s="23" t="s">
        <v>25</v>
      </c>
      <c r="I15" s="23" t="s">
        <v>26</v>
      </c>
    </row>
    <row r="16" spans="1:18" ht="18.75" x14ac:dyDescent="0.35">
      <c r="C16" s="25" t="s">
        <v>27</v>
      </c>
      <c r="D16" s="2">
        <f>C32</f>
        <v>1.3966267233533478</v>
      </c>
      <c r="H16" s="22"/>
      <c r="M16" s="160" t="s">
        <v>28</v>
      </c>
      <c r="N16" s="160"/>
    </row>
    <row r="17" spans="1:17" ht="18.75" x14ac:dyDescent="0.35">
      <c r="C17" s="25" t="s">
        <v>29</v>
      </c>
      <c r="D17" s="2">
        <f>C33</f>
        <v>-0.19096000000000002</v>
      </c>
      <c r="H17" s="24"/>
      <c r="I17" s="15" t="s">
        <v>30</v>
      </c>
      <c r="J17" s="26" t="s">
        <v>31</v>
      </c>
      <c r="K17" s="2">
        <f>1.025*LBP*(CB*BREADTH+1.7*DRAFT)</f>
        <v>10895.764344305553</v>
      </c>
      <c r="M17" s="161" t="s">
        <v>32</v>
      </c>
      <c r="N17" s="161"/>
      <c r="O17" s="27" t="str">
        <f>CONCATENATE("=1.025*",LBP,"(",ROUND(CB,4),"*",BREADTH,"+1.7*",DRAFT,")")</f>
        <v>=1.025*258.6(0.643*32.2+1.7*12)</v>
      </c>
      <c r="P17" s="28"/>
    </row>
    <row r="18" spans="1:17" ht="18.75" x14ac:dyDescent="0.35">
      <c r="B18" s="29" t="s">
        <v>33</v>
      </c>
      <c r="C18" s="25" t="s">
        <v>34</v>
      </c>
      <c r="D18" s="2">
        <f>C35</f>
        <v>1.2056667233533478</v>
      </c>
      <c r="H18" s="24"/>
      <c r="I18" s="15" t="s">
        <v>35</v>
      </c>
      <c r="J18" s="30" t="s">
        <v>36</v>
      </c>
      <c r="K18" s="2">
        <v>0</v>
      </c>
    </row>
    <row r="19" spans="1:17" ht="18" x14ac:dyDescent="0.35">
      <c r="H19" s="24"/>
      <c r="I19" s="15" t="s">
        <v>37</v>
      </c>
      <c r="J19" s="30" t="s">
        <v>38</v>
      </c>
      <c r="K19" s="2">
        <f>K18+K17</f>
        <v>10895.764344305553</v>
      </c>
      <c r="M19" s="162" t="s">
        <v>39</v>
      </c>
      <c r="N19" s="162"/>
    </row>
    <row r="20" spans="1:17" ht="18.75" x14ac:dyDescent="0.35">
      <c r="C20" s="25" t="s">
        <v>34</v>
      </c>
      <c r="D20" s="2">
        <f>D18</f>
        <v>1.2056667233533478</v>
      </c>
      <c r="H20" s="24"/>
      <c r="J20" s="30" t="s">
        <v>40</v>
      </c>
      <c r="K20" s="2">
        <f>D20/1000*0.5*$I$9*$K$19*($I$5^2)</f>
        <v>643.75901830564567</v>
      </c>
      <c r="L20" s="18" t="str">
        <f t="shared" ref="L20:L23" si="0">IF(ISNUMBER(K20),"kN","")</f>
        <v>kN</v>
      </c>
      <c r="M20" s="18" t="s">
        <v>41</v>
      </c>
      <c r="N20" s="18"/>
    </row>
    <row r="21" spans="1:17" ht="18.75" x14ac:dyDescent="0.35">
      <c r="C21" s="30" t="s">
        <v>42</v>
      </c>
      <c r="D21" s="15">
        <f>IF(ISNUMBER(C99),C99,"(NA)")</f>
        <v>0.61565856034875699</v>
      </c>
      <c r="H21" s="24"/>
      <c r="J21" s="30" t="s">
        <v>43</v>
      </c>
      <c r="K21" s="15">
        <f>IFERROR(D21/1000*0.5*$I$9*$K$19*($I$5^2),"(NA)")</f>
        <v>328.72745240844455</v>
      </c>
      <c r="L21" s="18" t="str">
        <f t="shared" si="0"/>
        <v>kN</v>
      </c>
      <c r="M21" s="18" t="s">
        <v>44</v>
      </c>
      <c r="N21" s="18"/>
    </row>
    <row r="22" spans="1:17" ht="18.75" x14ac:dyDescent="0.35">
      <c r="C22" s="30" t="s">
        <v>45</v>
      </c>
      <c r="D22" s="2">
        <v>7.0000000000000007E-2</v>
      </c>
      <c r="H22" s="24"/>
      <c r="J22" s="30" t="s">
        <v>46</v>
      </c>
      <c r="K22" s="18">
        <f t="shared" ref="K22:K23" si="1">D22/1000*0.5*$I$9*$K$19*($I$5^2)</f>
        <v>37.376109341443964</v>
      </c>
      <c r="L22" s="18" t="str">
        <f t="shared" si="0"/>
        <v>kN</v>
      </c>
      <c r="M22" s="18" t="s">
        <v>47</v>
      </c>
      <c r="N22" s="18"/>
    </row>
    <row r="23" spans="1:17" ht="18.75" x14ac:dyDescent="0.35">
      <c r="C23" s="30" t="s">
        <v>48</v>
      </c>
      <c r="D23" s="2">
        <v>0.04</v>
      </c>
      <c r="H23" s="24"/>
      <c r="J23" s="30" t="s">
        <v>49</v>
      </c>
      <c r="K23" s="2">
        <f t="shared" si="1"/>
        <v>21.357776766539409</v>
      </c>
      <c r="L23" s="18" t="str">
        <f t="shared" si="0"/>
        <v>kN</v>
      </c>
      <c r="M23" s="18" t="s">
        <v>50</v>
      </c>
      <c r="N23" s="18"/>
    </row>
    <row r="24" spans="1:17" ht="18.75" x14ac:dyDescent="0.35">
      <c r="C24" s="31" t="s">
        <v>51</v>
      </c>
      <c r="D24" s="155">
        <f>IF(COUNT(D20:D23)=4,SUM(D20:D23),"(NA)")</f>
        <v>1.9313252837021049</v>
      </c>
      <c r="H24" s="24"/>
      <c r="J24" s="32" t="s">
        <v>52</v>
      </c>
      <c r="K24" s="155">
        <f>IFERROR(D24/1000*0.5*$I$9*$K$19*($I$5^2),"(NA)")</f>
        <v>1031.2203568220737</v>
      </c>
      <c r="L24" s="18" t="str">
        <f>IF(ISNUMBER(K24),"kN","")</f>
        <v>kN</v>
      </c>
      <c r="M24" s="104" t="s">
        <v>53</v>
      </c>
      <c r="N24" s="18"/>
    </row>
    <row r="25" spans="1:17" x14ac:dyDescent="0.25">
      <c r="H25" s="24"/>
    </row>
    <row r="26" spans="1:17" ht="18.75" x14ac:dyDescent="0.3">
      <c r="A26" s="20" t="s">
        <v>54</v>
      </c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</row>
    <row r="27" spans="1:17" ht="24" x14ac:dyDescent="0.45">
      <c r="B27" s="33" t="s">
        <v>55</v>
      </c>
    </row>
    <row r="28" spans="1:17" x14ac:dyDescent="0.25">
      <c r="C28" s="163" t="s">
        <v>28</v>
      </c>
      <c r="D28" s="163"/>
    </row>
    <row r="29" spans="1:17" ht="18" x14ac:dyDescent="0.35">
      <c r="B29" s="34" t="s">
        <v>56</v>
      </c>
      <c r="C29" s="162" t="s">
        <v>57</v>
      </c>
      <c r="D29" s="162"/>
      <c r="E29" s="15" t="s">
        <v>58</v>
      </c>
      <c r="F29" s="164">
        <f>V*LBP/K7</f>
        <v>2128552272.7272732</v>
      </c>
      <c r="G29" s="164"/>
      <c r="H29" s="35"/>
      <c r="I29" s="36"/>
      <c r="J29" s="37"/>
    </row>
    <row r="30" spans="1:17" ht="18.75" x14ac:dyDescent="0.35">
      <c r="B30" s="2" t="s">
        <v>59</v>
      </c>
      <c r="C30" s="165" t="s">
        <v>60</v>
      </c>
      <c r="D30" s="165"/>
      <c r="E30" s="15" t="s">
        <v>58</v>
      </c>
      <c r="F30" s="166">
        <f>0.075/(LOG10(F29)-2)^2</f>
        <v>1.3966267233533479E-3</v>
      </c>
      <c r="G30" s="166"/>
    </row>
    <row r="31" spans="1:17" x14ac:dyDescent="0.25">
      <c r="B31" s="34"/>
      <c r="C31" s="38"/>
      <c r="D31" s="38"/>
    </row>
    <row r="32" spans="1:17" ht="18.75" x14ac:dyDescent="0.35">
      <c r="B32" s="2" t="s">
        <v>61</v>
      </c>
      <c r="C32" s="39">
        <f>F30*1000</f>
        <v>1.3966267233533478</v>
      </c>
      <c r="D32" s="38"/>
    </row>
    <row r="33" spans="2:22" ht="18.75" x14ac:dyDescent="0.35">
      <c r="B33" s="30" t="s">
        <v>62</v>
      </c>
      <c r="C33" s="2">
        <f>CHOOSE(Tools1!O15,'G&amp;H'!F112,'G&amp;H'!F113,'G&amp;H'!F114)</f>
        <v>-0.19096000000000002</v>
      </c>
      <c r="G33" s="146" t="str">
        <f>IF(C33&lt;&gt;0.4,"See calculations","")</f>
        <v>See calculations</v>
      </c>
    </row>
    <row r="34" spans="2:22" ht="18.75" x14ac:dyDescent="0.35">
      <c r="B34" s="2" t="s">
        <v>63</v>
      </c>
      <c r="C34" s="2" t="s">
        <v>64</v>
      </c>
    </row>
    <row r="35" spans="2:22" ht="17.25" x14ac:dyDescent="0.4">
      <c r="B35" s="29" t="s">
        <v>58</v>
      </c>
      <c r="C35" s="41">
        <f>C33+C32</f>
        <v>1.2056667233533478</v>
      </c>
    </row>
    <row r="36" spans="2:22" x14ac:dyDescent="0.25">
      <c r="B36" s="30"/>
    </row>
    <row r="37" spans="2:22" ht="24" x14ac:dyDescent="0.45">
      <c r="B37" s="33" t="s">
        <v>65</v>
      </c>
    </row>
    <row r="38" spans="2:22" ht="17.25" x14ac:dyDescent="0.25">
      <c r="B38" s="2" t="s">
        <v>66</v>
      </c>
      <c r="C38" s="2">
        <f>LBP/(▼_)^(1/3)</f>
        <v>6.4564401624089074</v>
      </c>
      <c r="H38"/>
    </row>
    <row r="39" spans="2:22" ht="18" x14ac:dyDescent="0.35">
      <c r="B39" s="2" t="s">
        <v>67</v>
      </c>
      <c r="C39" s="2">
        <f>V/SQRT(g*LBP)</f>
        <v>0.19417693517095749</v>
      </c>
      <c r="P39" s="28"/>
      <c r="S39" s="28"/>
      <c r="T39" s="28"/>
      <c r="U39" s="28"/>
      <c r="V39" s="28"/>
    </row>
    <row r="40" spans="2:22" x14ac:dyDescent="0.25">
      <c r="B40" s="2" t="s">
        <v>68</v>
      </c>
      <c r="C40" s="2">
        <f>CP</f>
        <v>0.65669661997474527</v>
      </c>
      <c r="F40" s="40"/>
    </row>
    <row r="41" spans="2:22" ht="18.75" x14ac:dyDescent="0.35">
      <c r="B41" s="42" t="s">
        <v>69</v>
      </c>
      <c r="C41" s="43"/>
      <c r="P41" s="28"/>
      <c r="Q41" s="44"/>
      <c r="R41" s="44"/>
      <c r="S41" s="28"/>
      <c r="T41" s="28"/>
      <c r="U41" s="28"/>
      <c r="V41" s="28"/>
    </row>
    <row r="42" spans="2:22" x14ac:dyDescent="0.25">
      <c r="B42" s="43"/>
      <c r="P42" s="28"/>
      <c r="Q42" s="44"/>
      <c r="R42" s="44"/>
      <c r="S42" s="28"/>
      <c r="T42" s="28"/>
      <c r="U42" s="28"/>
      <c r="V42" s="28"/>
    </row>
    <row r="43" spans="2:22" ht="17.25" x14ac:dyDescent="0.25">
      <c r="B43" s="45" t="s">
        <v>70</v>
      </c>
      <c r="C43" s="46">
        <f>IF(ISNUMBER('G&amp;H'!C38),IF('G&amp;H'!C38&lt;4,4,IF('G&amp;H'!C38-ROUNDDOWN('G&amp;H'!C38,0)&gt;0.5,ROUNDDOWN('G&amp;H'!C38,0)+0.5,IF('G&amp;H'!C38-ROUNDDOWN('G&amp;H'!C38,0)&lt;0.5,ROUNDDOWN('G&amp;H'!C38,0),'G&amp;H'!C38))),"  ")</f>
        <v>6</v>
      </c>
      <c r="D43" s="46">
        <f>IF('G&amp;H'!C43='G&amp;H'!C38,"  ",'G&amp;H'!C43+0.5)</f>
        <v>6.5</v>
      </c>
      <c r="E43" s="47">
        <f>IF(C43=C38,"",C38)</f>
        <v>6.4564401624089074</v>
      </c>
      <c r="P43" s="28"/>
      <c r="Q43" s="44"/>
      <c r="R43" s="44"/>
      <c r="S43" s="28"/>
      <c r="T43" s="28"/>
      <c r="U43" s="28"/>
      <c r="V43" s="28"/>
    </row>
    <row r="44" spans="2:22" ht="18.75" x14ac:dyDescent="0.35">
      <c r="B44" s="45" t="s">
        <v>71</v>
      </c>
      <c r="C44" s="48">
        <v>0.55071459195959238</v>
      </c>
      <c r="D44" s="48">
        <v>0.47937526796464336</v>
      </c>
      <c r="E44" s="49">
        <f>IF(C43=C38,C44,IF(AND(ISNUMBER(D44),ISNUMBER(C44)),FORECAST(E43,C44:D44,C43:D43),""))</f>
        <v>0.48559032669879998</v>
      </c>
      <c r="J44" s="15" t="s">
        <v>72</v>
      </c>
      <c r="K44" s="2">
        <f>IF(ISNUMBER('G&amp;H'!E44),'G&amp;H'!E44,"(Not available)")</f>
        <v>0.48559032669879998</v>
      </c>
    </row>
    <row r="45" spans="2:22" ht="18.75" x14ac:dyDescent="0.35">
      <c r="J45" s="15" t="s">
        <v>73</v>
      </c>
      <c r="K45" s="2">
        <f>O143</f>
        <v>0.53431270562669608</v>
      </c>
      <c r="L45" s="146" t="s">
        <v>184</v>
      </c>
    </row>
    <row r="46" spans="2:22" ht="18.75" x14ac:dyDescent="0.35">
      <c r="B46" s="15" t="s">
        <v>74</v>
      </c>
    </row>
    <row r="47" spans="2:22" x14ac:dyDescent="0.25">
      <c r="C47" s="43">
        <f>CHOOSE(Tools1!O17,'G&amp;H'!K44,'G&amp;H'!K45,'G&amp;H'!K46)</f>
        <v>0.48559032669879998</v>
      </c>
    </row>
    <row r="48" spans="2:22" x14ac:dyDescent="0.25">
      <c r="D48" s="15"/>
    </row>
    <row r="49" spans="1:7" x14ac:dyDescent="0.25">
      <c r="B49" s="50" t="s">
        <v>75</v>
      </c>
    </row>
    <row r="50" spans="1:7" x14ac:dyDescent="0.25">
      <c r="B50" s="2" t="s">
        <v>76</v>
      </c>
      <c r="C50" s="2">
        <f>BREADTH/DRAFT</f>
        <v>2.6833333333333336</v>
      </c>
    </row>
    <row r="51" spans="1:7" ht="18.75" x14ac:dyDescent="0.35">
      <c r="C51" s="15" t="s">
        <v>77</v>
      </c>
      <c r="D51" s="162" t="str">
        <f>"0.16*(B/T-2.5)"</f>
        <v>0.16*(B/T-2.5)</v>
      </c>
      <c r="E51" s="162"/>
    </row>
    <row r="52" spans="1:7" ht="17.25" x14ac:dyDescent="0.4">
      <c r="C52" s="15" t="s">
        <v>58</v>
      </c>
      <c r="D52" s="41">
        <f>0.16*(C50-2.5)</f>
        <v>2.9333333333333371E-2</v>
      </c>
    </row>
    <row r="53" spans="1:7" x14ac:dyDescent="0.25">
      <c r="C53" s="15"/>
    </row>
    <row r="54" spans="1:7" x14ac:dyDescent="0.25">
      <c r="B54" s="50" t="s">
        <v>78</v>
      </c>
      <c r="G54" s="30"/>
    </row>
    <row r="55" spans="1:7" x14ac:dyDescent="0.25">
      <c r="B55" s="50"/>
      <c r="G55" s="30"/>
    </row>
    <row r="56" spans="1:7" x14ac:dyDescent="0.25">
      <c r="B56" s="2" t="s">
        <v>19</v>
      </c>
      <c r="C56" s="2">
        <f>LCB</f>
        <v>-3.7367543249879551</v>
      </c>
      <c r="G56" s="30"/>
    </row>
    <row r="57" spans="1:7" ht="18" x14ac:dyDescent="0.35">
      <c r="B57" s="2" t="s">
        <v>67</v>
      </c>
      <c r="C57" s="2">
        <f>Fn</f>
        <v>0.19417693517095749</v>
      </c>
      <c r="G57" s="30"/>
    </row>
    <row r="58" spans="1:7" x14ac:dyDescent="0.25">
      <c r="G58" s="30"/>
    </row>
    <row r="59" spans="1:7" x14ac:dyDescent="0.25">
      <c r="B59" s="2" t="s">
        <v>79</v>
      </c>
      <c r="C59" s="2">
        <f>(-3+(0.2838-C39)*6/0.1388)</f>
        <v>0.87419588598166476</v>
      </c>
      <c r="D59" s="2" t="s">
        <v>80</v>
      </c>
      <c r="G59" s="30"/>
    </row>
    <row r="60" spans="1:7" x14ac:dyDescent="0.25">
      <c r="B60" s="2" t="str">
        <f>IF(D59="aft","","Std. LCB")</f>
        <v>Std. LCB</v>
      </c>
      <c r="C60" s="2">
        <f>LBP*(C59/100)</f>
        <v>2.2606705611485851</v>
      </c>
      <c r="G60" s="30"/>
    </row>
    <row r="61" spans="1:7" x14ac:dyDescent="0.25">
      <c r="B61" s="2" t="str">
        <f>IF(D59="aft","","ΔLCB=")</f>
        <v>ΔLCB=</v>
      </c>
      <c r="C61" s="2">
        <f>IFERROR(C56-C60,"")</f>
        <v>-5.9974248861365407</v>
      </c>
      <c r="G61" s="30"/>
    </row>
    <row r="62" spans="1:7" x14ac:dyDescent="0.25">
      <c r="B62" s="2" t="str">
        <f>IF(LCB&gt;C60,"LCB is fwd of Std. LCB, correction required",IF(LCB&lt;C60,"LCB is aft of Std. LCB, no correction required",IF(LCB=C60,"Ship has got std. LCB, no correction required","  ")))</f>
        <v>LCB is aft of Std. LCB, no correction required</v>
      </c>
      <c r="G62" s="30"/>
    </row>
    <row r="63" spans="1:7" x14ac:dyDescent="0.25">
      <c r="A63" s="51" t="b">
        <f>(B62="LCB is fwd of Std. LCB, correction required")</f>
        <v>0</v>
      </c>
      <c r="B63" s="52" t="str">
        <f>IF(ISNUMBER(Fn),IF(OR(Fn&lt;0.145,Fn&gt;0.2838),"!Froudes' number is out of the graph of LCB correction",""))</f>
        <v/>
      </c>
    </row>
    <row r="64" spans="1:7" x14ac:dyDescent="0.25">
      <c r="B64" s="53"/>
    </row>
    <row r="65" spans="2:13" ht="18.75" x14ac:dyDescent="0.35">
      <c r="B65" s="54" t="s">
        <v>81</v>
      </c>
      <c r="D65" s="2" t="s">
        <v>82</v>
      </c>
    </row>
    <row r="66" spans="2:13" ht="18.75" x14ac:dyDescent="0.35">
      <c r="B66" s="55" t="s">
        <v>83</v>
      </c>
      <c r="C66" s="55" t="s">
        <v>84</v>
      </c>
      <c r="D66" s="55" t="s">
        <v>85</v>
      </c>
    </row>
    <row r="67" spans="2:13" x14ac:dyDescent="0.25">
      <c r="B67" s="56">
        <f>Fn</f>
        <v>0.19417693517095749</v>
      </c>
      <c r="C67" s="56">
        <f>IF(CP&gt;=0.85,0.8,IF(CP&lt;=0.55,0.55,IF(CP-ROUNDDOWN(CP,1)&gt;0.05,ROUNDDOWN(CP,1)+0.05,ROUNDDOWN(CP,1))))</f>
        <v>0.65</v>
      </c>
      <c r="D67" s="56" t="e">
        <f>VLOOKUP(C67,Tools1!Z2:AD28,5,FALSE)</f>
        <v>#N/A</v>
      </c>
    </row>
    <row r="68" spans="2:13" x14ac:dyDescent="0.25">
      <c r="B68" s="56">
        <f>Fn</f>
        <v>0.19417693517095749</v>
      </c>
      <c r="C68" s="56">
        <f>IF(C67=CP,"",C67+0.05)</f>
        <v>0.70000000000000007</v>
      </c>
      <c r="D68" s="56" t="e">
        <f>IF('G&amp;H'!C68=Tools1!Z26,Tools1!AD26,IF('G&amp;H'!C68=Tools1!Z22,Tools1!AD22,IF('G&amp;H'!C68=Tools1!Z18,Tools1!AD18,IF('G&amp;H'!C68=Tools1!Z14,Tools1!AD14,IF('G&amp;H'!C68=Tools1!Z10,Tools1!AD10,IF('G&amp;H'!C68=Tools1!Z6,Tools1!AD6,IF('G&amp;H'!C68=Tools1!Z2,Tools1!AD2)))))))</f>
        <v>#N/A</v>
      </c>
    </row>
    <row r="69" spans="2:13" x14ac:dyDescent="0.25">
      <c r="B69" s="56">
        <f>Fn</f>
        <v>0.19417693517095749</v>
      </c>
      <c r="C69" s="56">
        <f>CP</f>
        <v>0.65669661997474527</v>
      </c>
      <c r="D69" s="56" t="e">
        <f>FORECAST(C69,D67:D68,C67:C68)</f>
        <v>#N/A</v>
      </c>
    </row>
    <row r="71" spans="2:13" ht="18.75" x14ac:dyDescent="0.35">
      <c r="E71" s="15" t="s">
        <v>86</v>
      </c>
      <c r="F71" s="2" t="str">
        <f>IF(A63,CONCATENATE("=",ROUND(D69,3),"*",ROUND(C61,3)),"")</f>
        <v/>
      </c>
    </row>
    <row r="72" spans="2:13" ht="17.25" x14ac:dyDescent="0.4">
      <c r="E72" s="15" t="str">
        <f>"="</f>
        <v>=</v>
      </c>
      <c r="F72" s="121">
        <f>IF(A63,D69*C61,0)</f>
        <v>0</v>
      </c>
    </row>
    <row r="74" spans="2:13" x14ac:dyDescent="0.25">
      <c r="B74" s="50" t="s">
        <v>87</v>
      </c>
      <c r="C74" s="57"/>
      <c r="D74" s="57"/>
      <c r="E74" s="30"/>
      <c r="F74" s="57"/>
    </row>
    <row r="75" spans="2:13" ht="18" customHeight="1" x14ac:dyDescent="0.35">
      <c r="B75" s="2" t="s">
        <v>88</v>
      </c>
      <c r="C75" s="2">
        <f>ABT</f>
        <v>45.169999999999995</v>
      </c>
      <c r="E75" s="167" t="s">
        <v>89</v>
      </c>
      <c r="F75" s="168" t="s">
        <v>90</v>
      </c>
      <c r="G75" s="168"/>
      <c r="H75" s="168"/>
      <c r="I75" s="168"/>
      <c r="J75" s="168"/>
      <c r="K75" s="168"/>
      <c r="L75" s="168"/>
      <c r="M75" s="168"/>
    </row>
    <row r="76" spans="2:13" ht="18" x14ac:dyDescent="0.35">
      <c r="B76" s="2" t="s">
        <v>91</v>
      </c>
      <c r="C76" s="2">
        <f>AMID</f>
        <v>378.36666666666667</v>
      </c>
      <c r="E76" s="167"/>
      <c r="F76" s="58">
        <v>0.15</v>
      </c>
      <c r="G76" s="58">
        <v>0.18</v>
      </c>
      <c r="H76" s="58">
        <v>0.21</v>
      </c>
      <c r="I76" s="58">
        <v>0.24</v>
      </c>
      <c r="J76" s="58">
        <v>0.27</v>
      </c>
      <c r="K76" s="58">
        <v>0.3</v>
      </c>
      <c r="L76" s="58">
        <v>0.33</v>
      </c>
      <c r="M76" s="58">
        <v>0.36</v>
      </c>
    </row>
    <row r="77" spans="2:13" ht="18" x14ac:dyDescent="0.35">
      <c r="B77" s="15" t="s">
        <v>92</v>
      </c>
      <c r="C77" s="2">
        <f>ABT/AMID</f>
        <v>0.11938155228614217</v>
      </c>
      <c r="E77" s="59">
        <v>0.5</v>
      </c>
      <c r="F77" s="60"/>
      <c r="G77" s="60"/>
      <c r="H77" s="60">
        <v>0.2</v>
      </c>
      <c r="I77" s="60">
        <v>0</v>
      </c>
      <c r="J77" s="60">
        <v>-0.2</v>
      </c>
      <c r="K77" s="60">
        <v>-0.4</v>
      </c>
      <c r="L77" s="60">
        <v>-0.4</v>
      </c>
      <c r="M77" s="60">
        <v>-0.4</v>
      </c>
    </row>
    <row r="78" spans="2:13" x14ac:dyDescent="0.25">
      <c r="E78" s="59">
        <v>0.6</v>
      </c>
      <c r="F78" s="60"/>
      <c r="G78" s="60"/>
      <c r="H78" s="60">
        <v>0.2</v>
      </c>
      <c r="I78" s="60">
        <v>0</v>
      </c>
      <c r="J78" s="60">
        <v>-0.2</v>
      </c>
      <c r="K78" s="60">
        <v>-0.3</v>
      </c>
      <c r="L78" s="60">
        <v>-0.3</v>
      </c>
      <c r="M78" s="60"/>
    </row>
    <row r="79" spans="2:13" x14ac:dyDescent="0.25">
      <c r="E79" s="59">
        <v>0.7</v>
      </c>
      <c r="F79" s="60"/>
      <c r="G79" s="60">
        <v>0.2</v>
      </c>
      <c r="H79" s="60">
        <v>0</v>
      </c>
      <c r="I79" s="60">
        <v>-0.2</v>
      </c>
      <c r="J79" s="60">
        <v>-0.3</v>
      </c>
      <c r="K79" s="60">
        <v>-0.3</v>
      </c>
      <c r="L79" s="60"/>
      <c r="M79" s="60"/>
    </row>
    <row r="80" spans="2:13" ht="18" x14ac:dyDescent="0.35">
      <c r="B80" s="15" t="s">
        <v>93</v>
      </c>
      <c r="C80" s="2" t="str">
        <f>IF(C77&gt;0.1,"&gt;0.1",IF(C77&lt;0.1,"&lt;0.1",IF(C77=0.1,"=0.1","  ")))</f>
        <v>&gt;0.1</v>
      </c>
      <c r="E80" s="59">
        <v>0.8</v>
      </c>
      <c r="F80" s="60">
        <v>0.1</v>
      </c>
      <c r="G80" s="60">
        <v>0</v>
      </c>
      <c r="H80" s="60">
        <v>-0.2</v>
      </c>
      <c r="I80" s="60"/>
      <c r="J80" s="60"/>
      <c r="K80" s="60"/>
      <c r="L80" s="60"/>
      <c r="M80" s="60"/>
    </row>
    <row r="81" spans="2:10" x14ac:dyDescent="0.25">
      <c r="B81" s="2" t="str">
        <f>IF(C80="&lt;0.1","Therefore, Corrections are assumed proportional to the size of the bulb"," ")</f>
        <v xml:space="preserve"> </v>
      </c>
    </row>
    <row r="83" spans="2:10" x14ac:dyDescent="0.25">
      <c r="B83" s="30" t="s">
        <v>94</v>
      </c>
    </row>
    <row r="84" spans="2:10" x14ac:dyDescent="0.25">
      <c r="B84" s="167" t="s">
        <v>89</v>
      </c>
      <c r="C84" s="169" t="s">
        <v>95</v>
      </c>
      <c r="D84" s="169"/>
      <c r="E84" s="169"/>
      <c r="F84" s="169"/>
    </row>
    <row r="85" spans="2:10" x14ac:dyDescent="0.25">
      <c r="B85" s="167"/>
      <c r="C85" s="58">
        <f>C39-MOD(C39,0.03)</f>
        <v>0.18</v>
      </c>
      <c r="D85" s="58">
        <f>C85+0.03</f>
        <v>0.21</v>
      </c>
      <c r="E85" s="170">
        <f>C39</f>
        <v>0.19417693517095749</v>
      </c>
      <c r="F85" s="170"/>
    </row>
    <row r="86" spans="2:10" x14ac:dyDescent="0.25">
      <c r="B86" s="59">
        <f>ROUNDDOWN(CP,1)</f>
        <v>0.6</v>
      </c>
      <c r="C86" s="60">
        <f>VLOOKUP($B86,$E$77:$M$80,(C$85-0.09)/0.03,FALSE)</f>
        <v>0</v>
      </c>
      <c r="D86" s="60">
        <f>VLOOKUP($B86,$E$77:$M$80,(D$85-0.09)/0.03,FALSE)</f>
        <v>0.2</v>
      </c>
      <c r="E86" s="172"/>
      <c r="F86" s="172"/>
    </row>
    <row r="87" spans="2:10" x14ac:dyDescent="0.25">
      <c r="B87" s="59">
        <f>ROUNDDOWN(CP+0.1,1)</f>
        <v>0.7</v>
      </c>
      <c r="C87" s="60">
        <f>VLOOKUP($B87,$E$77:$M$80,(C$85-0.09)/0.03,FALSE)</f>
        <v>0.2</v>
      </c>
      <c r="D87" s="60">
        <f>VLOOKUP($B87,$E$77:$M$80,(D$85-0.09)/0.03,FALSE)</f>
        <v>0</v>
      </c>
      <c r="E87" s="172"/>
      <c r="F87" s="172"/>
    </row>
    <row r="88" spans="2:10" x14ac:dyDescent="0.25">
      <c r="B88" s="59">
        <f>CP</f>
        <v>0.65669661997474527</v>
      </c>
      <c r="C88" s="60">
        <f>FORECAST($B88,C$86:C$87,$B$86:$B$87)</f>
        <v>0.1133932399494908</v>
      </c>
      <c r="D88" s="60">
        <f>FORECAST($B88,D$86:D$87,$B$86:$B$87)</f>
        <v>8.6606760050509379E-2</v>
      </c>
      <c r="E88" s="172">
        <f>FORECAST(C39,C88:D88,C85:D85)</f>
        <v>0.10073490031662363</v>
      </c>
      <c r="F88" s="172"/>
    </row>
    <row r="90" spans="2:10" ht="15" customHeight="1" x14ac:dyDescent="0.4">
      <c r="B90" s="61" t="s">
        <v>96</v>
      </c>
      <c r="D90" s="41">
        <f>E88</f>
        <v>0.10073490031662363</v>
      </c>
    </row>
    <row r="91" spans="2:10" ht="15" customHeight="1" x14ac:dyDescent="0.25"/>
    <row r="92" spans="2:10" ht="15" customHeight="1" x14ac:dyDescent="0.25">
      <c r="B92" s="21"/>
      <c r="C92" s="21"/>
      <c r="D92" s="21"/>
      <c r="E92" s="21"/>
      <c r="F92" s="21"/>
      <c r="G92" s="21"/>
      <c r="H92" s="21"/>
      <c r="I92" s="21"/>
      <c r="J92" s="21"/>
    </row>
    <row r="93" spans="2:10" ht="15" customHeight="1" x14ac:dyDescent="0.35">
      <c r="B93" s="25" t="s">
        <v>97</v>
      </c>
      <c r="C93" s="62"/>
      <c r="D93" s="62">
        <f>C47</f>
        <v>0.48559032669879998</v>
      </c>
      <c r="E93" s="63"/>
      <c r="F93" s="63"/>
      <c r="G93" s="63"/>
      <c r="H93" s="22"/>
      <c r="I93" s="22"/>
      <c r="J93" s="22"/>
    </row>
    <row r="94" spans="2:10" ht="15" customHeight="1" x14ac:dyDescent="0.35">
      <c r="B94" s="30" t="s">
        <v>98</v>
      </c>
      <c r="C94" s="29"/>
      <c r="D94" s="29">
        <f>D52</f>
        <v>2.9333333333333371E-2</v>
      </c>
      <c r="E94" s="15"/>
      <c r="F94" s="15"/>
      <c r="G94" s="15"/>
    </row>
    <row r="95" spans="2:10" ht="15" customHeight="1" x14ac:dyDescent="0.35">
      <c r="B95" s="30" t="s">
        <v>99</v>
      </c>
      <c r="C95" s="29"/>
      <c r="D95" s="29">
        <f>F72</f>
        <v>0</v>
      </c>
      <c r="E95" s="15"/>
      <c r="F95" s="15"/>
      <c r="G95" s="15"/>
    </row>
    <row r="96" spans="2:10" ht="15" customHeight="1" x14ac:dyDescent="0.35">
      <c r="B96" s="30" t="s">
        <v>100</v>
      </c>
      <c r="C96" s="30"/>
      <c r="D96" s="30">
        <f>D90</f>
        <v>0.10073490031662363</v>
      </c>
    </row>
    <row r="97" spans="2:18" ht="15" customHeight="1" x14ac:dyDescent="0.25">
      <c r="B97" s="30"/>
      <c r="C97" s="30"/>
      <c r="D97" s="30"/>
    </row>
    <row r="98" spans="2:18" ht="15" customHeight="1" x14ac:dyDescent="0.35">
      <c r="B98" s="30" t="s">
        <v>101</v>
      </c>
      <c r="C98" s="30"/>
      <c r="D98" s="30"/>
    </row>
    <row r="99" spans="2:18" ht="15" customHeight="1" x14ac:dyDescent="0.4">
      <c r="B99" s="30" t="s">
        <v>42</v>
      </c>
      <c r="C99" s="64">
        <f>IFERROR(D93+D94+D95+D96,"-")</f>
        <v>0.61565856034875699</v>
      </c>
      <c r="D99" s="30"/>
    </row>
    <row r="100" spans="2:18" ht="15" customHeight="1" x14ac:dyDescent="0.25">
      <c r="C100" s="30"/>
      <c r="D100" s="30"/>
    </row>
    <row r="101" spans="2:18" x14ac:dyDescent="0.25">
      <c r="B101" s="50" t="s">
        <v>102</v>
      </c>
    </row>
    <row r="103" spans="2:18" ht="18.75" x14ac:dyDescent="0.35">
      <c r="H103" s="65" t="s">
        <v>103</v>
      </c>
      <c r="I103" s="65" t="s">
        <v>104</v>
      </c>
      <c r="J103" s="66"/>
      <c r="Q103" s="65" t="s">
        <v>22</v>
      </c>
      <c r="R103" s="65" t="s">
        <v>104</v>
      </c>
    </row>
    <row r="104" spans="2:18" x14ac:dyDescent="0.25">
      <c r="H104" s="56">
        <v>100</v>
      </c>
      <c r="I104" s="56">
        <v>0.4</v>
      </c>
      <c r="J104" s="66"/>
      <c r="Q104" s="56">
        <v>1000</v>
      </c>
      <c r="R104" s="56">
        <v>0.6</v>
      </c>
    </row>
    <row r="105" spans="2:18" x14ac:dyDescent="0.25">
      <c r="H105" s="56">
        <v>150</v>
      </c>
      <c r="I105" s="56">
        <v>0.2</v>
      </c>
      <c r="J105" s="66"/>
      <c r="Q105" s="56">
        <v>10000</v>
      </c>
      <c r="R105" s="56">
        <v>0.4</v>
      </c>
    </row>
    <row r="106" spans="2:18" x14ac:dyDescent="0.25">
      <c r="H106" s="56">
        <v>200</v>
      </c>
      <c r="I106" s="56">
        <v>0</v>
      </c>
      <c r="J106" s="66"/>
      <c r="Q106" s="56">
        <v>100000</v>
      </c>
      <c r="R106" s="56">
        <v>0</v>
      </c>
    </row>
    <row r="107" spans="2:18" x14ac:dyDescent="0.25">
      <c r="H107" s="56">
        <v>250</v>
      </c>
      <c r="I107" s="56">
        <v>-0.2</v>
      </c>
      <c r="J107" s="66"/>
      <c r="Q107" s="56">
        <v>1000000</v>
      </c>
      <c r="R107" s="56">
        <v>-0.6</v>
      </c>
    </row>
    <row r="108" spans="2:18" x14ac:dyDescent="0.25">
      <c r="H108" s="56">
        <v>300</v>
      </c>
      <c r="I108" s="56">
        <v>-0.3</v>
      </c>
      <c r="J108" s="66"/>
      <c r="Q108" s="67">
        <f>▲_</f>
        <v>66256.427692456666</v>
      </c>
      <c r="R108" s="67">
        <f>FORECAST(Q108,R104:R107,Q104:Q107)</f>
        <v>0.31299471018537856</v>
      </c>
    </row>
    <row r="109" spans="2:18" x14ac:dyDescent="0.25">
      <c r="H109" s="67">
        <f>LBP</f>
        <v>258.60000000000002</v>
      </c>
      <c r="I109" s="67">
        <f>IF(AND(LBP&gt;=100,LBP&lt;=300),FORECAST(LBP,I104:I108,H104:H108),IF(LBP&lt;=100,0.4,IF(LBP&gt;=300,-0.3,"#NA")))</f>
        <v>-0.19096000000000002</v>
      </c>
      <c r="J109" s="66"/>
    </row>
    <row r="110" spans="2:18" x14ac:dyDescent="0.25">
      <c r="J110" s="66"/>
    </row>
    <row r="112" spans="2:18" ht="18.75" x14ac:dyDescent="0.35">
      <c r="B112" s="173" t="s">
        <v>105</v>
      </c>
      <c r="C112" s="173"/>
      <c r="D112" s="173"/>
      <c r="E112" s="173"/>
      <c r="F112" s="68">
        <v>0.4</v>
      </c>
    </row>
    <row r="113" spans="1:20" ht="18.75" x14ac:dyDescent="0.35">
      <c r="B113" s="173" t="s">
        <v>106</v>
      </c>
      <c r="C113" s="173"/>
      <c r="D113" s="173"/>
      <c r="E113" s="173"/>
      <c r="F113" s="68">
        <f>I109</f>
        <v>-0.19096000000000002</v>
      </c>
    </row>
    <row r="114" spans="1:20" ht="18.75" x14ac:dyDescent="0.35">
      <c r="B114" s="173" t="s">
        <v>107</v>
      </c>
      <c r="C114" s="173"/>
      <c r="D114" s="173"/>
      <c r="E114" s="173"/>
      <c r="F114" s="68">
        <f>R108</f>
        <v>0.31299471018537856</v>
      </c>
    </row>
    <row r="116" spans="1:20" x14ac:dyDescent="0.25">
      <c r="A116" s="21"/>
      <c r="B116" s="69"/>
      <c r="C116" s="21"/>
      <c r="D116" s="21"/>
      <c r="E116" s="21"/>
      <c r="F116" s="21"/>
      <c r="G116" s="21"/>
      <c r="H116" s="21"/>
      <c r="I116" s="21"/>
      <c r="J116" s="21"/>
      <c r="K116" s="21"/>
    </row>
    <row r="117" spans="1:20" x14ac:dyDescent="0.25">
      <c r="B117" s="24"/>
      <c r="C117" s="50" t="s">
        <v>108</v>
      </c>
    </row>
    <row r="118" spans="1:20" ht="18.75" x14ac:dyDescent="0.35">
      <c r="B118" s="24"/>
      <c r="C118" s="2" t="s">
        <v>109</v>
      </c>
      <c r="D118" s="2">
        <v>7.0000000000000007E-2</v>
      </c>
    </row>
    <row r="119" spans="1:20" x14ac:dyDescent="0.25">
      <c r="B119" s="24"/>
    </row>
    <row r="120" spans="1:20" x14ac:dyDescent="0.25">
      <c r="B120" s="24"/>
      <c r="C120" s="50" t="s">
        <v>110</v>
      </c>
    </row>
    <row r="121" spans="1:20" ht="18.75" x14ac:dyDescent="0.35">
      <c r="B121" s="24"/>
      <c r="C121" s="2" t="s">
        <v>111</v>
      </c>
      <c r="D121" s="2">
        <v>0.04</v>
      </c>
    </row>
    <row r="122" spans="1:20" x14ac:dyDescent="0.25">
      <c r="B122" s="24"/>
    </row>
    <row r="124" spans="1:20" x14ac:dyDescent="0.25">
      <c r="A124" s="21"/>
      <c r="B124" s="21"/>
      <c r="C124" s="21"/>
      <c r="D124" s="21"/>
      <c r="E124" s="21"/>
      <c r="F124" s="21"/>
      <c r="G124" s="21"/>
      <c r="H124" s="21"/>
      <c r="I124" s="21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</row>
    <row r="125" spans="1:20" ht="21" x14ac:dyDescent="0.35">
      <c r="B125" s="4" t="s">
        <v>112</v>
      </c>
    </row>
    <row r="126" spans="1:20" x14ac:dyDescent="0.25">
      <c r="C126" s="70" t="s">
        <v>113</v>
      </c>
      <c r="L126" s="50" t="s">
        <v>114</v>
      </c>
    </row>
    <row r="127" spans="1:20" ht="18.75" x14ac:dyDescent="0.35">
      <c r="C127" s="71" t="s">
        <v>115</v>
      </c>
      <c r="L127" s="162" t="s">
        <v>116</v>
      </c>
      <c r="M127" s="162"/>
      <c r="N127" s="18">
        <f>LBP/(▼_^(1/3))</f>
        <v>6.4564401624089074</v>
      </c>
    </row>
    <row r="128" spans="1:20" ht="18.75" x14ac:dyDescent="0.35">
      <c r="C128" s="71" t="s">
        <v>117</v>
      </c>
      <c r="K128" s="18" t="s">
        <v>118</v>
      </c>
      <c r="L128" s="18"/>
      <c r="M128" s="18"/>
      <c r="N128" s="2">
        <f>1.35-0.23*N127+0.012*(N127^2)</f>
        <v>0.36524619749515252</v>
      </c>
    </row>
    <row r="129" spans="2:16" ht="18.75" x14ac:dyDescent="0.35">
      <c r="C129" s="71" t="s">
        <v>119</v>
      </c>
      <c r="L129" s="162" t="s">
        <v>120</v>
      </c>
      <c r="M129" s="162"/>
      <c r="N129" s="18">
        <f>0.0011*(N127^9.1)</f>
        <v>25842.240961851123</v>
      </c>
    </row>
    <row r="130" spans="2:16" ht="18.75" x14ac:dyDescent="0.35">
      <c r="C130" s="71" t="s">
        <v>121</v>
      </c>
      <c r="L130" s="174" t="s">
        <v>122</v>
      </c>
      <c r="M130" s="174"/>
      <c r="N130" s="22">
        <f>2*N127-3.7</f>
        <v>9.2128803248178137</v>
      </c>
    </row>
    <row r="131" spans="2:16" ht="18.75" x14ac:dyDescent="0.35">
      <c r="C131" s="71" t="s">
        <v>123</v>
      </c>
      <c r="M131" s="2" t="s">
        <v>67</v>
      </c>
      <c r="N131" s="2">
        <f>$I$5/SQRT($I$8*LBP)</f>
        <v>0.19417693517095749</v>
      </c>
    </row>
    <row r="132" spans="2:16" ht="18.75" x14ac:dyDescent="0.35">
      <c r="C132" s="71" t="s">
        <v>124</v>
      </c>
      <c r="O132" s="15" t="s">
        <v>125</v>
      </c>
      <c r="P132" s="2">
        <f>(N128+1.5*(N131^1.8)+N129*(N131^N130))*(0.98+2.5/(N127-2)^4)+((N127-5)^4)*((N131-0.1)^4)</f>
        <v>0.44509065984989754</v>
      </c>
    </row>
    <row r="133" spans="2:16" ht="18" x14ac:dyDescent="0.35">
      <c r="C133" s="71" t="s">
        <v>126</v>
      </c>
    </row>
    <row r="134" spans="2:16" ht="18.75" x14ac:dyDescent="0.35">
      <c r="C134" s="71" t="s">
        <v>127</v>
      </c>
      <c r="L134" s="175" t="s">
        <v>128</v>
      </c>
      <c r="M134" s="175"/>
      <c r="N134" s="72">
        <f>7-0.09*N127^2</f>
        <v>3.2482942386309919</v>
      </c>
      <c r="O134" s="22"/>
    </row>
    <row r="135" spans="2:16" ht="18.75" x14ac:dyDescent="0.35">
      <c r="C135" s="71" t="s">
        <v>129</v>
      </c>
      <c r="L135" s="175" t="s">
        <v>130</v>
      </c>
      <c r="M135" s="175"/>
      <c r="N135" s="72">
        <f>(5*CP-2.5)^2</f>
        <v>0.6138457677877438</v>
      </c>
      <c r="O135" s="22"/>
    </row>
    <row r="136" spans="2:16" ht="18.75" x14ac:dyDescent="0.35">
      <c r="C136" s="71" t="s">
        <v>131</v>
      </c>
      <c r="M136" s="63" t="s">
        <v>132</v>
      </c>
      <c r="N136" s="72">
        <f>(600*(N131-0.315)^2+1)^1.5</f>
        <v>30.486190367964987</v>
      </c>
      <c r="O136" s="22"/>
    </row>
    <row r="137" spans="2:16" ht="18" x14ac:dyDescent="0.35">
      <c r="C137" s="71" t="s">
        <v>133</v>
      </c>
      <c r="L137" s="171" t="s">
        <v>134</v>
      </c>
      <c r="M137" s="171"/>
      <c r="N137" s="18">
        <f>N134*N135/N136</f>
        <v>6.5405078392746591E-2</v>
      </c>
      <c r="O137" s="22"/>
    </row>
    <row r="138" spans="2:16" ht="18.75" x14ac:dyDescent="0.35">
      <c r="C138" s="71" t="s">
        <v>135</v>
      </c>
      <c r="L138" s="73"/>
      <c r="M138" s="73"/>
      <c r="N138" s="73"/>
      <c r="O138" s="22"/>
    </row>
    <row r="139" spans="2:16" ht="18" x14ac:dyDescent="0.35">
      <c r="L139" s="22"/>
      <c r="M139" s="63" t="s">
        <v>136</v>
      </c>
      <c r="N139" s="63">
        <f>CP</f>
        <v>0.65669661997474527</v>
      </c>
    </row>
    <row r="140" spans="2:16" ht="18" x14ac:dyDescent="0.35">
      <c r="M140" s="22"/>
      <c r="O140" s="63" t="s">
        <v>137</v>
      </c>
      <c r="P140" s="2">
        <f>EXP(80*(N131-(0.04+0.59*CP)-(0.015*(N127-5))))</f>
        <v>1.3683587006733128E-9</v>
      </c>
    </row>
    <row r="141" spans="2:16" ht="18.75" x14ac:dyDescent="0.35">
      <c r="L141" s="15"/>
      <c r="N141" s="15" t="s">
        <v>138</v>
      </c>
      <c r="O141" s="2">
        <f>180*N131^3.7*EXP(20*CP-16)</f>
        <v>2.3816966015693313E-2</v>
      </c>
    </row>
    <row r="142" spans="2:16" x14ac:dyDescent="0.25">
      <c r="L142" s="15"/>
    </row>
    <row r="143" spans="2:16" ht="18.75" x14ac:dyDescent="0.35">
      <c r="B143" s="2" t="s">
        <v>139</v>
      </c>
      <c r="N143" s="15" t="s">
        <v>140</v>
      </c>
      <c r="O143" s="2">
        <f>P132+N137+P140+O141</f>
        <v>0.53431270562669608</v>
      </c>
    </row>
    <row r="144" spans="2:16" x14ac:dyDescent="0.25">
      <c r="B144" s="2" t="s">
        <v>141</v>
      </c>
    </row>
    <row r="146" spans="2:15" x14ac:dyDescent="0.25">
      <c r="B146" s="147" t="s">
        <v>142</v>
      </c>
    </row>
    <row r="147" spans="2:15" x14ac:dyDescent="0.25">
      <c r="B147" s="152" t="s">
        <v>143</v>
      </c>
      <c r="O147" s="151" t="s">
        <v>187</v>
      </c>
    </row>
    <row r="148" spans="2:15" x14ac:dyDescent="0.25">
      <c r="O148" s="151" t="s">
        <v>188</v>
      </c>
    </row>
    <row r="149" spans="2:15" x14ac:dyDescent="0.25">
      <c r="O149" s="159" t="s">
        <v>194</v>
      </c>
    </row>
  </sheetData>
  <sheetProtection password="CC2F" sheet="1" objects="1" scenarios="1"/>
  <mergeCells count="26">
    <mergeCell ref="B84:B85"/>
    <mergeCell ref="C84:F84"/>
    <mergeCell ref="E85:F85"/>
    <mergeCell ref="L137:M137"/>
    <mergeCell ref="E86:F86"/>
    <mergeCell ref="E87:F87"/>
    <mergeCell ref="E88:F88"/>
    <mergeCell ref="B112:E112"/>
    <mergeCell ref="B113:E113"/>
    <mergeCell ref="B114:E114"/>
    <mergeCell ref="L127:M127"/>
    <mergeCell ref="L129:M129"/>
    <mergeCell ref="L130:M130"/>
    <mergeCell ref="L134:M134"/>
    <mergeCell ref="L135:M135"/>
    <mergeCell ref="C30:D30"/>
    <mergeCell ref="F30:G30"/>
    <mergeCell ref="D51:E51"/>
    <mergeCell ref="E75:E76"/>
    <mergeCell ref="F75:M75"/>
    <mergeCell ref="M16:N16"/>
    <mergeCell ref="M17:N17"/>
    <mergeCell ref="M19:N19"/>
    <mergeCell ref="C28:D28"/>
    <mergeCell ref="C29:D29"/>
    <mergeCell ref="F29:G29"/>
  </mergeCells>
  <conditionalFormatting sqref="B65:F70">
    <cfRule type="expression" dxfId="13" priority="2">
      <formula>NOT($A$63)</formula>
    </cfRule>
  </conditionalFormatting>
  <dataValidations count="15">
    <dataValidation type="decimal" allowBlank="1" showInputMessage="1" showErrorMessage="1" errorTitle="LCB" error="Enter a value within the dimension (LBP) of ship (w.r.t.  amidship)" promptTitle="Longitudinal Center of Buoyancy" prompt="LCB (w.r.t.  amidship)" sqref="C8">
      <formula1>-C3/2</formula1>
      <formula2>C3/2</formula2>
    </dataValidation>
    <dataValidation type="decimal" operator="greaterThan" allowBlank="1" showInputMessage="1" showErrorMessage="1" errorTitle="Area of midship" error="Enter a positive number" promptTitle="Area of midship" prompt="(Area upto LWL)" sqref="C6">
      <formula1>0</formula1>
    </dataValidation>
    <dataValidation type="decimal" operator="greaterThanOrEqual" allowBlank="1" showInputMessage="1" showErrorMessage="1" errorTitle="ABT" error="Enter a non-negetive number" promptTitle="Bulbous bow" prompt="Transverse area" sqref="C7">
      <formula1>0</formula1>
    </dataValidation>
    <dataValidation operator="greaterThan" allowBlank="1" showInputMessage="1" showErrorMessage="1" errorTitle="Velocity in knots" error="Enter a positive number" promptTitle="Velocity of ship" prompt="(in m/s)" sqref="I5"/>
    <dataValidation operator="greaterThan" allowBlank="1" showInputMessage="1" showErrorMessage="1" errorTitle="Velocity in knots" error="Enter a positive number" promptTitle="Velocity of ship" prompt="(in knots)" sqref="I4"/>
    <dataValidation allowBlank="1" showInputMessage="1" showErrorMessage="1" promptTitle="Dynamic viscosity" prompt="(of sea-water)" sqref="I7"/>
    <dataValidation allowBlank="1" showInputMessage="1" showErrorMessage="1" promptTitle="Density of Seawater" prompt="(in tonnes/metercube)" sqref="I9"/>
    <dataValidation allowBlank="1" showInputMessage="1" showErrorMessage="1" promptTitle="Acceleration due to gravity" prompt="g" sqref="I8"/>
    <dataValidation type="decimal" operator="greaterThan" allowBlank="1" showInputMessage="1" showErrorMessage="1" errorTitle="Breadth of Ship" error="Enter a positive number" promptTitle="Breadth of Ship" prompt="B" sqref="C4">
      <formula1>0</formula1>
    </dataValidation>
    <dataValidation type="decimal" operator="greaterThan" allowBlank="1" showInputMessage="1" showErrorMessage="1" errorTitle="Draft of Ship" error="Enter a positive number" promptTitle="Draft" prompt="T" sqref="C5">
      <formula1>0</formula1>
    </dataValidation>
    <dataValidation type="decimal" operator="greaterThan" allowBlank="1" showInputMessage="1" showErrorMessage="1" errorTitle="LBP" error="Enter a positive number" promptTitle="Length b/w perpendiculars" prompt="LBP" sqref="C3">
      <formula1>0</formula1>
    </dataValidation>
    <dataValidation type="decimal" allowBlank="1" showInputMessage="1" showErrorMessage="1" errorTitle="Prismatic Coefficient" error="Enter value between 0 and 1" promptTitle="Prismatic coeficient" prompt=" " sqref="C11">
      <formula1>0</formula1>
      <formula2>1</formula2>
    </dataValidation>
    <dataValidation type="decimal" allowBlank="1" showInputMessage="1" showErrorMessage="1" errorTitle="Block Coefficient" error="Enter value between 0 and 1" promptTitle="Block coefficient" prompt="δ" sqref="C12">
      <formula1>0</formula1>
      <formula2>1</formula2>
    </dataValidation>
    <dataValidation allowBlank="1" showInputMessage="1" showErrorMessage="1" promptTitle="Volume Displacement" prompt="(in meter cubes)" sqref="C9"/>
    <dataValidation allowBlank="1" showInputMessage="1" showErrorMessage="1" promptTitle="Mass Displacement" prompt="(tonnes)" sqref="C10"/>
  </dataValidations>
  <hyperlinks>
    <hyperlink ref="G33" location="'G&amp;H'!A101:R115" tooltip="Click here to see calculations for model-ship co-relation allowance" display="'G&amp;H'!A101:R115"/>
    <hyperlink ref="L45" location="'G&amp;H'!A125:P143" tooltip="Click here to see calculations for empirical procedure" display="See calculations"/>
    <hyperlink ref="B146" r:id="rId1" tooltip="Send suggestions/corrections via email abdupalakkad@yahoo.com"/>
    <hyperlink ref="O147:O148" r:id="rId2" display="This workbook may contain errors"/>
    <hyperlink ref="O149" r:id="rId3" tooltip="Send your suggestions"/>
  </hyperlinks>
  <pageMargins left="0.7" right="0.7" top="0.75" bottom="0.75" header="0.3" footer="0.3"/>
  <pageSetup paperSize="9" orientation="portrait" r:id="rId4"/>
  <ignoredErrors>
    <ignoredError sqref="D67:D69" evalError="1"/>
  </ignoredErrors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Drop Down 1">
              <controlPr defaultSize="0" autoLine="0" autoPict="0">
                <anchor mov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5</xdr:col>
                    <xdr:colOff>533400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8" name="Drop Down 2">
              <controlPr defaultSize="0" autoLine="0" autoPict="0">
                <anchor moveWithCells="1">
                  <from>
                    <xdr:col>2</xdr:col>
                    <xdr:colOff>0</xdr:colOff>
                    <xdr:row>45</xdr:row>
                    <xdr:rowOff>0</xdr:rowOff>
                  </from>
                  <to>
                    <xdr:col>4</xdr:col>
                    <xdr:colOff>609600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9" name="Button 3">
              <controlPr defaultSize="0" print="0" autoFill="0" autoPict="0" macro="[0]!Button1_Click">
                <anchor moveWithCells="1" sizeWithCells="1">
                  <from>
                    <xdr:col>2</xdr:col>
                    <xdr:colOff>0</xdr:colOff>
                    <xdr:row>41</xdr:row>
                    <xdr:rowOff>0</xdr:rowOff>
                  </from>
                  <to>
                    <xdr:col>3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10" name="Button 4">
              <controlPr defaultSize="0" print="0" autoFill="0" autoPict="0" macro="[0]!Button2_Click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1" name="Drop Down 5">
              <controlPr defaultSize="0" autoLine="0" autoPict="0">
                <anchor mov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6</xdr:col>
                    <xdr:colOff>476250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12" name="Drop Down 6">
              <controlPr defaultSize="0" autoLine="0" autoPict="0">
                <anchor mov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6</xdr:col>
                    <xdr:colOff>504825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3" name="Button 7">
              <controlPr defaultSize="0" print="0" autoFill="0" autoPict="0" macro="[0]!ClearCR">
                <anchor moveWithCells="1" sizeWithCells="1">
                  <from>
                    <xdr:col>5</xdr:col>
                    <xdr:colOff>152400</xdr:colOff>
                    <xdr:row>43</xdr:row>
                    <xdr:rowOff>0</xdr:rowOff>
                  </from>
                  <to>
                    <xdr:col>6</xdr:col>
                    <xdr:colOff>152400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4" name="Button 8">
              <controlPr defaultSize="0" print="0" autoFill="0" autoPict="0" macro="[0]!UpdateV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I4:P39"/>
  <sheetViews>
    <sheetView showGridLines="0" showRowColHeaders="0" topLeftCell="A5" zoomScale="85" zoomScaleNormal="85" workbookViewId="0">
      <selection activeCell="K32" sqref="K32"/>
    </sheetView>
  </sheetViews>
  <sheetFormatPr defaultRowHeight="15" x14ac:dyDescent="0.25"/>
  <cols>
    <col min="1" max="9" width="9.140625" style="105"/>
    <col min="10" max="10" width="9.140625" style="105" customWidth="1"/>
    <col min="11" max="14" width="7.7109375" style="105" customWidth="1"/>
    <col min="15" max="16384" width="9.140625" style="105"/>
  </cols>
  <sheetData>
    <row r="4" spans="9:9" x14ac:dyDescent="0.25">
      <c r="I4" s="105">
        <v>14.5</v>
      </c>
    </row>
    <row r="21" spans="11:14" x14ac:dyDescent="0.25">
      <c r="N21" s="105" t="str">
        <f>IF(ISNUMBER(#REF!),submitCr1(#REF!),"")</f>
        <v/>
      </c>
    </row>
    <row r="22" spans="11:14" x14ac:dyDescent="0.25">
      <c r="L22" s="106"/>
      <c r="N22" s="105" t="str">
        <f>IF(ISNUMBER(#REF!),submitCr2(#REF!),"")</f>
        <v/>
      </c>
    </row>
    <row r="24" spans="11:14" x14ac:dyDescent="0.25">
      <c r="L24" s="110" t="s">
        <v>180</v>
      </c>
    </row>
    <row r="27" spans="11:14" x14ac:dyDescent="0.25">
      <c r="K27" s="111" t="s">
        <v>84</v>
      </c>
      <c r="L27" s="112">
        <f>CHOOSE(Tools1!$N$9,N33,N34)</f>
        <v>0.65</v>
      </c>
      <c r="M27" s="113">
        <f>IF(L27=CP,"",CHOOSE(Tools1!$N$9,O33,O34))</f>
        <v>0.70000000000000007</v>
      </c>
      <c r="N27" s="115">
        <f>CP</f>
        <v>0.65669661997474527</v>
      </c>
    </row>
    <row r="28" spans="11:14" x14ac:dyDescent="0.25">
      <c r="K28" s="116" t="s">
        <v>144</v>
      </c>
      <c r="L28" s="119"/>
      <c r="M28" s="120"/>
      <c r="N28" s="117" t="str">
        <f>IF(L27=CP,L28,IF(AND(ISNUMBER(L28),ISNUMBER(M28)),FORECAST(CP,N36:O36,N35:O35),""))</f>
        <v/>
      </c>
    </row>
    <row r="29" spans="11:14" x14ac:dyDescent="0.25">
      <c r="L29" s="107" t="s">
        <v>145</v>
      </c>
      <c r="M29" s="107" t="s">
        <v>145</v>
      </c>
    </row>
    <row r="31" spans="11:14" ht="17.25" x14ac:dyDescent="0.25">
      <c r="K31" s="105" t="s">
        <v>66</v>
      </c>
      <c r="L31" s="150">
        <f>M36</f>
        <v>4</v>
      </c>
    </row>
    <row r="33" spans="11:16" x14ac:dyDescent="0.25">
      <c r="K33" s="149" t="s">
        <v>186</v>
      </c>
      <c r="M33" s="108"/>
      <c r="N33" s="108">
        <f>IF(CP&lt;0.5,0.5,IF(CP&gt;0.8,0.8,IF(CP-ROUNDDOWN(CP,1)&lt;0.05,ROUNDDOWN(CP,1),IF(CP-ROUNDDOWN(CP,1)&gt;=0.05,ROUNDDOWN(CP,1)+0.05,"  "))))</f>
        <v>0.65</v>
      </c>
      <c r="O33" s="108">
        <f>IF(N33=CP,"",N33+0.05)</f>
        <v>0.70000000000000007</v>
      </c>
      <c r="P33" s="108" t="str">
        <f>IF(M37,IF(N33=CP,CP,CONCATENATE("Enter values for Cp =",N33," &amp; ",O33)),"")</f>
        <v/>
      </c>
    </row>
    <row r="34" spans="11:16" x14ac:dyDescent="0.25">
      <c r="K34" s="149" t="s">
        <v>185</v>
      </c>
      <c r="M34" s="108"/>
      <c r="N34" s="108">
        <f>(ROUNDDOWN(CP,2))</f>
        <v>0.65</v>
      </c>
      <c r="O34" s="108">
        <f>IF(N34=CP,"",ROUNDUP(CP,2))</f>
        <v>0.66</v>
      </c>
      <c r="P34" s="108" t="str">
        <f>IF(M37,IF(N34=CP,CP,CONCATENATE("Enter values for Cp =",N34," &amp; ",O34)),"")</f>
        <v/>
      </c>
    </row>
    <row r="35" spans="11:16" x14ac:dyDescent="0.25">
      <c r="M35" s="108"/>
      <c r="N35" s="108">
        <f>L27</f>
        <v>0.65</v>
      </c>
      <c r="O35" s="108">
        <f>M27</f>
        <v>0.70000000000000007</v>
      </c>
      <c r="P35" s="108">
        <f>CP</f>
        <v>0.65669661997474527</v>
      </c>
    </row>
    <row r="36" spans="11:16" x14ac:dyDescent="0.25">
      <c r="M36" s="109">
        <v>4</v>
      </c>
      <c r="N36" s="108">
        <f>L28</f>
        <v>0</v>
      </c>
      <c r="O36" s="108">
        <f>M28</f>
        <v>0</v>
      </c>
      <c r="P36" s="108" t="str">
        <f>N28</f>
        <v/>
      </c>
    </row>
    <row r="37" spans="11:16" x14ac:dyDescent="0.25">
      <c r="M37" s="108" t="b">
        <f>(OR(M36='G&amp;H'!C43,M36='G&amp;H'!D43))</f>
        <v>0</v>
      </c>
      <c r="N37" s="108" t="e">
        <f>IF($M$37,N36,NA())</f>
        <v>#N/A</v>
      </c>
      <c r="O37" s="108" t="e">
        <f>IF($M$37,O36,NA())</f>
        <v>#N/A</v>
      </c>
      <c r="P37" s="108" t="e">
        <f>IF($M$37,P36,NA())</f>
        <v>#N/A</v>
      </c>
    </row>
    <row r="38" spans="11:16" x14ac:dyDescent="0.25">
      <c r="M38" s="108">
        <f>IF('G&amp;H'!C43='4.0'!$M$36,1,IF('G&amp;H'!D43='4.0'!$M$36,2,3))</f>
        <v>3</v>
      </c>
      <c r="N38" s="108">
        <v>0.15</v>
      </c>
      <c r="O38" s="108">
        <f>'G&amp;H'!Fn</f>
        <v>0.19417693517095749</v>
      </c>
      <c r="P38" s="108">
        <f>O38</f>
        <v>0.19417693517095749</v>
      </c>
    </row>
    <row r="39" spans="11:16" x14ac:dyDescent="0.25">
      <c r="M39" s="108"/>
      <c r="N39" s="108"/>
      <c r="O39" s="108">
        <v>0</v>
      </c>
      <c r="P39" s="108" t="e">
        <f>IF(M37,12,NA())</f>
        <v>#N/A</v>
      </c>
    </row>
  </sheetData>
  <sheetProtection password="CB5D" sheet="1" objects="1" scenarios="1"/>
  <conditionalFormatting sqref="L24 K27:N29">
    <cfRule type="expression" dxfId="12" priority="2">
      <formula>NOT($M$37)</formula>
    </cfRule>
  </conditionalFormatting>
  <hyperlinks>
    <hyperlink ref="K33" location="'G&amp;H'!C43:E44" tooltip="Go back to table (G&amp;H tab)" display="Go back to table"/>
    <hyperlink ref="K34" location="Results!A1" tooltip="Go to results tab" display="Go to results tab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List Box 1">
              <controlPr defaultSize="0" autoLine="0" autoPict="0">
                <anchor moveWithCells="1">
                  <from>
                    <xdr:col>11</xdr:col>
                    <xdr:colOff>0</xdr:colOff>
                    <xdr:row>24</xdr:row>
                    <xdr:rowOff>0</xdr:rowOff>
                  </from>
                  <to>
                    <xdr:col>14</xdr:col>
                    <xdr:colOff>361950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Button6_Click" altText="Submit">
                <anchor moveWithCells="1" sizeWithCells="1">
                  <from>
                    <xdr:col>12</xdr:col>
                    <xdr:colOff>514350</xdr:colOff>
                    <xdr:row>28</xdr:row>
                    <xdr:rowOff>133350</xdr:rowOff>
                  </from>
                  <to>
                    <xdr:col>14</xdr:col>
                    <xdr:colOff>19050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Button1_Click">
                <anchor moveWithCells="1" sizeWithCells="1">
                  <from>
                    <xdr:col>11</xdr:col>
                    <xdr:colOff>28575</xdr:colOff>
                    <xdr:row>21</xdr:row>
                    <xdr:rowOff>0</xdr:rowOff>
                  </from>
                  <to>
                    <xdr:col>12</xdr:col>
                    <xdr:colOff>66675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Button2_Click">
                <anchor moveWithCells="1" sizeWithCells="1">
                  <from>
                    <xdr:col>12</xdr:col>
                    <xdr:colOff>228600</xdr:colOff>
                    <xdr:row>21</xdr:row>
                    <xdr:rowOff>0</xdr:rowOff>
                  </from>
                  <to>
                    <xdr:col>13</xdr:col>
                    <xdr:colOff>276225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_xludf.Clear">
                <anchor moveWithCells="1" sizeWithCells="1">
                  <from>
                    <xdr:col>11</xdr:col>
                    <xdr:colOff>419100</xdr:colOff>
                    <xdr:row>28</xdr:row>
                    <xdr:rowOff>142875</xdr:rowOff>
                  </from>
                  <to>
                    <xdr:col>12</xdr:col>
                    <xdr:colOff>438150</xdr:colOff>
                    <xdr:row>30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K21:P39"/>
  <sheetViews>
    <sheetView showGridLines="0" showRowColHeaders="0" topLeftCell="A6" zoomScaleNormal="100" workbookViewId="0">
      <selection activeCell="K31" sqref="K31:L34"/>
    </sheetView>
  </sheetViews>
  <sheetFormatPr defaultRowHeight="15" x14ac:dyDescent="0.25"/>
  <cols>
    <col min="1" max="9" width="9.140625" style="105"/>
    <col min="10" max="10" width="9.140625" style="105" customWidth="1"/>
    <col min="11" max="14" width="7.7109375" style="105" customWidth="1"/>
    <col min="15" max="16384" width="9.140625" style="105"/>
  </cols>
  <sheetData>
    <row r="21" spans="11:14" x14ac:dyDescent="0.25">
      <c r="N21" s="105" t="str">
        <f>IF(ISNUMBER(#REF!),submitCr1(#REF!),"")</f>
        <v/>
      </c>
    </row>
    <row r="22" spans="11:14" x14ac:dyDescent="0.25">
      <c r="L22" s="106"/>
      <c r="N22" s="105" t="str">
        <f>IF(ISNUMBER(#REF!),submitCr2(#REF!),"")</f>
        <v/>
      </c>
    </row>
    <row r="24" spans="11:14" x14ac:dyDescent="0.25">
      <c r="L24" s="110" t="s">
        <v>180</v>
      </c>
    </row>
    <row r="27" spans="11:14" x14ac:dyDescent="0.25">
      <c r="K27" s="111" t="s">
        <v>84</v>
      </c>
      <c r="L27" s="112">
        <f>CHOOSE(Tools1!$N$9,N33,N34)</f>
        <v>0.65</v>
      </c>
      <c r="M27" s="113">
        <f>IF(L27=CP,"",CHOOSE(Tools1!$N$9,O33,O34))</f>
        <v>0.70000000000000007</v>
      </c>
      <c r="N27" s="115">
        <f>CP</f>
        <v>0.65669661997474527</v>
      </c>
    </row>
    <row r="28" spans="11:14" x14ac:dyDescent="0.25">
      <c r="K28" s="116" t="s">
        <v>144</v>
      </c>
      <c r="L28" s="118"/>
      <c r="M28" s="114"/>
      <c r="N28" s="117" t="str">
        <f>IF(L27=CP,L28,IF(AND(ISNUMBER(L28),ISNUMBER(M28)),FORECAST(CP,N36:O36,N35:O35),""))</f>
        <v/>
      </c>
    </row>
    <row r="29" spans="11:14" x14ac:dyDescent="0.25">
      <c r="L29" s="107" t="s">
        <v>145</v>
      </c>
      <c r="M29" s="107" t="s">
        <v>145</v>
      </c>
    </row>
    <row r="31" spans="11:14" ht="17.25" x14ac:dyDescent="0.25">
      <c r="K31" s="105" t="s">
        <v>66</v>
      </c>
      <c r="L31" s="150">
        <f>M36</f>
        <v>4.5</v>
      </c>
    </row>
    <row r="33" spans="11:16" x14ac:dyDescent="0.25">
      <c r="K33" s="149" t="s">
        <v>186</v>
      </c>
      <c r="M33" s="108"/>
      <c r="N33" s="108">
        <f>IF(CP&lt;0.5,0.5,IF(CP&gt;0.8,0.8,IF(CP-ROUNDDOWN(CP,1)&lt;0.05,ROUNDDOWN(CP,1),IF(CP-ROUNDDOWN(CP,1)&gt;=0.05,ROUNDDOWN(CP,1)+0.05,"  "))))</f>
        <v>0.65</v>
      </c>
      <c r="O33" s="108">
        <f>IF(N33=CP,"",N33+0.05)</f>
        <v>0.70000000000000007</v>
      </c>
      <c r="P33" s="108" t="str">
        <f>IF(M37,IF(N33=CP,CP,CONCATENATE("Enter values for Cp =",N33," &amp; ",O33)),"")</f>
        <v/>
      </c>
    </row>
    <row r="34" spans="11:16" x14ac:dyDescent="0.25">
      <c r="K34" s="149" t="s">
        <v>185</v>
      </c>
      <c r="M34" s="108"/>
      <c r="N34" s="108">
        <f>(ROUNDDOWN(CP,2))</f>
        <v>0.65</v>
      </c>
      <c r="O34" s="108">
        <f>IF(N34=CP,"",ROUNDUP(CP,2))</f>
        <v>0.66</v>
      </c>
      <c r="P34" s="108" t="str">
        <f>IF(M37,IF(N34=CP,CP,CONCATENATE("Enter values for Cp =",N34," &amp; ",O34)),"")</f>
        <v/>
      </c>
    </row>
    <row r="35" spans="11:16" x14ac:dyDescent="0.25">
      <c r="M35" s="108"/>
      <c r="N35" s="108">
        <f>L27</f>
        <v>0.65</v>
      </c>
      <c r="O35" s="108">
        <f>M27</f>
        <v>0.70000000000000007</v>
      </c>
      <c r="P35" s="108">
        <f>CP</f>
        <v>0.65669661997474527</v>
      </c>
    </row>
    <row r="36" spans="11:16" x14ac:dyDescent="0.25">
      <c r="M36" s="109">
        <v>4.5</v>
      </c>
      <c r="N36" s="108">
        <f>L28</f>
        <v>0</v>
      </c>
      <c r="O36" s="108">
        <f>M28</f>
        <v>0</v>
      </c>
      <c r="P36" s="108" t="str">
        <f>N28</f>
        <v/>
      </c>
    </row>
    <row r="37" spans="11:16" x14ac:dyDescent="0.25">
      <c r="M37" s="108" t="b">
        <f>(OR(M36='G&amp;H'!C43,M36='G&amp;H'!D43))</f>
        <v>0</v>
      </c>
      <c r="N37" s="108" t="e">
        <f>IF($M$37,N36,NA())</f>
        <v>#N/A</v>
      </c>
      <c r="O37" s="108" t="e">
        <f>IF($M$37,O36,NA())</f>
        <v>#N/A</v>
      </c>
      <c r="P37" s="108" t="e">
        <f>IF($M$37,P36,NA())</f>
        <v>#N/A</v>
      </c>
    </row>
    <row r="38" spans="11:16" x14ac:dyDescent="0.25">
      <c r="M38" s="108">
        <f>IF('G&amp;H'!C43='4.5'!$M$36,1,IF('G&amp;H'!D43='4.5'!$M$36,2,3))</f>
        <v>3</v>
      </c>
      <c r="N38" s="108">
        <v>0.15</v>
      </c>
      <c r="O38" s="108">
        <f>'G&amp;H'!Fn</f>
        <v>0.19417693517095749</v>
      </c>
      <c r="P38" s="108">
        <f>O38</f>
        <v>0.19417693517095749</v>
      </c>
    </row>
    <row r="39" spans="11:16" x14ac:dyDescent="0.25">
      <c r="M39" s="108"/>
      <c r="N39" s="108"/>
      <c r="O39" s="108">
        <v>0</v>
      </c>
      <c r="P39" s="108" t="e">
        <f>IF(M37,12,NA())</f>
        <v>#N/A</v>
      </c>
    </row>
  </sheetData>
  <sheetProtection password="CB5D" sheet="1" objects="1" scenarios="1"/>
  <conditionalFormatting sqref="L24 K27:N29">
    <cfRule type="expression" dxfId="11" priority="1">
      <formula>NOT($M$37)</formula>
    </cfRule>
  </conditionalFormatting>
  <hyperlinks>
    <hyperlink ref="K33" location="'G&amp;H'!C43:E44" tooltip="Go back to table (G&amp;H tab)" display="Go back to table"/>
    <hyperlink ref="K34" location="Results!A1" tooltip="Go to results tab" display="Go to results tab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List Box 1">
              <controlPr defaultSize="0" autoLine="0" autoPict="0">
                <anchor moveWithCells="1">
                  <from>
                    <xdr:col>11</xdr:col>
                    <xdr:colOff>0</xdr:colOff>
                    <xdr:row>24</xdr:row>
                    <xdr:rowOff>0</xdr:rowOff>
                  </from>
                  <to>
                    <xdr:col>14</xdr:col>
                    <xdr:colOff>361950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Button6_Click" altText="Submit">
                <anchor moveWithCells="1" sizeWithCells="1">
                  <from>
                    <xdr:col>13</xdr:col>
                    <xdr:colOff>0</xdr:colOff>
                    <xdr:row>28</xdr:row>
                    <xdr:rowOff>133350</xdr:rowOff>
                  </from>
                  <to>
                    <xdr:col>14</xdr:col>
                    <xdr:colOff>19050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Button1_Click">
                <anchor moveWithCells="1" sizeWithCells="1">
                  <from>
                    <xdr:col>11</xdr:col>
                    <xdr:colOff>28575</xdr:colOff>
                    <xdr:row>21</xdr:row>
                    <xdr:rowOff>0</xdr:rowOff>
                  </from>
                  <to>
                    <xdr:col>12</xdr:col>
                    <xdr:colOff>66675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Button2_Click">
                <anchor moveWithCells="1" sizeWithCells="1">
                  <from>
                    <xdr:col>12</xdr:col>
                    <xdr:colOff>228600</xdr:colOff>
                    <xdr:row>21</xdr:row>
                    <xdr:rowOff>0</xdr:rowOff>
                  </from>
                  <to>
                    <xdr:col>13</xdr:col>
                    <xdr:colOff>276225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_xludf.Clear">
                <anchor moveWithCells="1" sizeWithCells="1">
                  <from>
                    <xdr:col>11</xdr:col>
                    <xdr:colOff>419100</xdr:colOff>
                    <xdr:row>28</xdr:row>
                    <xdr:rowOff>142875</xdr:rowOff>
                  </from>
                  <to>
                    <xdr:col>12</xdr:col>
                    <xdr:colOff>438150</xdr:colOff>
                    <xdr:row>30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K21:P39"/>
  <sheetViews>
    <sheetView showGridLines="0" showRowColHeaders="0" topLeftCell="A7" zoomScale="85" zoomScaleNormal="85" workbookViewId="0">
      <selection activeCell="K31" sqref="K31:L34"/>
    </sheetView>
  </sheetViews>
  <sheetFormatPr defaultRowHeight="15" x14ac:dyDescent="0.25"/>
  <cols>
    <col min="1" max="9" width="9.140625" style="105"/>
    <col min="10" max="10" width="9.140625" style="105" customWidth="1"/>
    <col min="11" max="14" width="7.7109375" style="105" customWidth="1"/>
    <col min="15" max="16384" width="9.140625" style="105"/>
  </cols>
  <sheetData>
    <row r="21" spans="11:14" x14ac:dyDescent="0.25">
      <c r="N21" s="105" t="str">
        <f>IF(ISNUMBER(#REF!),submitCr1(#REF!),"")</f>
        <v/>
      </c>
    </row>
    <row r="22" spans="11:14" x14ac:dyDescent="0.25">
      <c r="L22" s="106"/>
      <c r="N22" s="105" t="str">
        <f>IF(ISNUMBER(#REF!),submitCr2(#REF!),"")</f>
        <v/>
      </c>
    </row>
    <row r="24" spans="11:14" x14ac:dyDescent="0.25">
      <c r="L24" s="110" t="s">
        <v>180</v>
      </c>
    </row>
    <row r="27" spans="11:14" x14ac:dyDescent="0.25">
      <c r="K27" s="111" t="s">
        <v>84</v>
      </c>
      <c r="L27" s="112">
        <f>CHOOSE(Tools1!$N$9,N33,N34)</f>
        <v>0.65</v>
      </c>
      <c r="M27" s="113">
        <f>IF(L27=CP,"",CHOOSE(Tools1!$N$9,O33,O34))</f>
        <v>0.70000000000000007</v>
      </c>
      <c r="N27" s="115">
        <f>CP</f>
        <v>0.65669661997474527</v>
      </c>
    </row>
    <row r="28" spans="11:14" x14ac:dyDescent="0.25">
      <c r="K28" s="116" t="s">
        <v>144</v>
      </c>
      <c r="L28" s="118"/>
      <c r="M28" s="114"/>
      <c r="N28" s="117" t="str">
        <f>IF(L27=CP,L28,IF(AND(ISNUMBER(L28),ISNUMBER(M28)),FORECAST(CP,N36:O36,N35:O35),""))</f>
        <v/>
      </c>
    </row>
    <row r="29" spans="11:14" x14ac:dyDescent="0.25">
      <c r="L29" s="107" t="s">
        <v>145</v>
      </c>
      <c r="M29" s="107" t="s">
        <v>145</v>
      </c>
    </row>
    <row r="31" spans="11:14" ht="17.25" x14ac:dyDescent="0.25">
      <c r="K31" s="105" t="s">
        <v>66</v>
      </c>
      <c r="L31" s="150">
        <f>M36</f>
        <v>5</v>
      </c>
    </row>
    <row r="33" spans="11:16" x14ac:dyDescent="0.25">
      <c r="K33" s="149" t="s">
        <v>186</v>
      </c>
      <c r="M33" s="108"/>
      <c r="N33" s="108">
        <f>IF(CP&lt;0.5,0.5,IF(CP&gt;0.8,0.8,IF(CP-ROUNDDOWN(CP,1)&lt;0.05,ROUNDDOWN(CP,1),IF(CP-ROUNDDOWN(CP,1)&gt;=0.05,ROUNDDOWN(CP,1)+0.05,"  "))))</f>
        <v>0.65</v>
      </c>
      <c r="O33" s="108">
        <f>IF(N33=CP,"",N33+0.05)</f>
        <v>0.70000000000000007</v>
      </c>
      <c r="P33" s="108" t="str">
        <f>IF(M37,IF(N33=CP,CP,CONCATENATE("Enter values for Cp =",N33," &amp; ",O33)),"")</f>
        <v/>
      </c>
    </row>
    <row r="34" spans="11:16" x14ac:dyDescent="0.25">
      <c r="K34" s="149" t="s">
        <v>185</v>
      </c>
      <c r="M34" s="108"/>
      <c r="N34" s="108">
        <f>(ROUNDDOWN(CP,2))</f>
        <v>0.65</v>
      </c>
      <c r="O34" s="108">
        <f>IF(N34=CP,"",ROUNDUP(CP,2))</f>
        <v>0.66</v>
      </c>
      <c r="P34" s="108" t="str">
        <f>IF(M37,IF(N34=CP,CP,CONCATENATE("Enter values for Cp =",N34," &amp; ",O34)),"")</f>
        <v/>
      </c>
    </row>
    <row r="35" spans="11:16" x14ac:dyDescent="0.25">
      <c r="M35" s="108"/>
      <c r="N35" s="108">
        <f>L27</f>
        <v>0.65</v>
      </c>
      <c r="O35" s="108">
        <f>M27</f>
        <v>0.70000000000000007</v>
      </c>
      <c r="P35" s="108">
        <f>CP</f>
        <v>0.65669661997474527</v>
      </c>
    </row>
    <row r="36" spans="11:16" x14ac:dyDescent="0.25">
      <c r="M36" s="109">
        <v>5</v>
      </c>
      <c r="N36" s="108">
        <f>L28</f>
        <v>0</v>
      </c>
      <c r="O36" s="108">
        <f>M28</f>
        <v>0</v>
      </c>
      <c r="P36" s="108" t="str">
        <f>N28</f>
        <v/>
      </c>
    </row>
    <row r="37" spans="11:16" x14ac:dyDescent="0.25">
      <c r="M37" s="108" t="b">
        <f>(OR(M36='G&amp;H'!C43,M36='G&amp;H'!D43))</f>
        <v>0</v>
      </c>
      <c r="N37" s="108" t="e">
        <f>IF($M$37,N36,NA())</f>
        <v>#N/A</v>
      </c>
      <c r="O37" s="108" t="e">
        <f>IF($M$37,O36,NA())</f>
        <v>#N/A</v>
      </c>
      <c r="P37" s="108" t="e">
        <f>IF($M$37,P36,NA())</f>
        <v>#N/A</v>
      </c>
    </row>
    <row r="38" spans="11:16" x14ac:dyDescent="0.25">
      <c r="M38" s="108">
        <f>IF('G&amp;H'!C43='5.0'!$M$36,1,IF('G&amp;H'!D43='5.0'!$M$36,2,3))</f>
        <v>3</v>
      </c>
      <c r="N38" s="108">
        <v>0.15</v>
      </c>
      <c r="O38" s="108">
        <f>'G&amp;H'!Fn</f>
        <v>0.19417693517095749</v>
      </c>
      <c r="P38" s="108">
        <f>O38</f>
        <v>0.19417693517095749</v>
      </c>
    </row>
    <row r="39" spans="11:16" x14ac:dyDescent="0.25">
      <c r="M39" s="108"/>
      <c r="N39" s="108"/>
      <c r="O39" s="108">
        <v>0</v>
      </c>
      <c r="P39" s="108" t="e">
        <f>IF(M37,12,NA())</f>
        <v>#N/A</v>
      </c>
    </row>
  </sheetData>
  <sheetProtection password="CB5D" sheet="1" objects="1" scenarios="1"/>
  <conditionalFormatting sqref="L24 K27:N29">
    <cfRule type="expression" dxfId="10" priority="1">
      <formula>NOT($M$37)</formula>
    </cfRule>
  </conditionalFormatting>
  <hyperlinks>
    <hyperlink ref="K33" location="'G&amp;H'!C43:E44" tooltip="Go back to table (G&amp;H tab)" display="Go back to table"/>
    <hyperlink ref="K34" location="Results!A1" tooltip="Go to results tab" display="Go to results tab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List Box 1">
              <controlPr defaultSize="0" autoLine="0" autoPict="0">
                <anchor moveWithCells="1">
                  <from>
                    <xdr:col>11</xdr:col>
                    <xdr:colOff>0</xdr:colOff>
                    <xdr:row>24</xdr:row>
                    <xdr:rowOff>0</xdr:rowOff>
                  </from>
                  <to>
                    <xdr:col>14</xdr:col>
                    <xdr:colOff>361950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Button6_Click" altText="Submit">
                <anchor moveWithCells="1" sizeWithCells="1">
                  <from>
                    <xdr:col>13</xdr:col>
                    <xdr:colOff>0</xdr:colOff>
                    <xdr:row>28</xdr:row>
                    <xdr:rowOff>133350</xdr:rowOff>
                  </from>
                  <to>
                    <xdr:col>14</xdr:col>
                    <xdr:colOff>19050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Button1_Click">
                <anchor moveWithCells="1" sizeWithCells="1">
                  <from>
                    <xdr:col>11</xdr:col>
                    <xdr:colOff>28575</xdr:colOff>
                    <xdr:row>21</xdr:row>
                    <xdr:rowOff>0</xdr:rowOff>
                  </from>
                  <to>
                    <xdr:col>12</xdr:col>
                    <xdr:colOff>66675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Button2_Click">
                <anchor moveWithCells="1" sizeWithCells="1">
                  <from>
                    <xdr:col>12</xdr:col>
                    <xdr:colOff>228600</xdr:colOff>
                    <xdr:row>21</xdr:row>
                    <xdr:rowOff>0</xdr:rowOff>
                  </from>
                  <to>
                    <xdr:col>13</xdr:col>
                    <xdr:colOff>276225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_xludf.Clear">
                <anchor moveWithCells="1" sizeWithCells="1">
                  <from>
                    <xdr:col>11</xdr:col>
                    <xdr:colOff>419100</xdr:colOff>
                    <xdr:row>28</xdr:row>
                    <xdr:rowOff>142875</xdr:rowOff>
                  </from>
                  <to>
                    <xdr:col>12</xdr:col>
                    <xdr:colOff>438150</xdr:colOff>
                    <xdr:row>30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K21:P39"/>
  <sheetViews>
    <sheetView showGridLines="0" showRowColHeaders="0" topLeftCell="A7" zoomScale="85" zoomScaleNormal="85" workbookViewId="0">
      <selection activeCell="K31" sqref="K31:L34"/>
    </sheetView>
  </sheetViews>
  <sheetFormatPr defaultRowHeight="15" x14ac:dyDescent="0.25"/>
  <cols>
    <col min="1" max="9" width="9.140625" style="105"/>
    <col min="10" max="10" width="9.140625" style="105" customWidth="1"/>
    <col min="11" max="14" width="7.7109375" style="105" customWidth="1"/>
    <col min="15" max="16384" width="9.140625" style="105"/>
  </cols>
  <sheetData>
    <row r="21" spans="11:14" x14ac:dyDescent="0.25">
      <c r="N21" s="105" t="str">
        <f>IF(ISNUMBER(#REF!),submitCr1(#REF!),"")</f>
        <v/>
      </c>
    </row>
    <row r="22" spans="11:14" x14ac:dyDescent="0.25">
      <c r="L22" s="106"/>
      <c r="N22" s="105" t="str">
        <f>IF(ISNUMBER(#REF!),submitCr2(#REF!),"")</f>
        <v/>
      </c>
    </row>
    <row r="24" spans="11:14" x14ac:dyDescent="0.25">
      <c r="L24" s="110" t="s">
        <v>180</v>
      </c>
    </row>
    <row r="27" spans="11:14" x14ac:dyDescent="0.25">
      <c r="K27" s="111" t="s">
        <v>84</v>
      </c>
      <c r="L27" s="112">
        <f>CHOOSE(Tools1!$N$9,N33,N34)</f>
        <v>0.65</v>
      </c>
      <c r="M27" s="113">
        <f>IF(L27=CP,"",CHOOSE(Tools1!$N$9,O33,O34))</f>
        <v>0.70000000000000007</v>
      </c>
      <c r="N27" s="115">
        <f>CP</f>
        <v>0.65669661997474527</v>
      </c>
    </row>
    <row r="28" spans="11:14" x14ac:dyDescent="0.25">
      <c r="K28" s="116" t="s">
        <v>144</v>
      </c>
      <c r="L28" s="118"/>
      <c r="M28" s="114"/>
      <c r="N28" s="117" t="str">
        <f>IF(L27=CP,L28,IF(AND(ISNUMBER(L28),ISNUMBER(M28)),FORECAST(CP,N36:O36,N35:O35),""))</f>
        <v/>
      </c>
    </row>
    <row r="29" spans="11:14" x14ac:dyDescent="0.25">
      <c r="L29" s="107" t="s">
        <v>145</v>
      </c>
      <c r="M29" s="107" t="s">
        <v>145</v>
      </c>
    </row>
    <row r="31" spans="11:14" ht="17.25" x14ac:dyDescent="0.25">
      <c r="K31" s="105" t="s">
        <v>66</v>
      </c>
      <c r="L31" s="150">
        <f>M36</f>
        <v>5.5</v>
      </c>
    </row>
    <row r="33" spans="11:16" x14ac:dyDescent="0.25">
      <c r="K33" s="149" t="s">
        <v>186</v>
      </c>
      <c r="M33" s="108"/>
      <c r="N33" s="108">
        <f>IF(CP&lt;0.5,0.5,IF(CP&gt;0.8,0.8,IF(CP-ROUNDDOWN(CP,1)&lt;0.05,ROUNDDOWN(CP,1),IF(CP-ROUNDDOWN(CP,1)&gt;=0.05,ROUNDDOWN(CP,1)+0.05,"  "))))</f>
        <v>0.65</v>
      </c>
      <c r="O33" s="108">
        <f>IF(N33=CP,"",N33+0.05)</f>
        <v>0.70000000000000007</v>
      </c>
      <c r="P33" s="108" t="str">
        <f>IF(M37,IF(N33=CP,CP,CONCATENATE("Enter values for Cp =",N33," &amp; ",O33)),"")</f>
        <v/>
      </c>
    </row>
    <row r="34" spans="11:16" x14ac:dyDescent="0.25">
      <c r="K34" s="149" t="s">
        <v>185</v>
      </c>
      <c r="M34" s="108"/>
      <c r="N34" s="108">
        <f>(ROUNDDOWN(CP,2))</f>
        <v>0.65</v>
      </c>
      <c r="O34" s="108">
        <f>IF(N34=CP,"",ROUNDUP(CP,2))</f>
        <v>0.66</v>
      </c>
      <c r="P34" s="108" t="str">
        <f>IF(M37,IF(N34=CP,CP,CONCATENATE("Enter values for Cp =",N34," &amp; ",O34)),"")</f>
        <v/>
      </c>
    </row>
    <row r="35" spans="11:16" x14ac:dyDescent="0.25">
      <c r="M35" s="108"/>
      <c r="N35" s="108">
        <f>L27</f>
        <v>0.65</v>
      </c>
      <c r="O35" s="108">
        <f>M27</f>
        <v>0.70000000000000007</v>
      </c>
      <c r="P35" s="108">
        <f>CP</f>
        <v>0.65669661997474527</v>
      </c>
    </row>
    <row r="36" spans="11:16" x14ac:dyDescent="0.25">
      <c r="M36" s="109">
        <v>5.5</v>
      </c>
      <c r="N36" s="108">
        <f>L28</f>
        <v>0</v>
      </c>
      <c r="O36" s="108">
        <f>M28</f>
        <v>0</v>
      </c>
      <c r="P36" s="108" t="str">
        <f>N28</f>
        <v/>
      </c>
    </row>
    <row r="37" spans="11:16" x14ac:dyDescent="0.25">
      <c r="M37" s="108" t="b">
        <f>(OR(M36='G&amp;H'!C43,M36='G&amp;H'!D43))</f>
        <v>0</v>
      </c>
      <c r="N37" s="108" t="e">
        <f>IF($M$37,N36,NA())</f>
        <v>#N/A</v>
      </c>
      <c r="O37" s="108" t="e">
        <f>IF($M$37,O36,NA())</f>
        <v>#N/A</v>
      </c>
      <c r="P37" s="108" t="e">
        <f>IF($M$37,P36,NA())</f>
        <v>#N/A</v>
      </c>
    </row>
    <row r="38" spans="11:16" x14ac:dyDescent="0.25">
      <c r="M38" s="108">
        <f>IF('G&amp;H'!C43='5.5'!$M$36,1,IF('G&amp;H'!D43='5.5'!$M$36,2,3))</f>
        <v>3</v>
      </c>
      <c r="N38" s="108">
        <v>0.15</v>
      </c>
      <c r="O38" s="108">
        <f>'G&amp;H'!Fn</f>
        <v>0.19417693517095749</v>
      </c>
      <c r="P38" s="108">
        <f>O38</f>
        <v>0.19417693517095749</v>
      </c>
    </row>
    <row r="39" spans="11:16" x14ac:dyDescent="0.25">
      <c r="M39" s="108"/>
      <c r="N39" s="108"/>
      <c r="O39" s="108">
        <v>0</v>
      </c>
      <c r="P39" s="108" t="e">
        <f>IF(M37,12,NA())</f>
        <v>#N/A</v>
      </c>
    </row>
  </sheetData>
  <sheetProtection password="CB5D" sheet="1" objects="1" scenarios="1"/>
  <conditionalFormatting sqref="L24 K27:N29">
    <cfRule type="expression" dxfId="9" priority="1">
      <formula>NOT($M$37)</formula>
    </cfRule>
  </conditionalFormatting>
  <hyperlinks>
    <hyperlink ref="K33" location="'G&amp;H'!C43:E44" tooltip="Go back to table (G&amp;H tab)" display="Go back to table"/>
    <hyperlink ref="K34" location="Results!A1" tooltip="Go to results tab" display="Go to results tab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List Box 1">
              <controlPr defaultSize="0" autoLine="0" autoPict="0">
                <anchor moveWithCells="1">
                  <from>
                    <xdr:col>11</xdr:col>
                    <xdr:colOff>0</xdr:colOff>
                    <xdr:row>24</xdr:row>
                    <xdr:rowOff>0</xdr:rowOff>
                  </from>
                  <to>
                    <xdr:col>14</xdr:col>
                    <xdr:colOff>361950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Button6_Click" altText="Submit">
                <anchor moveWithCells="1" sizeWithCells="1">
                  <from>
                    <xdr:col>13</xdr:col>
                    <xdr:colOff>0</xdr:colOff>
                    <xdr:row>28</xdr:row>
                    <xdr:rowOff>133350</xdr:rowOff>
                  </from>
                  <to>
                    <xdr:col>14</xdr:col>
                    <xdr:colOff>19050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Button 3">
              <controlPr defaultSize="0" print="0" autoFill="0" autoPict="0" macro="[0]!Button1_Click">
                <anchor moveWithCells="1" sizeWithCells="1">
                  <from>
                    <xdr:col>11</xdr:col>
                    <xdr:colOff>28575</xdr:colOff>
                    <xdr:row>21</xdr:row>
                    <xdr:rowOff>0</xdr:rowOff>
                  </from>
                  <to>
                    <xdr:col>12</xdr:col>
                    <xdr:colOff>66675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Button 4">
              <controlPr defaultSize="0" print="0" autoFill="0" autoPict="0" macro="[0]!Button2_Click">
                <anchor moveWithCells="1" sizeWithCells="1">
                  <from>
                    <xdr:col>12</xdr:col>
                    <xdr:colOff>228600</xdr:colOff>
                    <xdr:row>21</xdr:row>
                    <xdr:rowOff>0</xdr:rowOff>
                  </from>
                  <to>
                    <xdr:col>13</xdr:col>
                    <xdr:colOff>276225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Button 5">
              <controlPr defaultSize="0" print="0" autoFill="0" autoPict="0" macro="[0]!_xludf.Clear">
                <anchor moveWithCells="1" sizeWithCells="1">
                  <from>
                    <xdr:col>11</xdr:col>
                    <xdr:colOff>419100</xdr:colOff>
                    <xdr:row>28</xdr:row>
                    <xdr:rowOff>142875</xdr:rowOff>
                  </from>
                  <to>
                    <xdr:col>12</xdr:col>
                    <xdr:colOff>438150</xdr:colOff>
                    <xdr:row>30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I4:P39"/>
  <sheetViews>
    <sheetView showGridLines="0" showRowColHeaders="0" topLeftCell="A18" zoomScale="145" zoomScaleNormal="145" workbookViewId="0">
      <selection activeCell="L28" sqref="L28"/>
    </sheetView>
  </sheetViews>
  <sheetFormatPr defaultRowHeight="15" x14ac:dyDescent="0.25"/>
  <cols>
    <col min="1" max="9" width="9.140625" style="105"/>
    <col min="10" max="10" width="9.140625" style="105" customWidth="1"/>
    <col min="11" max="14" width="7.7109375" style="105" customWidth="1"/>
    <col min="15" max="16384" width="9.140625" style="105"/>
  </cols>
  <sheetData>
    <row r="4" spans="9:9" x14ac:dyDescent="0.25">
      <c r="I4" s="105">
        <v>15</v>
      </c>
    </row>
    <row r="21" spans="11:14" x14ac:dyDescent="0.25">
      <c r="N21" s="105" t="str">
        <f>IF(ISNUMBER(#REF!),submitCr1(#REF!),"")</f>
        <v/>
      </c>
    </row>
    <row r="22" spans="11:14" x14ac:dyDescent="0.25">
      <c r="L22" s="106"/>
      <c r="N22" s="105" t="str">
        <f>IF(ISNUMBER(#REF!),submitCr2(#REF!),"")</f>
        <v/>
      </c>
    </row>
    <row r="24" spans="11:14" x14ac:dyDescent="0.25">
      <c r="L24" s="110" t="s">
        <v>180</v>
      </c>
    </row>
    <row r="27" spans="11:14" x14ac:dyDescent="0.25">
      <c r="K27" s="111" t="s">
        <v>84</v>
      </c>
      <c r="L27" s="112">
        <f>CHOOSE(Tools1!$N$9,N33,N34)</f>
        <v>0.65</v>
      </c>
      <c r="M27" s="113">
        <f>IF(L27=CP,"",CHOOSE(Tools1!$N$9,O33,O34))</f>
        <v>0.70000000000000007</v>
      </c>
      <c r="N27" s="115">
        <f>CP</f>
        <v>0.65669661997474527</v>
      </c>
    </row>
    <row r="28" spans="11:14" x14ac:dyDescent="0.25">
      <c r="K28" s="116" t="s">
        <v>144</v>
      </c>
      <c r="L28" s="118">
        <v>0.54</v>
      </c>
      <c r="M28" s="114">
        <v>0.62</v>
      </c>
      <c r="N28" s="117">
        <f>IF(L27=CP,L28,IF(AND(ISNUMBER(L28),ISNUMBER(M28)),FORECAST(CP,N36:O36,N35:O35),""))</f>
        <v>0.55071459195959238</v>
      </c>
    </row>
    <row r="29" spans="11:14" x14ac:dyDescent="0.25">
      <c r="L29" s="107" t="s">
        <v>145</v>
      </c>
      <c r="M29" s="107" t="s">
        <v>145</v>
      </c>
    </row>
    <row r="31" spans="11:14" ht="17.25" x14ac:dyDescent="0.25">
      <c r="K31" s="105" t="s">
        <v>66</v>
      </c>
      <c r="L31" s="148">
        <f>M36</f>
        <v>6</v>
      </c>
    </row>
    <row r="33" spans="11:16" x14ac:dyDescent="0.25">
      <c r="K33" s="149" t="s">
        <v>186</v>
      </c>
      <c r="M33" s="108"/>
      <c r="N33" s="108">
        <f>IF(CP&lt;0.5,0.5,IF(CP&gt;0.8,0.8,IF(CP-ROUNDDOWN(CP,1)&lt;0.05,ROUNDDOWN(CP,1),IF(CP-ROUNDDOWN(CP,1)&gt;=0.05,ROUNDDOWN(CP,1)+0.05,"  "))))</f>
        <v>0.65</v>
      </c>
      <c r="O33" s="108">
        <f>IF(N33=CP,"",N33+0.05)</f>
        <v>0.70000000000000007</v>
      </c>
      <c r="P33" s="108" t="str">
        <f>IF(M37,IF(N33=CP,CP,CONCATENATE("Enter values for Cp =",N33," &amp; ",O33)),"")</f>
        <v>Enter values for Cp =0.65 &amp; 0.7</v>
      </c>
    </row>
    <row r="34" spans="11:16" x14ac:dyDescent="0.25">
      <c r="K34" s="149" t="s">
        <v>185</v>
      </c>
      <c r="M34" s="108"/>
      <c r="N34" s="108">
        <f>(ROUNDDOWN(CP,2))</f>
        <v>0.65</v>
      </c>
      <c r="O34" s="108">
        <f>IF(N34=CP,"",ROUNDUP(CP,2))</f>
        <v>0.66</v>
      </c>
      <c r="P34" s="108" t="str">
        <f>IF(M37,IF(N34=CP,CP,CONCATENATE("Enter values for Cp =",N34," &amp; ",O34)),"")</f>
        <v>Enter values for Cp =0.65 &amp; 0.66</v>
      </c>
    </row>
    <row r="35" spans="11:16" x14ac:dyDescent="0.25">
      <c r="M35" s="108"/>
      <c r="N35" s="108">
        <f>L27</f>
        <v>0.65</v>
      </c>
      <c r="O35" s="108">
        <f>M27</f>
        <v>0.70000000000000007</v>
      </c>
      <c r="P35" s="108">
        <f>CP</f>
        <v>0.65669661997474527</v>
      </c>
    </row>
    <row r="36" spans="11:16" x14ac:dyDescent="0.25">
      <c r="M36" s="109">
        <v>6</v>
      </c>
      <c r="N36" s="108">
        <f>L28</f>
        <v>0.54</v>
      </c>
      <c r="O36" s="108">
        <f>M28</f>
        <v>0.62</v>
      </c>
      <c r="P36" s="108">
        <f>N28</f>
        <v>0.55071459195959238</v>
      </c>
    </row>
    <row r="37" spans="11:16" x14ac:dyDescent="0.25">
      <c r="M37" s="108" t="b">
        <f>(OR(M36='G&amp;H'!C43,M36='G&amp;H'!D43))</f>
        <v>1</v>
      </c>
      <c r="N37" s="108">
        <f>IF($M$37,N36,NA())</f>
        <v>0.54</v>
      </c>
      <c r="O37" s="108">
        <f>IF($M$37,O36,NA())</f>
        <v>0.62</v>
      </c>
      <c r="P37" s="108">
        <f>IF($M$37,P36,NA())</f>
        <v>0.55071459195959238</v>
      </c>
    </row>
    <row r="38" spans="11:16" x14ac:dyDescent="0.25">
      <c r="M38" s="108">
        <f>IF('G&amp;H'!C43='6.0'!$M$36,1,IF('G&amp;H'!D43='6.0'!$M$36,2,3))</f>
        <v>1</v>
      </c>
      <c r="N38" s="108">
        <v>0.15</v>
      </c>
      <c r="O38" s="108">
        <f>'G&amp;H'!Fn</f>
        <v>0.19417693517095749</v>
      </c>
      <c r="P38" s="108">
        <f>O38</f>
        <v>0.19417693517095749</v>
      </c>
    </row>
    <row r="39" spans="11:16" x14ac:dyDescent="0.25">
      <c r="M39" s="108"/>
      <c r="N39" s="108"/>
      <c r="O39" s="108">
        <v>0</v>
      </c>
      <c r="P39" s="108">
        <f>IF(M37,12,NA())</f>
        <v>12</v>
      </c>
    </row>
  </sheetData>
  <sheetProtection password="CB5D" sheet="1" objects="1" scenarios="1"/>
  <conditionalFormatting sqref="L24 K27:N29">
    <cfRule type="expression" dxfId="8" priority="1">
      <formula>NOT($M$37)</formula>
    </cfRule>
  </conditionalFormatting>
  <hyperlinks>
    <hyperlink ref="K33" location="'G&amp;H'!C43:E44" tooltip="Go back to table (G&amp;H tab)" display="Go back to table"/>
    <hyperlink ref="K34" location="Results!A1" tooltip="Go to results tab" display="Go to results tab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List Box 1">
              <controlPr defaultSize="0" autoLine="0" autoPict="0">
                <anchor moveWithCells="1">
                  <from>
                    <xdr:col>11</xdr:col>
                    <xdr:colOff>0</xdr:colOff>
                    <xdr:row>24</xdr:row>
                    <xdr:rowOff>0</xdr:rowOff>
                  </from>
                  <to>
                    <xdr:col>14</xdr:col>
                    <xdr:colOff>361950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Button6_Click" altText="Submit">
                <anchor moveWithCells="1" sizeWithCells="1">
                  <from>
                    <xdr:col>13</xdr:col>
                    <xdr:colOff>0</xdr:colOff>
                    <xdr:row>28</xdr:row>
                    <xdr:rowOff>133350</xdr:rowOff>
                  </from>
                  <to>
                    <xdr:col>14</xdr:col>
                    <xdr:colOff>19050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Button 3">
              <controlPr defaultSize="0" print="0" autoFill="0" autoPict="0" macro="[0]!Button1_Click">
                <anchor moveWithCells="1" sizeWithCells="1">
                  <from>
                    <xdr:col>11</xdr:col>
                    <xdr:colOff>28575</xdr:colOff>
                    <xdr:row>21</xdr:row>
                    <xdr:rowOff>0</xdr:rowOff>
                  </from>
                  <to>
                    <xdr:col>12</xdr:col>
                    <xdr:colOff>66675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Button 4">
              <controlPr defaultSize="0" print="0" autoFill="0" autoPict="0" macro="[0]!Button2_Click">
                <anchor moveWithCells="1" sizeWithCells="1">
                  <from>
                    <xdr:col>12</xdr:col>
                    <xdr:colOff>228600</xdr:colOff>
                    <xdr:row>21</xdr:row>
                    <xdr:rowOff>0</xdr:rowOff>
                  </from>
                  <to>
                    <xdr:col>13</xdr:col>
                    <xdr:colOff>276225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Button 5">
              <controlPr defaultSize="0" print="0" autoFill="0" autoPict="0" macro="[0]!_xludf.Clear">
                <anchor moveWithCells="1" sizeWithCells="1">
                  <from>
                    <xdr:col>11</xdr:col>
                    <xdr:colOff>419100</xdr:colOff>
                    <xdr:row>28</xdr:row>
                    <xdr:rowOff>142875</xdr:rowOff>
                  </from>
                  <to>
                    <xdr:col>12</xdr:col>
                    <xdr:colOff>438150</xdr:colOff>
                    <xdr:row>30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K21:P39"/>
  <sheetViews>
    <sheetView showGridLines="0" showRowColHeaders="0" topLeftCell="A20" zoomScale="145" zoomScaleNormal="145" workbookViewId="0">
      <selection activeCell="N28" sqref="N28"/>
    </sheetView>
  </sheetViews>
  <sheetFormatPr defaultRowHeight="15" x14ac:dyDescent="0.25"/>
  <cols>
    <col min="1" max="9" width="9.140625" style="105"/>
    <col min="10" max="10" width="9.140625" style="105" customWidth="1"/>
    <col min="11" max="14" width="7.7109375" style="105" customWidth="1"/>
    <col min="15" max="16384" width="9.140625" style="105"/>
  </cols>
  <sheetData>
    <row r="21" spans="11:14" x14ac:dyDescent="0.25">
      <c r="N21" s="105" t="str">
        <f>IF(ISNUMBER(#REF!),submitCr1(#REF!),"")</f>
        <v/>
      </c>
    </row>
    <row r="22" spans="11:14" x14ac:dyDescent="0.25">
      <c r="L22" s="106"/>
      <c r="N22" s="105" t="str">
        <f>IF(ISNUMBER(#REF!),submitCr2(#REF!),"")</f>
        <v/>
      </c>
    </row>
    <row r="24" spans="11:14" x14ac:dyDescent="0.25">
      <c r="L24" s="110" t="s">
        <v>180</v>
      </c>
    </row>
    <row r="27" spans="11:14" x14ac:dyDescent="0.25">
      <c r="K27" s="111" t="s">
        <v>84</v>
      </c>
      <c r="L27" s="112">
        <f>CHOOSE(Tools1!$N$9,N33,N34)</f>
        <v>0.65</v>
      </c>
      <c r="M27" s="113">
        <f>IF(L27=CP,"",CHOOSE(Tools1!$N$9,O33,O34))</f>
        <v>0.70000000000000007</v>
      </c>
      <c r="N27" s="115">
        <f>CP</f>
        <v>0.65669661997474527</v>
      </c>
    </row>
    <row r="28" spans="11:14" x14ac:dyDescent="0.25">
      <c r="K28" s="116" t="s">
        <v>144</v>
      </c>
      <c r="L28" s="118">
        <v>0.47</v>
      </c>
      <c r="M28" s="114">
        <v>0.54</v>
      </c>
      <c r="N28" s="117">
        <f>IF(L27=CP,L28,IF(AND(ISNUMBER(L28),ISNUMBER(M28)),FORECAST(CP,N36:O36,N35:O35),""))</f>
        <v>0.47937526796464336</v>
      </c>
    </row>
    <row r="29" spans="11:14" x14ac:dyDescent="0.25">
      <c r="L29" s="107" t="s">
        <v>145</v>
      </c>
      <c r="M29" s="107" t="s">
        <v>145</v>
      </c>
    </row>
    <row r="31" spans="11:14" ht="17.25" x14ac:dyDescent="0.25">
      <c r="K31" s="105" t="s">
        <v>66</v>
      </c>
      <c r="L31" s="150">
        <f>M36</f>
        <v>6.5</v>
      </c>
    </row>
    <row r="33" spans="11:16" x14ac:dyDescent="0.25">
      <c r="K33" s="149" t="s">
        <v>186</v>
      </c>
      <c r="M33" s="108"/>
      <c r="N33" s="108">
        <f>IF(CP&lt;0.5,0.5,IF(CP&gt;0.8,0.8,IF(CP-ROUNDDOWN(CP,1)&lt;0.05,ROUNDDOWN(CP,1),IF(CP-ROUNDDOWN(CP,1)&gt;=0.05,ROUNDDOWN(CP,1)+0.05,"  "))))</f>
        <v>0.65</v>
      </c>
      <c r="O33" s="108">
        <f>IF(N33=CP,"",N33+0.05)</f>
        <v>0.70000000000000007</v>
      </c>
      <c r="P33" s="108" t="str">
        <f>IF(M37,IF(N33=CP,CP,CONCATENATE("Enter values for Cp =",N33," &amp; ",O33)),"")</f>
        <v>Enter values for Cp =0.65 &amp; 0.7</v>
      </c>
    </row>
    <row r="34" spans="11:16" x14ac:dyDescent="0.25">
      <c r="K34" s="149" t="s">
        <v>185</v>
      </c>
      <c r="M34" s="108"/>
      <c r="N34" s="108">
        <f>(ROUNDDOWN(CP,2))</f>
        <v>0.65</v>
      </c>
      <c r="O34" s="108">
        <f>IF(N34=CP,"",ROUNDUP(CP,2))</f>
        <v>0.66</v>
      </c>
      <c r="P34" s="108" t="str">
        <f>IF(M37,IF(N34=CP,CP,CONCATENATE("Enter values for Cp =",N34," &amp; ",O34)),"")</f>
        <v>Enter values for Cp =0.65 &amp; 0.66</v>
      </c>
    </row>
    <row r="35" spans="11:16" x14ac:dyDescent="0.25">
      <c r="M35" s="108"/>
      <c r="N35" s="108">
        <f>L27</f>
        <v>0.65</v>
      </c>
      <c r="O35" s="108">
        <f>M27</f>
        <v>0.70000000000000007</v>
      </c>
      <c r="P35" s="108">
        <f>CP</f>
        <v>0.65669661997474527</v>
      </c>
    </row>
    <row r="36" spans="11:16" x14ac:dyDescent="0.25">
      <c r="M36" s="109">
        <v>6.5</v>
      </c>
      <c r="N36" s="108">
        <f>L28</f>
        <v>0.47</v>
      </c>
      <c r="O36" s="108">
        <f>M28</f>
        <v>0.54</v>
      </c>
      <c r="P36" s="108">
        <f>N28</f>
        <v>0.47937526796464336</v>
      </c>
    </row>
    <row r="37" spans="11:16" x14ac:dyDescent="0.25">
      <c r="M37" s="108" t="b">
        <f>(OR(M36='G&amp;H'!C43,M36='G&amp;H'!D43))</f>
        <v>1</v>
      </c>
      <c r="N37" s="108">
        <f>IF($M$37,N36,NA())</f>
        <v>0.47</v>
      </c>
      <c r="O37" s="108">
        <f>IF($M$37,O36,NA())</f>
        <v>0.54</v>
      </c>
      <c r="P37" s="108">
        <f>IF($M$37,P36,NA())</f>
        <v>0.47937526796464336</v>
      </c>
    </row>
    <row r="38" spans="11:16" x14ac:dyDescent="0.25">
      <c r="M38" s="108">
        <f>IF('G&amp;H'!C43='6.5'!$M$36,1,IF('G&amp;H'!D43='6.5'!$M$36,2,3))</f>
        <v>2</v>
      </c>
      <c r="N38" s="108">
        <v>0.15</v>
      </c>
      <c r="O38" s="108">
        <f>'G&amp;H'!Fn</f>
        <v>0.19417693517095749</v>
      </c>
      <c r="P38" s="108">
        <f>O38</f>
        <v>0.19417693517095749</v>
      </c>
    </row>
    <row r="39" spans="11:16" x14ac:dyDescent="0.25">
      <c r="M39" s="108"/>
      <c r="N39" s="108"/>
      <c r="O39" s="108">
        <v>0</v>
      </c>
      <c r="P39" s="108">
        <f>IF(M37,12,NA())</f>
        <v>12</v>
      </c>
    </row>
  </sheetData>
  <sheetProtection password="CB5D" sheet="1" objects="1" scenarios="1"/>
  <conditionalFormatting sqref="L24 K27:N29">
    <cfRule type="expression" dxfId="7" priority="1">
      <formula>NOT($M$37)</formula>
    </cfRule>
  </conditionalFormatting>
  <hyperlinks>
    <hyperlink ref="K33" location="'G&amp;H'!C43:E44" tooltip="Go back to table (G&amp;H tab)" display="Go back to table"/>
    <hyperlink ref="K34" location="Results!A1" tooltip="Go to results tab" display="Go to results tab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List Box 1">
              <controlPr defaultSize="0" autoLine="0" autoPict="0">
                <anchor moveWithCells="1">
                  <from>
                    <xdr:col>11</xdr:col>
                    <xdr:colOff>0</xdr:colOff>
                    <xdr:row>24</xdr:row>
                    <xdr:rowOff>0</xdr:rowOff>
                  </from>
                  <to>
                    <xdr:col>14</xdr:col>
                    <xdr:colOff>361950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Button6_Click" altText="Submit">
                <anchor moveWithCells="1" sizeWithCells="1">
                  <from>
                    <xdr:col>13</xdr:col>
                    <xdr:colOff>0</xdr:colOff>
                    <xdr:row>28</xdr:row>
                    <xdr:rowOff>133350</xdr:rowOff>
                  </from>
                  <to>
                    <xdr:col>14</xdr:col>
                    <xdr:colOff>19050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Button1_Click">
                <anchor moveWithCells="1" sizeWithCells="1">
                  <from>
                    <xdr:col>11</xdr:col>
                    <xdr:colOff>28575</xdr:colOff>
                    <xdr:row>21</xdr:row>
                    <xdr:rowOff>0</xdr:rowOff>
                  </from>
                  <to>
                    <xdr:col>12</xdr:col>
                    <xdr:colOff>66675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7" name="Button 4">
              <controlPr defaultSize="0" print="0" autoFill="0" autoPict="0" macro="[0]!Button2_Click">
                <anchor moveWithCells="1" sizeWithCells="1">
                  <from>
                    <xdr:col>12</xdr:col>
                    <xdr:colOff>228600</xdr:colOff>
                    <xdr:row>21</xdr:row>
                    <xdr:rowOff>0</xdr:rowOff>
                  </from>
                  <to>
                    <xdr:col>13</xdr:col>
                    <xdr:colOff>276225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8" name="Button 5">
              <controlPr defaultSize="0" print="0" autoFill="0" autoPict="0" macro="[0]!_xludf.Clear">
                <anchor moveWithCells="1" sizeWithCells="1">
                  <from>
                    <xdr:col>11</xdr:col>
                    <xdr:colOff>419100</xdr:colOff>
                    <xdr:row>28</xdr:row>
                    <xdr:rowOff>142875</xdr:rowOff>
                  </from>
                  <to>
                    <xdr:col>12</xdr:col>
                    <xdr:colOff>438150</xdr:colOff>
                    <xdr:row>30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K21:P39"/>
  <sheetViews>
    <sheetView showGridLines="0" showRowColHeaders="0" topLeftCell="A8" zoomScale="85" zoomScaleNormal="85" workbookViewId="0">
      <selection activeCell="K31" sqref="K31:L34"/>
    </sheetView>
  </sheetViews>
  <sheetFormatPr defaultRowHeight="15" x14ac:dyDescent="0.25"/>
  <cols>
    <col min="1" max="9" width="9.140625" style="105"/>
    <col min="10" max="10" width="9.140625" style="105" customWidth="1"/>
    <col min="11" max="14" width="7.7109375" style="105" customWidth="1"/>
    <col min="15" max="16384" width="9.140625" style="105"/>
  </cols>
  <sheetData>
    <row r="21" spans="11:14" x14ac:dyDescent="0.25">
      <c r="N21" s="105" t="str">
        <f>IF(ISNUMBER(#REF!),submitCr1(#REF!),"")</f>
        <v/>
      </c>
    </row>
    <row r="22" spans="11:14" x14ac:dyDescent="0.25">
      <c r="L22" s="106"/>
      <c r="N22" s="105" t="str">
        <f>IF(ISNUMBER(#REF!),submitCr2(#REF!),"")</f>
        <v/>
      </c>
    </row>
    <row r="24" spans="11:14" x14ac:dyDescent="0.25">
      <c r="L24" s="110" t="s">
        <v>180</v>
      </c>
    </row>
    <row r="27" spans="11:14" x14ac:dyDescent="0.25">
      <c r="K27" s="111" t="s">
        <v>84</v>
      </c>
      <c r="L27" s="112">
        <f>CHOOSE(Tools1!$N$9,N33,N34)</f>
        <v>0.65</v>
      </c>
      <c r="M27" s="113">
        <f>IF(L27=CP,"",CHOOSE(Tools1!$N$9,O33,O34))</f>
        <v>0.70000000000000007</v>
      </c>
      <c r="N27" s="115">
        <f>CP</f>
        <v>0.65669661997474527</v>
      </c>
    </row>
    <row r="28" spans="11:14" x14ac:dyDescent="0.25">
      <c r="K28" s="116" t="s">
        <v>144</v>
      </c>
      <c r="L28" s="118"/>
      <c r="M28" s="114"/>
      <c r="N28" s="117" t="str">
        <f>IF(L27=CP,L28,IF(AND(ISNUMBER(L28),ISNUMBER(M28)),FORECAST(CP,N36:O36,N35:O35),""))</f>
        <v/>
      </c>
    </row>
    <row r="29" spans="11:14" x14ac:dyDescent="0.25">
      <c r="L29" s="107" t="s">
        <v>145</v>
      </c>
      <c r="M29" s="107" t="s">
        <v>145</v>
      </c>
    </row>
    <row r="31" spans="11:14" ht="17.25" x14ac:dyDescent="0.25">
      <c r="K31" s="105" t="s">
        <v>66</v>
      </c>
      <c r="L31" s="150">
        <f>M36</f>
        <v>7</v>
      </c>
    </row>
    <row r="33" spans="11:16" x14ac:dyDescent="0.25">
      <c r="K33" s="149" t="s">
        <v>186</v>
      </c>
      <c r="M33" s="108"/>
      <c r="N33" s="108">
        <f>IF(CP&lt;0.5,0.5,IF(CP&gt;0.8,0.8,IF(CP-ROUNDDOWN(CP,1)&lt;0.05,ROUNDDOWN(CP,1),IF(CP-ROUNDDOWN(CP,1)&gt;=0.05,ROUNDDOWN(CP,1)+0.05,"  "))))</f>
        <v>0.65</v>
      </c>
      <c r="O33" s="108">
        <f>IF(N33=CP,"",N33+0.05)</f>
        <v>0.70000000000000007</v>
      </c>
      <c r="P33" s="108" t="str">
        <f>IF(M37,IF(N33=CP,CP,CONCATENATE("Enter values for Cp =",N33," &amp; ",O33)),"")</f>
        <v/>
      </c>
    </row>
    <row r="34" spans="11:16" x14ac:dyDescent="0.25">
      <c r="K34" s="149" t="s">
        <v>185</v>
      </c>
      <c r="M34" s="108"/>
      <c r="N34" s="108">
        <f>(ROUNDDOWN(CP,2))</f>
        <v>0.65</v>
      </c>
      <c r="O34" s="108">
        <f>IF(N34=CP,"",ROUNDUP(CP,2))</f>
        <v>0.66</v>
      </c>
      <c r="P34" s="108" t="str">
        <f>IF(M37,IF(N34=CP,CP,CONCATENATE("Enter values for Cp =",N34," &amp; ",O34)),"")</f>
        <v/>
      </c>
    </row>
    <row r="35" spans="11:16" x14ac:dyDescent="0.25">
      <c r="M35" s="108"/>
      <c r="N35" s="108">
        <f>L27</f>
        <v>0.65</v>
      </c>
      <c r="O35" s="108">
        <f>M27</f>
        <v>0.70000000000000007</v>
      </c>
      <c r="P35" s="108">
        <f>CP</f>
        <v>0.65669661997474527</v>
      </c>
    </row>
    <row r="36" spans="11:16" x14ac:dyDescent="0.25">
      <c r="M36" s="109">
        <v>7</v>
      </c>
      <c r="N36" s="108">
        <f>L28</f>
        <v>0</v>
      </c>
      <c r="O36" s="108">
        <f>M28</f>
        <v>0</v>
      </c>
      <c r="P36" s="108" t="str">
        <f>N28</f>
        <v/>
      </c>
    </row>
    <row r="37" spans="11:16" x14ac:dyDescent="0.25">
      <c r="M37" s="108" t="b">
        <f>(OR(M36='G&amp;H'!C43,M36='G&amp;H'!D43))</f>
        <v>0</v>
      </c>
      <c r="N37" s="108" t="e">
        <f>IF($M$37,N36,NA())</f>
        <v>#N/A</v>
      </c>
      <c r="O37" s="108" t="e">
        <f>IF($M$37,O36,NA())</f>
        <v>#N/A</v>
      </c>
      <c r="P37" s="108" t="e">
        <f>IF($M$37,P36,NA())</f>
        <v>#N/A</v>
      </c>
    </row>
    <row r="38" spans="11:16" x14ac:dyDescent="0.25">
      <c r="M38" s="108">
        <f>IF('G&amp;H'!C43='7.0'!$M$36,1,IF('G&amp;H'!D43='7.0'!$M$36,2,3))</f>
        <v>3</v>
      </c>
      <c r="N38" s="108">
        <v>0.15</v>
      </c>
      <c r="O38" s="108">
        <f>'G&amp;H'!Fn</f>
        <v>0.19417693517095749</v>
      </c>
      <c r="P38" s="108">
        <f>O38</f>
        <v>0.19417693517095749</v>
      </c>
    </row>
    <row r="39" spans="11:16" x14ac:dyDescent="0.25">
      <c r="M39" s="108"/>
      <c r="N39" s="108"/>
      <c r="O39" s="108">
        <v>0</v>
      </c>
      <c r="P39" s="108" t="e">
        <f>IF(M37,12,NA())</f>
        <v>#N/A</v>
      </c>
    </row>
  </sheetData>
  <sheetProtection password="CB5D" sheet="1" objects="1" scenarios="1"/>
  <conditionalFormatting sqref="L24 K27:N29">
    <cfRule type="expression" dxfId="6" priority="1">
      <formula>NOT($M$37)</formula>
    </cfRule>
  </conditionalFormatting>
  <hyperlinks>
    <hyperlink ref="K33" location="'G&amp;H'!C43:E44" tooltip="Go back to table (G&amp;H tab)" display="Go back to table"/>
    <hyperlink ref="K34" location="Results!A1" tooltip="Go to results tab" display="Go to results tab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List Box 1">
              <controlPr defaultSize="0" autoLine="0" autoPict="0">
                <anchor moveWithCells="1">
                  <from>
                    <xdr:col>11</xdr:col>
                    <xdr:colOff>0</xdr:colOff>
                    <xdr:row>24</xdr:row>
                    <xdr:rowOff>0</xdr:rowOff>
                  </from>
                  <to>
                    <xdr:col>14</xdr:col>
                    <xdr:colOff>361950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Button6_Click" altText="Submit">
                <anchor moveWithCells="1" sizeWithCells="1">
                  <from>
                    <xdr:col>13</xdr:col>
                    <xdr:colOff>0</xdr:colOff>
                    <xdr:row>28</xdr:row>
                    <xdr:rowOff>133350</xdr:rowOff>
                  </from>
                  <to>
                    <xdr:col>14</xdr:col>
                    <xdr:colOff>19050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6" name="Button 3">
              <controlPr defaultSize="0" print="0" autoFill="0" autoPict="0" macro="[0]!Button1_Click">
                <anchor moveWithCells="1" sizeWithCells="1">
                  <from>
                    <xdr:col>11</xdr:col>
                    <xdr:colOff>28575</xdr:colOff>
                    <xdr:row>21</xdr:row>
                    <xdr:rowOff>0</xdr:rowOff>
                  </from>
                  <to>
                    <xdr:col>12</xdr:col>
                    <xdr:colOff>66675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7" name="Button 4">
              <controlPr defaultSize="0" print="0" autoFill="0" autoPict="0" macro="[0]!Button2_Click">
                <anchor moveWithCells="1" sizeWithCells="1">
                  <from>
                    <xdr:col>12</xdr:col>
                    <xdr:colOff>228600</xdr:colOff>
                    <xdr:row>21</xdr:row>
                    <xdr:rowOff>0</xdr:rowOff>
                  </from>
                  <to>
                    <xdr:col>13</xdr:col>
                    <xdr:colOff>276225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5" r:id="rId8" name="Button 5">
              <controlPr defaultSize="0" print="0" autoFill="0" autoPict="0" macro="[0]!_xludf.Clear">
                <anchor moveWithCells="1" sizeWithCells="1">
                  <from>
                    <xdr:col>11</xdr:col>
                    <xdr:colOff>419100</xdr:colOff>
                    <xdr:row>28</xdr:row>
                    <xdr:rowOff>142875</xdr:rowOff>
                  </from>
                  <to>
                    <xdr:col>12</xdr:col>
                    <xdr:colOff>438150</xdr:colOff>
                    <xdr:row>30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K21:P39"/>
  <sheetViews>
    <sheetView showGridLines="0" showRowColHeaders="0" topLeftCell="A8" zoomScale="85" zoomScaleNormal="85" workbookViewId="0">
      <selection activeCell="K31" sqref="K31:L34"/>
    </sheetView>
  </sheetViews>
  <sheetFormatPr defaultRowHeight="15" x14ac:dyDescent="0.25"/>
  <cols>
    <col min="1" max="9" width="9.140625" style="105"/>
    <col min="10" max="10" width="9.140625" style="105" customWidth="1"/>
    <col min="11" max="14" width="7.7109375" style="105" customWidth="1"/>
    <col min="15" max="16384" width="9.140625" style="105"/>
  </cols>
  <sheetData>
    <row r="21" spans="11:14" x14ac:dyDescent="0.25">
      <c r="N21" s="105" t="str">
        <f>IF(ISNUMBER(#REF!),submitCr1(#REF!),"")</f>
        <v/>
      </c>
    </row>
    <row r="22" spans="11:14" x14ac:dyDescent="0.25">
      <c r="L22" s="106"/>
      <c r="N22" s="105" t="str">
        <f>IF(ISNUMBER(#REF!),submitCr2(#REF!),"")</f>
        <v/>
      </c>
    </row>
    <row r="24" spans="11:14" x14ac:dyDescent="0.25">
      <c r="L24" s="110" t="s">
        <v>180</v>
      </c>
    </row>
    <row r="27" spans="11:14" x14ac:dyDescent="0.25">
      <c r="K27" s="111" t="s">
        <v>84</v>
      </c>
      <c r="L27" s="112">
        <f>CHOOSE(Tools1!$N$9,N33,N34)</f>
        <v>0.65</v>
      </c>
      <c r="M27" s="113">
        <f>IF(L27=CP,"",CHOOSE(Tools1!$N$9,O33,O34))</f>
        <v>0.70000000000000007</v>
      </c>
      <c r="N27" s="115">
        <f>CP</f>
        <v>0.65669661997474527</v>
      </c>
    </row>
    <row r="28" spans="11:14" x14ac:dyDescent="0.25">
      <c r="K28" s="116" t="s">
        <v>144</v>
      </c>
      <c r="L28" s="118"/>
      <c r="M28" s="114"/>
      <c r="N28" s="117" t="str">
        <f>IF(L27=CP,L28,IF(AND(ISNUMBER(L28),ISNUMBER(M28)),FORECAST(CP,N36:O36,N35:O35),""))</f>
        <v/>
      </c>
    </row>
    <row r="29" spans="11:14" x14ac:dyDescent="0.25">
      <c r="L29" s="107" t="s">
        <v>145</v>
      </c>
      <c r="M29" s="107" t="s">
        <v>145</v>
      </c>
    </row>
    <row r="31" spans="11:14" ht="17.25" x14ac:dyDescent="0.25">
      <c r="K31" s="105" t="s">
        <v>66</v>
      </c>
      <c r="L31" s="150">
        <f>M36</f>
        <v>7.5</v>
      </c>
    </row>
    <row r="33" spans="11:16" x14ac:dyDescent="0.25">
      <c r="K33" s="149" t="s">
        <v>186</v>
      </c>
      <c r="M33" s="108"/>
      <c r="N33" s="108">
        <f>IF(CP&lt;0.5,0.5,IF(CP&gt;0.8,0.8,IF(CP-ROUNDDOWN(CP,1)&lt;0.05,ROUNDDOWN(CP,1),IF(CP-ROUNDDOWN(CP,1)&gt;=0.05,ROUNDDOWN(CP,1)+0.05,"  "))))</f>
        <v>0.65</v>
      </c>
      <c r="O33" s="108">
        <f>IF(N33=CP,"",N33+0.05)</f>
        <v>0.70000000000000007</v>
      </c>
      <c r="P33" s="108" t="str">
        <f>IF(M37,IF(N33=CP,CP,CONCATENATE("Enter values for Cp =",N33," &amp; ",O33)),"")</f>
        <v/>
      </c>
    </row>
    <row r="34" spans="11:16" x14ac:dyDescent="0.25">
      <c r="K34" s="149" t="s">
        <v>185</v>
      </c>
      <c r="M34" s="108"/>
      <c r="N34" s="108">
        <f>(ROUNDDOWN(CP,2))</f>
        <v>0.65</v>
      </c>
      <c r="O34" s="108">
        <f>IF(N34=CP,"",ROUNDUP(CP,2))</f>
        <v>0.66</v>
      </c>
      <c r="P34" s="108" t="str">
        <f>IF(M37,IF(N34=CP,CP,CONCATENATE("Enter values for Cp =",N34," &amp; ",O34)),"")</f>
        <v/>
      </c>
    </row>
    <row r="35" spans="11:16" x14ac:dyDescent="0.25">
      <c r="M35" s="108"/>
      <c r="N35" s="108">
        <f>L27</f>
        <v>0.65</v>
      </c>
      <c r="O35" s="108">
        <f>M27</f>
        <v>0.70000000000000007</v>
      </c>
      <c r="P35" s="108">
        <f>CP</f>
        <v>0.65669661997474527</v>
      </c>
    </row>
    <row r="36" spans="11:16" x14ac:dyDescent="0.25">
      <c r="M36" s="109">
        <v>7.5</v>
      </c>
      <c r="N36" s="108">
        <f>L28</f>
        <v>0</v>
      </c>
      <c r="O36" s="108">
        <f>M28</f>
        <v>0</v>
      </c>
      <c r="P36" s="108" t="str">
        <f>N28</f>
        <v/>
      </c>
    </row>
    <row r="37" spans="11:16" x14ac:dyDescent="0.25">
      <c r="M37" s="108" t="b">
        <f>(OR(M36='G&amp;H'!C43,M36='G&amp;H'!D43))</f>
        <v>0</v>
      </c>
      <c r="N37" s="108" t="e">
        <f>IF($M$37,N36,NA())</f>
        <v>#N/A</v>
      </c>
      <c r="O37" s="108" t="e">
        <f>IF($M$37,O36,NA())</f>
        <v>#N/A</v>
      </c>
      <c r="P37" s="108" t="e">
        <f>IF($M$37,P36,NA())</f>
        <v>#N/A</v>
      </c>
    </row>
    <row r="38" spans="11:16" x14ac:dyDescent="0.25">
      <c r="M38" s="108">
        <f>IF('G&amp;H'!C43='7.5'!$M$36,1,IF('G&amp;H'!D43='7.5'!$M$36,2,3))</f>
        <v>3</v>
      </c>
      <c r="N38" s="108">
        <v>0.15</v>
      </c>
      <c r="O38" s="108">
        <f>'G&amp;H'!Fn</f>
        <v>0.19417693517095749</v>
      </c>
      <c r="P38" s="108">
        <f>O38</f>
        <v>0.19417693517095749</v>
      </c>
    </row>
    <row r="39" spans="11:16" x14ac:dyDescent="0.25">
      <c r="M39" s="108"/>
      <c r="N39" s="108"/>
      <c r="O39" s="108">
        <v>0</v>
      </c>
      <c r="P39" s="108" t="e">
        <f>IF(M37,12,NA())</f>
        <v>#N/A</v>
      </c>
    </row>
  </sheetData>
  <sheetProtection password="CB5D" sheet="1" objects="1" scenarios="1"/>
  <conditionalFormatting sqref="L24 K27:N29">
    <cfRule type="expression" dxfId="5" priority="1">
      <formula>NOT($M$37)</formula>
    </cfRule>
  </conditionalFormatting>
  <hyperlinks>
    <hyperlink ref="K33" location="'G&amp;H'!C43:E44" tooltip="Go back to table (G&amp;H tab)" display="Go back to table"/>
    <hyperlink ref="K34" location="Results!A1" tooltip="Go to results tab" display="Go to results tab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List Box 1">
              <controlPr defaultSize="0" autoLine="0" autoPict="0">
                <anchor moveWithCells="1">
                  <from>
                    <xdr:col>11</xdr:col>
                    <xdr:colOff>0</xdr:colOff>
                    <xdr:row>24</xdr:row>
                    <xdr:rowOff>0</xdr:rowOff>
                  </from>
                  <to>
                    <xdr:col>14</xdr:col>
                    <xdr:colOff>361950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0]!Button6_Click" altText="Submit">
                <anchor moveWithCells="1" sizeWithCells="1">
                  <from>
                    <xdr:col>13</xdr:col>
                    <xdr:colOff>0</xdr:colOff>
                    <xdr:row>28</xdr:row>
                    <xdr:rowOff>133350</xdr:rowOff>
                  </from>
                  <to>
                    <xdr:col>14</xdr:col>
                    <xdr:colOff>19050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6" name="Button 3">
              <controlPr defaultSize="0" print="0" autoFill="0" autoPict="0" macro="[0]!Button1_Click">
                <anchor moveWithCells="1" sizeWithCells="1">
                  <from>
                    <xdr:col>11</xdr:col>
                    <xdr:colOff>28575</xdr:colOff>
                    <xdr:row>21</xdr:row>
                    <xdr:rowOff>0</xdr:rowOff>
                  </from>
                  <to>
                    <xdr:col>12</xdr:col>
                    <xdr:colOff>66675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7" name="Button 4">
              <controlPr defaultSize="0" print="0" autoFill="0" autoPict="0" macro="[0]!Button2_Click">
                <anchor moveWithCells="1" sizeWithCells="1">
                  <from>
                    <xdr:col>12</xdr:col>
                    <xdr:colOff>228600</xdr:colOff>
                    <xdr:row>21</xdr:row>
                    <xdr:rowOff>0</xdr:rowOff>
                  </from>
                  <to>
                    <xdr:col>13</xdr:col>
                    <xdr:colOff>276225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8" name="Button 5">
              <controlPr defaultSize="0" print="0" autoFill="0" autoPict="0" macro="[0]!_xludf.Clear">
                <anchor moveWithCells="1" sizeWithCells="1">
                  <from>
                    <xdr:col>11</xdr:col>
                    <xdr:colOff>419100</xdr:colOff>
                    <xdr:row>28</xdr:row>
                    <xdr:rowOff>142875</xdr:rowOff>
                  </from>
                  <to>
                    <xdr:col>12</xdr:col>
                    <xdr:colOff>438150</xdr:colOff>
                    <xdr:row>30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K21:P39"/>
  <sheetViews>
    <sheetView showGridLines="0" showRowColHeaders="0" topLeftCell="A7" zoomScale="85" zoomScaleNormal="85" workbookViewId="0">
      <selection activeCell="K31" sqref="K31:L34"/>
    </sheetView>
  </sheetViews>
  <sheetFormatPr defaultRowHeight="15" x14ac:dyDescent="0.25"/>
  <cols>
    <col min="1" max="9" width="9.140625" style="105"/>
    <col min="10" max="10" width="9.140625" style="105" customWidth="1"/>
    <col min="11" max="14" width="7.7109375" style="105" customWidth="1"/>
    <col min="15" max="16384" width="9.140625" style="105"/>
  </cols>
  <sheetData>
    <row r="21" spans="11:14" x14ac:dyDescent="0.25">
      <c r="N21" s="105" t="str">
        <f>IF(ISNUMBER(#REF!),submitCr1(#REF!),"")</f>
        <v/>
      </c>
    </row>
    <row r="22" spans="11:14" x14ac:dyDescent="0.25">
      <c r="L22" s="106"/>
      <c r="N22" s="105" t="str">
        <f>IF(ISNUMBER(#REF!),submitCr2(#REF!),"")</f>
        <v/>
      </c>
    </row>
    <row r="24" spans="11:14" x14ac:dyDescent="0.25">
      <c r="L24" s="110" t="s">
        <v>180</v>
      </c>
    </row>
    <row r="27" spans="11:14" x14ac:dyDescent="0.25">
      <c r="K27" s="111" t="s">
        <v>84</v>
      </c>
      <c r="L27" s="112">
        <f>CHOOSE(Tools1!$N$9,N33,N34)</f>
        <v>0.65</v>
      </c>
      <c r="M27" s="113">
        <f>IF(L27=CP,"",CHOOSE(Tools1!$N$9,O33,O34))</f>
        <v>0.70000000000000007</v>
      </c>
      <c r="N27" s="115">
        <f>CP</f>
        <v>0.65669661997474527</v>
      </c>
    </row>
    <row r="28" spans="11:14" x14ac:dyDescent="0.25">
      <c r="K28" s="116" t="s">
        <v>144</v>
      </c>
      <c r="L28" s="118"/>
      <c r="M28" s="114"/>
      <c r="N28" s="117" t="str">
        <f>IF(L27=CP,L28,IF(AND(ISNUMBER(L28),ISNUMBER(M28)),FORECAST(CP,N36:O36,N35:O35),""))</f>
        <v/>
      </c>
    </row>
    <row r="29" spans="11:14" x14ac:dyDescent="0.25">
      <c r="L29" s="107" t="s">
        <v>145</v>
      </c>
      <c r="M29" s="107" t="s">
        <v>145</v>
      </c>
    </row>
    <row r="31" spans="11:14" ht="17.25" x14ac:dyDescent="0.25">
      <c r="K31" s="105" t="s">
        <v>66</v>
      </c>
      <c r="L31" s="150">
        <f>M36</f>
        <v>8</v>
      </c>
    </row>
    <row r="33" spans="11:16" x14ac:dyDescent="0.25">
      <c r="K33" s="149" t="s">
        <v>186</v>
      </c>
      <c r="M33" s="108"/>
      <c r="N33" s="108">
        <f>IF(CP&lt;0.5,0.5,IF(CP&gt;0.8,0.8,IF(CP-ROUNDDOWN(CP,1)&lt;0.05,ROUNDDOWN(CP,1),IF(CP-ROUNDDOWN(CP,1)&gt;=0.05,ROUNDDOWN(CP,1)+0.05,"  "))))</f>
        <v>0.65</v>
      </c>
      <c r="O33" s="108">
        <f>IF(N33=CP,"",N33+0.05)</f>
        <v>0.70000000000000007</v>
      </c>
      <c r="P33" s="108" t="str">
        <f>IF(M37,IF(N33=CP,CP,CONCATENATE("Enter values for Cp =",N33," &amp; ",O33)),"")</f>
        <v/>
      </c>
    </row>
    <row r="34" spans="11:16" x14ac:dyDescent="0.25">
      <c r="K34" s="149" t="s">
        <v>185</v>
      </c>
      <c r="M34" s="108"/>
      <c r="N34" s="108">
        <f>(ROUNDDOWN(CP,2))</f>
        <v>0.65</v>
      </c>
      <c r="O34" s="108">
        <f>IF(N34=CP,"",ROUNDUP(CP,2))</f>
        <v>0.66</v>
      </c>
      <c r="P34" s="108" t="str">
        <f>IF(M37,IF(N34=CP,CP,CONCATENATE("Enter values for Cp =",N34," &amp; ",O34)),"")</f>
        <v/>
      </c>
    </row>
    <row r="35" spans="11:16" x14ac:dyDescent="0.25">
      <c r="M35" s="108"/>
      <c r="N35" s="108">
        <f>L27</f>
        <v>0.65</v>
      </c>
      <c r="O35" s="108">
        <f>M27</f>
        <v>0.70000000000000007</v>
      </c>
      <c r="P35" s="108">
        <f>CP</f>
        <v>0.65669661997474527</v>
      </c>
    </row>
    <row r="36" spans="11:16" x14ac:dyDescent="0.25">
      <c r="M36" s="109">
        <v>8</v>
      </c>
      <c r="N36" s="108">
        <f>L28</f>
        <v>0</v>
      </c>
      <c r="O36" s="108">
        <f>M28</f>
        <v>0</v>
      </c>
      <c r="P36" s="108" t="str">
        <f>N28</f>
        <v/>
      </c>
    </row>
    <row r="37" spans="11:16" x14ac:dyDescent="0.25">
      <c r="M37" s="108" t="b">
        <f>(OR(M36='G&amp;H'!C43,M36='G&amp;H'!D43))</f>
        <v>0</v>
      </c>
      <c r="N37" s="108" t="e">
        <f>IF($M$37,N36,NA())</f>
        <v>#N/A</v>
      </c>
      <c r="O37" s="108" t="e">
        <f>IF($M$37,O36,NA())</f>
        <v>#N/A</v>
      </c>
      <c r="P37" s="108" t="e">
        <f>IF($M$37,P36,NA())</f>
        <v>#N/A</v>
      </c>
    </row>
    <row r="38" spans="11:16" x14ac:dyDescent="0.25">
      <c r="M38" s="108">
        <f>IF('G&amp;H'!C43='8.0'!$M$36,1,IF('G&amp;H'!D43='8.0'!$M$36,2,3))</f>
        <v>3</v>
      </c>
      <c r="N38" s="108">
        <v>0.15</v>
      </c>
      <c r="O38" s="108">
        <f>'G&amp;H'!Fn</f>
        <v>0.19417693517095749</v>
      </c>
      <c r="P38" s="108">
        <f>O38</f>
        <v>0.19417693517095749</v>
      </c>
    </row>
    <row r="39" spans="11:16" x14ac:dyDescent="0.25">
      <c r="M39" s="108"/>
      <c r="N39" s="108"/>
      <c r="O39" s="108">
        <v>0</v>
      </c>
      <c r="P39" s="108" t="e">
        <f>IF(M37,12,NA())</f>
        <v>#N/A</v>
      </c>
    </row>
  </sheetData>
  <sheetProtection password="CB5D" sheet="1" objects="1" scenarios="1"/>
  <conditionalFormatting sqref="L24 K27:N29">
    <cfRule type="expression" dxfId="4" priority="1">
      <formula>NOT($M$37)</formula>
    </cfRule>
  </conditionalFormatting>
  <hyperlinks>
    <hyperlink ref="K33" location="'G&amp;H'!C43:E44" tooltip="Go back to table (G&amp;H tab)" display="Go back to table"/>
    <hyperlink ref="K34" location="Results!A1" tooltip="Go to results tab" display="Go to results tab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List Box 1">
              <controlPr defaultSize="0" autoLine="0" autoPict="0">
                <anchor moveWithCells="1">
                  <from>
                    <xdr:col>11</xdr:col>
                    <xdr:colOff>0</xdr:colOff>
                    <xdr:row>24</xdr:row>
                    <xdr:rowOff>0</xdr:rowOff>
                  </from>
                  <to>
                    <xdr:col>14</xdr:col>
                    <xdr:colOff>361950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Button6_Click" altText="Submit">
                <anchor moveWithCells="1" sizeWithCells="1">
                  <from>
                    <xdr:col>13</xdr:col>
                    <xdr:colOff>0</xdr:colOff>
                    <xdr:row>28</xdr:row>
                    <xdr:rowOff>133350</xdr:rowOff>
                  </from>
                  <to>
                    <xdr:col>14</xdr:col>
                    <xdr:colOff>19050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0]!Button1_Click">
                <anchor moveWithCells="1" sizeWithCells="1">
                  <from>
                    <xdr:col>11</xdr:col>
                    <xdr:colOff>28575</xdr:colOff>
                    <xdr:row>21</xdr:row>
                    <xdr:rowOff>0</xdr:rowOff>
                  </from>
                  <to>
                    <xdr:col>12</xdr:col>
                    <xdr:colOff>66675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7" name="Button 4">
              <controlPr defaultSize="0" print="0" autoFill="0" autoPict="0" macro="[0]!Button2_Click">
                <anchor moveWithCells="1" sizeWithCells="1">
                  <from>
                    <xdr:col>12</xdr:col>
                    <xdr:colOff>228600</xdr:colOff>
                    <xdr:row>21</xdr:row>
                    <xdr:rowOff>0</xdr:rowOff>
                  </from>
                  <to>
                    <xdr:col>13</xdr:col>
                    <xdr:colOff>276225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8" name="Button 5">
              <controlPr defaultSize="0" print="0" autoFill="0" autoPict="0" macro="[0]!_xludf.Clear">
                <anchor moveWithCells="1" sizeWithCells="1">
                  <from>
                    <xdr:col>11</xdr:col>
                    <xdr:colOff>419100</xdr:colOff>
                    <xdr:row>28</xdr:row>
                    <xdr:rowOff>142875</xdr:rowOff>
                  </from>
                  <to>
                    <xdr:col>12</xdr:col>
                    <xdr:colOff>438150</xdr:colOff>
                    <xdr:row>30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X117"/>
  <sheetViews>
    <sheetView showGridLines="0" showRowColHeaders="0" workbookViewId="0">
      <selection activeCell="I13" sqref="I13"/>
    </sheetView>
  </sheetViews>
  <sheetFormatPr defaultRowHeight="15" x14ac:dyDescent="0.25"/>
  <cols>
    <col min="1" max="1" width="9.140625" style="157"/>
    <col min="2" max="2" width="9.140625" style="124"/>
    <col min="3" max="3" width="11" style="124" bestFit="1" customWidth="1"/>
    <col min="4" max="7" width="9.140625" style="124"/>
    <col min="8" max="8" width="16.7109375" style="124" customWidth="1"/>
    <col min="9" max="10" width="14.42578125" style="124" customWidth="1"/>
    <col min="11" max="11" width="11.42578125" style="124" customWidth="1"/>
    <col min="12" max="12" width="9.7109375" style="124" customWidth="1"/>
    <col min="13" max="13" width="13.5703125" style="124" customWidth="1"/>
    <col min="14" max="14" width="13.140625" style="124" customWidth="1"/>
    <col min="15" max="15" width="12.7109375" style="124" customWidth="1"/>
    <col min="16" max="16384" width="9.140625" style="124"/>
  </cols>
  <sheetData>
    <row r="1" spans="1:24" x14ac:dyDescent="0.25">
      <c r="A1" s="128" t="s">
        <v>181</v>
      </c>
      <c r="E1" s="176" t="s">
        <v>189</v>
      </c>
      <c r="F1" s="176"/>
    </row>
    <row r="2" spans="1:24" x14ac:dyDescent="0.25">
      <c r="A2" s="125" t="s">
        <v>159</v>
      </c>
    </row>
    <row r="3" spans="1:24" ht="18.75" x14ac:dyDescent="0.35">
      <c r="A3" s="123" t="s">
        <v>160</v>
      </c>
      <c r="B3" s="123" t="s">
        <v>161</v>
      </c>
      <c r="C3" s="123" t="s">
        <v>165</v>
      </c>
      <c r="D3" s="123" t="s">
        <v>166</v>
      </c>
      <c r="E3" s="123" t="s">
        <v>167</v>
      </c>
      <c r="F3" s="123" t="s">
        <v>168</v>
      </c>
      <c r="G3" s="123" t="s">
        <v>169</v>
      </c>
      <c r="H3" s="123" t="s">
        <v>97</v>
      </c>
      <c r="I3" s="123" t="s">
        <v>162</v>
      </c>
      <c r="J3" s="123" t="s">
        <v>182</v>
      </c>
      <c r="K3" s="123" t="s">
        <v>170</v>
      </c>
      <c r="L3" s="123" t="s">
        <v>171</v>
      </c>
      <c r="M3" s="123" t="s">
        <v>172</v>
      </c>
      <c r="N3" s="123" t="s">
        <v>163</v>
      </c>
      <c r="O3" s="123" t="s">
        <v>164</v>
      </c>
      <c r="P3" s="123" t="s">
        <v>173</v>
      </c>
      <c r="Q3" s="123" t="s">
        <v>174</v>
      </c>
      <c r="R3" s="123" t="s">
        <v>175</v>
      </c>
      <c r="S3" s="123" t="s">
        <v>179</v>
      </c>
      <c r="T3" s="123" t="s">
        <v>176</v>
      </c>
      <c r="U3" s="123" t="s">
        <v>177</v>
      </c>
      <c r="V3" s="123" t="s">
        <v>49</v>
      </c>
      <c r="W3" s="123" t="s">
        <v>46</v>
      </c>
      <c r="X3" s="123" t="s">
        <v>178</v>
      </c>
    </row>
    <row r="4" spans="1:24" s="126" customFormat="1" x14ac:dyDescent="0.25">
      <c r="A4" s="129">
        <f t="shared" ref="A4:I4" si="0">IFERROR(A5,"")</f>
        <v>18</v>
      </c>
      <c r="B4" s="129">
        <f t="shared" si="0"/>
        <v>9.7785000000000011</v>
      </c>
      <c r="C4" s="129">
        <f t="shared" si="0"/>
        <v>2128552272.7272732</v>
      </c>
      <c r="D4" s="129">
        <f t="shared" si="0"/>
        <v>1.3966267233533478</v>
      </c>
      <c r="E4" s="129">
        <f t="shared" si="0"/>
        <v>-0.19096000000000002</v>
      </c>
      <c r="F4" s="129">
        <f t="shared" si="0"/>
        <v>1.2056667233533478</v>
      </c>
      <c r="G4" s="129">
        <f t="shared" si="0"/>
        <v>0.19417693517095749</v>
      </c>
      <c r="H4" s="129">
        <f t="shared" si="0"/>
        <v>0.48559032669879998</v>
      </c>
      <c r="I4" s="129">
        <f t="shared" si="0"/>
        <v>2.9333333333333371E-2</v>
      </c>
      <c r="J4" s="129">
        <f t="shared" ref="J4:W4" si="1">IFERROR(J5,"")</f>
        <v>0.87419588598166476</v>
      </c>
      <c r="K4" s="129">
        <f t="shared" si="1"/>
        <v>2.2606705611485851</v>
      </c>
      <c r="L4" s="129">
        <f t="shared" si="1"/>
        <v>-5.9974248861365407</v>
      </c>
      <c r="M4" s="129">
        <f t="shared" si="1"/>
        <v>0</v>
      </c>
      <c r="N4" s="129">
        <f t="shared" si="1"/>
        <v>0</v>
      </c>
      <c r="O4" s="129">
        <f t="shared" si="1"/>
        <v>0.10073490031662363</v>
      </c>
      <c r="P4" s="154">
        <f>IFERROR(P5,"")</f>
        <v>0.61565856034875699</v>
      </c>
      <c r="Q4" s="129">
        <f t="shared" si="1"/>
        <v>0.04</v>
      </c>
      <c r="R4" s="129">
        <f t="shared" si="1"/>
        <v>7.0000000000000007E-2</v>
      </c>
      <c r="S4" s="154">
        <f>IFERROR(S5,"")</f>
        <v>1.9313252837021049</v>
      </c>
      <c r="T4" s="129">
        <f t="shared" si="1"/>
        <v>643.75901830564567</v>
      </c>
      <c r="U4" s="154">
        <f>IFERROR(U5,"")</f>
        <v>328.72745240844455</v>
      </c>
      <c r="V4" s="129">
        <f t="shared" si="1"/>
        <v>21.357776766539409</v>
      </c>
      <c r="W4" s="129">
        <f t="shared" si="1"/>
        <v>37.376109341443964</v>
      </c>
      <c r="X4" s="154">
        <f>IFERROR(X5,"")</f>
        <v>1031.2203568220737</v>
      </c>
    </row>
    <row r="5" spans="1:24" s="126" customFormat="1" x14ac:dyDescent="0.25">
      <c r="A5" s="127">
        <f>'G&amp;H'!I4</f>
        <v>18</v>
      </c>
      <c r="B5" s="126">
        <f>'G&amp;H'!I5</f>
        <v>9.7785000000000011</v>
      </c>
      <c r="C5" s="126">
        <f>'G&amp;H'!Rn</f>
        <v>2128552272.7272732</v>
      </c>
      <c r="D5" s="126">
        <f>'G&amp;H'!C32</f>
        <v>1.3966267233533478</v>
      </c>
      <c r="E5" s="126">
        <f>'G&amp;H'!C33</f>
        <v>-0.19096000000000002</v>
      </c>
      <c r="F5" s="126">
        <f>'G&amp;H'!D20</f>
        <v>1.2056667233533478</v>
      </c>
      <c r="G5" s="126">
        <f>'G&amp;H'!Fn</f>
        <v>0.19417693517095749</v>
      </c>
      <c r="H5" s="126">
        <f>'G&amp;H'!C47</f>
        <v>0.48559032669879998</v>
      </c>
      <c r="I5" s="126">
        <f>'G&amp;H'!D52</f>
        <v>2.9333333333333371E-2</v>
      </c>
      <c r="J5" s="126">
        <f>'G&amp;H'!C59</f>
        <v>0.87419588598166476</v>
      </c>
      <c r="K5" s="126">
        <f>'G&amp;H'!C60</f>
        <v>2.2606705611485851</v>
      </c>
      <c r="L5" s="126">
        <f>'G&amp;H'!C61</f>
        <v>-5.9974248861365407</v>
      </c>
      <c r="M5" s="126">
        <f>IFERROR('G&amp;H'!D69,0)</f>
        <v>0</v>
      </c>
      <c r="N5" s="126">
        <f>'G&amp;H'!F72</f>
        <v>0</v>
      </c>
      <c r="O5" s="126">
        <f>'G&amp;H'!D90</f>
        <v>0.10073490031662363</v>
      </c>
      <c r="P5" s="126">
        <f>'G&amp;H'!D21</f>
        <v>0.61565856034875699</v>
      </c>
      <c r="Q5" s="126">
        <f>'G&amp;H'!D23</f>
        <v>0.04</v>
      </c>
      <c r="R5" s="126">
        <f>'G&amp;H'!D22</f>
        <v>7.0000000000000007E-2</v>
      </c>
      <c r="S5" s="126">
        <f>'G&amp;H'!D24</f>
        <v>1.9313252837021049</v>
      </c>
      <c r="T5" s="126">
        <f>'G&amp;H'!K20</f>
        <v>643.75901830564567</v>
      </c>
      <c r="U5" s="126">
        <f>'G&amp;H'!K21</f>
        <v>328.72745240844455</v>
      </c>
      <c r="V5" s="126">
        <f>'G&amp;H'!K23</f>
        <v>21.357776766539409</v>
      </c>
      <c r="W5" s="126">
        <f>'G&amp;H'!K22</f>
        <v>37.376109341443964</v>
      </c>
      <c r="X5" s="126">
        <f>'G&amp;H'!K24</f>
        <v>1031.2203568220737</v>
      </c>
    </row>
    <row r="6" spans="1:24" s="126" customFormat="1" x14ac:dyDescent="0.25">
      <c r="K6" s="156" t="str">
        <f>IF(Tools1!BH1=2,"Copy down the data corresponding to current velocity","Data copied!")</f>
        <v>Data copied!</v>
      </c>
    </row>
    <row r="7" spans="1:24" s="126" customFormat="1" x14ac:dyDescent="0.25">
      <c r="A7" s="141"/>
      <c r="B7" s="126">
        <f>IF(C7,VLOOKUP(A4,Tools1!AI2:BH110,26,FALSE))</f>
        <v>4</v>
      </c>
      <c r="C7" s="126" t="b">
        <f>IFERROR(VLOOKUP(Results!A4,Tools1!AI2:BG110,25,FALSE),FALSE)</f>
        <v>1</v>
      </c>
      <c r="D7" s="126">
        <f>COUNT(Tools1!AI2:AI131)</f>
        <v>3</v>
      </c>
      <c r="J7" s="126">
        <f>Tools1!BH1</f>
        <v>1</v>
      </c>
      <c r="P7" s="153"/>
    </row>
    <row r="8" spans="1:24" ht="18.75" x14ac:dyDescent="0.35">
      <c r="A8" s="123" t="s">
        <v>160</v>
      </c>
      <c r="B8" s="123" t="s">
        <v>161</v>
      </c>
      <c r="C8" s="123" t="s">
        <v>165</v>
      </c>
      <c r="D8" s="123" t="s">
        <v>166</v>
      </c>
      <c r="E8" s="123" t="s">
        <v>167</v>
      </c>
      <c r="F8" s="123" t="s">
        <v>168</v>
      </c>
      <c r="G8" s="123" t="s">
        <v>169</v>
      </c>
      <c r="H8" s="123" t="s">
        <v>97</v>
      </c>
      <c r="I8" s="123" t="s">
        <v>162</v>
      </c>
      <c r="J8" s="123" t="s">
        <v>182</v>
      </c>
      <c r="K8" s="123" t="s">
        <v>170</v>
      </c>
      <c r="L8" s="123" t="s">
        <v>171</v>
      </c>
      <c r="M8" s="123" t="s">
        <v>172</v>
      </c>
      <c r="N8" s="123" t="s">
        <v>163</v>
      </c>
      <c r="O8" s="123" t="s">
        <v>164</v>
      </c>
      <c r="P8" s="123" t="s">
        <v>173</v>
      </c>
      <c r="Q8" s="123" t="s">
        <v>174</v>
      </c>
      <c r="R8" s="123" t="s">
        <v>175</v>
      </c>
      <c r="S8" s="123" t="s">
        <v>179</v>
      </c>
      <c r="T8" s="123" t="s">
        <v>176</v>
      </c>
      <c r="U8" s="123" t="s">
        <v>177</v>
      </c>
      <c r="V8" s="123" t="s">
        <v>49</v>
      </c>
      <c r="W8" s="123" t="s">
        <v>46</v>
      </c>
      <c r="X8" s="123" t="s">
        <v>178</v>
      </c>
    </row>
    <row r="9" spans="1:24" x14ac:dyDescent="0.25">
      <c r="A9" s="129">
        <f t="array" ref="A9:X117">Tools1!BK2:CH110</f>
        <v>17</v>
      </c>
      <c r="B9" s="156">
        <v>9.2352500000000006</v>
      </c>
      <c r="C9" s="156">
        <v>2010299368.6868694</v>
      </c>
      <c r="D9" s="156">
        <v>1.4061370507597857</v>
      </c>
      <c r="E9" s="156">
        <v>-0.19096000000000002</v>
      </c>
      <c r="F9" s="156">
        <v>1.2151770507597857</v>
      </c>
      <c r="G9" s="156">
        <v>0.18338932766145985</v>
      </c>
      <c r="H9" s="156" t="str">
        <v>(Not available)</v>
      </c>
      <c r="I9" s="156">
        <v>2.9333333333333371E-2</v>
      </c>
      <c r="J9" s="156">
        <v>1.3405189771703228</v>
      </c>
      <c r="K9" s="156">
        <v>3.4665820749624547</v>
      </c>
      <c r="L9" s="156">
        <v>-7.2033363999504099</v>
      </c>
      <c r="M9" s="156">
        <v>0</v>
      </c>
      <c r="N9" s="156">
        <v>0</v>
      </c>
      <c r="O9" s="156">
        <v>0.11036696804033228</v>
      </c>
      <c r="P9" s="156" t="e">
        <v>#N/A</v>
      </c>
      <c r="Q9" s="156">
        <v>0.04</v>
      </c>
      <c r="R9" s="156">
        <v>7.0000000000000007E-2</v>
      </c>
      <c r="S9" s="158" t="e">
        <v>#N/A</v>
      </c>
      <c r="T9" s="156">
        <v>578.74658739068877</v>
      </c>
      <c r="U9" s="158" t="e">
        <v>#N/A</v>
      </c>
      <c r="V9" s="156">
        <v>19.050609523240396</v>
      </c>
      <c r="W9" s="156">
        <v>33.33856666567069</v>
      </c>
      <c r="X9" s="156" t="e">
        <v>#N/A</v>
      </c>
    </row>
    <row r="10" spans="1:24" x14ac:dyDescent="0.25">
      <c r="A10" s="129">
        <v>18</v>
      </c>
      <c r="B10" s="156">
        <v>9.7785000000000011</v>
      </c>
      <c r="C10" s="156">
        <v>2128552272.7272732</v>
      </c>
      <c r="D10" s="156">
        <v>1.3966267233533478</v>
      </c>
      <c r="E10" s="156">
        <v>-0.19096000000000002</v>
      </c>
      <c r="F10" s="156">
        <v>1.2056667233533478</v>
      </c>
      <c r="G10" s="156">
        <v>0.19417693517095749</v>
      </c>
      <c r="H10" s="156">
        <v>0.48559032669879998</v>
      </c>
      <c r="I10" s="156">
        <v>2.9333333333333371E-2</v>
      </c>
      <c r="J10" s="156">
        <v>0.87419588598166476</v>
      </c>
      <c r="K10" s="156">
        <v>2.2606705611485851</v>
      </c>
      <c r="L10" s="156">
        <v>-5.9974248861365407</v>
      </c>
      <c r="M10" s="156">
        <v>0</v>
      </c>
      <c r="N10" s="156">
        <v>0</v>
      </c>
      <c r="O10" s="156">
        <v>0.10073490031662363</v>
      </c>
      <c r="P10" s="156">
        <v>0.61565856034875699</v>
      </c>
      <c r="Q10" s="156">
        <v>0.04</v>
      </c>
      <c r="R10" s="156">
        <v>7.0000000000000007E-2</v>
      </c>
      <c r="S10" s="158">
        <v>1.9313252837021049</v>
      </c>
      <c r="T10" s="156">
        <v>643.75901830564567</v>
      </c>
      <c r="U10" s="158">
        <v>328.72745240844455</v>
      </c>
      <c r="V10" s="156">
        <v>21.357776766539409</v>
      </c>
      <c r="W10" s="156">
        <v>37.376109341443964</v>
      </c>
      <c r="X10" s="156">
        <v>1031.2203568220737</v>
      </c>
    </row>
    <row r="11" spans="1:24" x14ac:dyDescent="0.25">
      <c r="A11" s="129">
        <v>20</v>
      </c>
      <c r="B11" s="156">
        <v>10.865</v>
      </c>
      <c r="C11" s="156">
        <v>2365058080.8080812</v>
      </c>
      <c r="D11" s="156">
        <v>1.3793473037987007</v>
      </c>
      <c r="E11" s="156">
        <v>-0.19096000000000002</v>
      </c>
      <c r="F11" s="156">
        <v>1.1883873037987007</v>
      </c>
      <c r="G11" s="156">
        <v>0.21575215018995275</v>
      </c>
      <c r="H11" s="156">
        <v>0.52076167940022255</v>
      </c>
      <c r="I11" s="156">
        <v>2.9333333333333371E-2</v>
      </c>
      <c r="J11" s="156">
        <v>-5.8450296395652579E-2</v>
      </c>
      <c r="K11" s="156">
        <v>-0.15115246647915759</v>
      </c>
      <c r="L11" s="156">
        <v>-3.5856018585087974</v>
      </c>
      <c r="M11" s="156">
        <v>0</v>
      </c>
      <c r="N11" s="156">
        <v>0</v>
      </c>
      <c r="O11" s="156">
        <v>4.8259092117490798E-2</v>
      </c>
      <c r="P11" s="156">
        <v>0.59835410485104668</v>
      </c>
      <c r="Q11" s="156">
        <v>0.04</v>
      </c>
      <c r="R11" s="156">
        <v>7.0000000000000007E-2</v>
      </c>
      <c r="S11" s="158">
        <v>1.8967414086497476</v>
      </c>
      <c r="T11" s="156">
        <v>783.37378847908315</v>
      </c>
      <c r="U11" s="158">
        <v>394.42942588738168</v>
      </c>
      <c r="V11" s="156">
        <v>26.367625637702968</v>
      </c>
      <c r="W11" s="156">
        <v>46.14334486598019</v>
      </c>
      <c r="X11" s="156">
        <v>1250.3141848701482</v>
      </c>
    </row>
    <row r="12" spans="1:24" x14ac:dyDescent="0.25">
      <c r="A12" s="129" t="e">
        <v>#N/A</v>
      </c>
      <c r="B12" s="156" t="str">
        <v xml:space="preserve"> </v>
      </c>
      <c r="C12" s="156" t="str">
        <v xml:space="preserve"> </v>
      </c>
      <c r="D12" s="156" t="str">
        <v xml:space="preserve"> </v>
      </c>
      <c r="E12" s="156" t="str">
        <v xml:space="preserve"> </v>
      </c>
      <c r="F12" s="156" t="str">
        <v xml:space="preserve"> </v>
      </c>
      <c r="G12" s="156" t="str">
        <v xml:space="preserve"> </v>
      </c>
      <c r="H12" s="156" t="str">
        <v xml:space="preserve"> </v>
      </c>
      <c r="I12" s="156" t="str">
        <v xml:space="preserve"> </v>
      </c>
      <c r="J12" s="156" t="str">
        <v xml:space="preserve"> </v>
      </c>
      <c r="K12" s="156" t="str">
        <v xml:space="preserve"> </v>
      </c>
      <c r="L12" s="156" t="str">
        <v xml:space="preserve"> </v>
      </c>
      <c r="M12" s="156" t="str">
        <v xml:space="preserve"> </v>
      </c>
      <c r="N12" s="156" t="str">
        <v xml:space="preserve"> </v>
      </c>
      <c r="O12" s="156" t="str">
        <v xml:space="preserve"> </v>
      </c>
      <c r="P12" s="156" t="str">
        <v xml:space="preserve"> </v>
      </c>
      <c r="Q12" s="156" t="str">
        <v xml:space="preserve"> </v>
      </c>
      <c r="R12" s="156" t="str">
        <v xml:space="preserve"> </v>
      </c>
      <c r="S12" s="158" t="str">
        <v xml:space="preserve"> </v>
      </c>
      <c r="T12" s="156" t="str">
        <v xml:space="preserve"> </v>
      </c>
      <c r="U12" s="158" t="str">
        <v xml:space="preserve"> </v>
      </c>
      <c r="V12" s="156" t="str">
        <v xml:space="preserve"> </v>
      </c>
      <c r="W12" s="156" t="str">
        <v xml:space="preserve"> </v>
      </c>
      <c r="X12" s="156" t="str">
        <v xml:space="preserve"> </v>
      </c>
    </row>
    <row r="13" spans="1:24" x14ac:dyDescent="0.25">
      <c r="A13" s="129" t="e">
        <v>#N/A</v>
      </c>
      <c r="B13" s="156" t="str">
        <v xml:space="preserve"> </v>
      </c>
      <c r="C13" s="156" t="str">
        <v xml:space="preserve"> </v>
      </c>
      <c r="D13" s="156" t="str">
        <v xml:space="preserve"> </v>
      </c>
      <c r="E13" s="156" t="str">
        <v xml:space="preserve"> </v>
      </c>
      <c r="F13" s="156" t="str">
        <v xml:space="preserve"> </v>
      </c>
      <c r="G13" s="156" t="str">
        <v xml:space="preserve"> </v>
      </c>
      <c r="H13" s="156" t="str">
        <v xml:space="preserve"> </v>
      </c>
      <c r="I13" s="156" t="str">
        <v xml:space="preserve"> </v>
      </c>
      <c r="J13" s="156" t="str">
        <v xml:space="preserve"> </v>
      </c>
      <c r="K13" s="156" t="str">
        <v xml:space="preserve"> </v>
      </c>
      <c r="L13" s="156" t="str">
        <v xml:space="preserve"> </v>
      </c>
      <c r="M13" s="156" t="str">
        <v xml:space="preserve"> </v>
      </c>
      <c r="N13" s="156" t="str">
        <v xml:space="preserve"> </v>
      </c>
      <c r="O13" s="156" t="str">
        <v xml:space="preserve"> </v>
      </c>
      <c r="P13" s="156" t="str">
        <v xml:space="preserve"> </v>
      </c>
      <c r="Q13" s="156" t="str">
        <v xml:space="preserve"> </v>
      </c>
      <c r="R13" s="156" t="str">
        <v xml:space="preserve"> </v>
      </c>
      <c r="S13" s="158" t="str">
        <v xml:space="preserve"> </v>
      </c>
      <c r="T13" s="156" t="str">
        <v xml:space="preserve"> </v>
      </c>
      <c r="U13" s="158" t="str">
        <v xml:space="preserve"> </v>
      </c>
      <c r="V13" s="156" t="str">
        <v xml:space="preserve"> </v>
      </c>
      <c r="W13" s="156" t="str">
        <v xml:space="preserve"> </v>
      </c>
      <c r="X13" s="156" t="str">
        <v xml:space="preserve"> </v>
      </c>
    </row>
    <row r="14" spans="1:24" x14ac:dyDescent="0.25">
      <c r="A14" s="129" t="e">
        <v>#N/A</v>
      </c>
      <c r="B14" s="156" t="str">
        <v xml:space="preserve"> </v>
      </c>
      <c r="C14" s="156" t="str">
        <v xml:space="preserve"> </v>
      </c>
      <c r="D14" s="156" t="str">
        <v xml:space="preserve"> </v>
      </c>
      <c r="E14" s="156" t="str">
        <v xml:space="preserve"> </v>
      </c>
      <c r="F14" s="156" t="str">
        <v xml:space="preserve"> </v>
      </c>
      <c r="G14" s="156" t="str">
        <v xml:space="preserve"> </v>
      </c>
      <c r="H14" s="156" t="str">
        <v xml:space="preserve"> </v>
      </c>
      <c r="I14" s="156" t="str">
        <v xml:space="preserve"> </v>
      </c>
      <c r="J14" s="156" t="str">
        <v xml:space="preserve"> </v>
      </c>
      <c r="K14" s="156" t="str">
        <v xml:space="preserve"> </v>
      </c>
      <c r="L14" s="156" t="str">
        <v xml:space="preserve"> </v>
      </c>
      <c r="M14" s="156" t="str">
        <v xml:space="preserve"> </v>
      </c>
      <c r="N14" s="156" t="str">
        <v xml:space="preserve"> </v>
      </c>
      <c r="O14" s="156" t="str">
        <v xml:space="preserve"> </v>
      </c>
      <c r="P14" s="156" t="str">
        <v xml:space="preserve"> </v>
      </c>
      <c r="Q14" s="156" t="str">
        <v xml:space="preserve"> </v>
      </c>
      <c r="R14" s="156" t="str">
        <v xml:space="preserve"> </v>
      </c>
      <c r="S14" s="158" t="str">
        <v xml:space="preserve"> </v>
      </c>
      <c r="T14" s="156" t="str">
        <v xml:space="preserve"> </v>
      </c>
      <c r="U14" s="158" t="str">
        <v xml:space="preserve"> </v>
      </c>
      <c r="V14" s="156" t="str">
        <v xml:space="preserve"> </v>
      </c>
      <c r="W14" s="156" t="str">
        <v xml:space="preserve"> </v>
      </c>
      <c r="X14" s="156" t="str">
        <v xml:space="preserve"> </v>
      </c>
    </row>
    <row r="15" spans="1:24" x14ac:dyDescent="0.25">
      <c r="A15" s="129" t="e">
        <v>#N/A</v>
      </c>
      <c r="B15" s="156" t="str">
        <v xml:space="preserve"> </v>
      </c>
      <c r="C15" s="156" t="str">
        <v xml:space="preserve"> </v>
      </c>
      <c r="D15" s="156" t="str">
        <v xml:space="preserve"> </v>
      </c>
      <c r="E15" s="156" t="str">
        <v xml:space="preserve"> </v>
      </c>
      <c r="F15" s="156" t="str">
        <v xml:space="preserve"> </v>
      </c>
      <c r="G15" s="156" t="str">
        <v xml:space="preserve"> </v>
      </c>
      <c r="H15" s="156" t="str">
        <v xml:space="preserve"> </v>
      </c>
      <c r="I15" s="156" t="str">
        <v xml:space="preserve"> </v>
      </c>
      <c r="J15" s="156" t="str">
        <v xml:space="preserve"> </v>
      </c>
      <c r="K15" s="156" t="str">
        <v xml:space="preserve"> </v>
      </c>
      <c r="L15" s="156" t="str">
        <v xml:space="preserve"> </v>
      </c>
      <c r="M15" s="156" t="str">
        <v xml:space="preserve"> </v>
      </c>
      <c r="N15" s="156" t="str">
        <v xml:space="preserve"> </v>
      </c>
      <c r="O15" s="156" t="str">
        <v xml:space="preserve"> </v>
      </c>
      <c r="P15" s="156" t="str">
        <v xml:space="preserve"> </v>
      </c>
      <c r="Q15" s="156" t="str">
        <v xml:space="preserve"> </v>
      </c>
      <c r="R15" s="156" t="str">
        <v xml:space="preserve"> </v>
      </c>
      <c r="S15" s="158" t="str">
        <v xml:space="preserve"> </v>
      </c>
      <c r="T15" s="156" t="str">
        <v xml:space="preserve"> </v>
      </c>
      <c r="U15" s="158" t="str">
        <v xml:space="preserve"> </v>
      </c>
      <c r="V15" s="156" t="str">
        <v xml:space="preserve"> </v>
      </c>
      <c r="W15" s="156" t="str">
        <v xml:space="preserve"> </v>
      </c>
      <c r="X15" s="156" t="str">
        <v xml:space="preserve"> </v>
      </c>
    </row>
    <row r="16" spans="1:24" x14ac:dyDescent="0.25">
      <c r="A16" s="129" t="e">
        <v>#N/A</v>
      </c>
      <c r="B16" s="156" t="str">
        <v xml:space="preserve"> </v>
      </c>
      <c r="C16" s="156" t="str">
        <v xml:space="preserve"> </v>
      </c>
      <c r="D16" s="156" t="str">
        <v xml:space="preserve"> </v>
      </c>
      <c r="E16" s="156" t="str">
        <v xml:space="preserve"> </v>
      </c>
      <c r="F16" s="156" t="str">
        <v xml:space="preserve"> </v>
      </c>
      <c r="G16" s="156" t="str">
        <v xml:space="preserve"> </v>
      </c>
      <c r="H16" s="156" t="str">
        <v xml:space="preserve"> </v>
      </c>
      <c r="I16" s="156" t="str">
        <v xml:space="preserve"> </v>
      </c>
      <c r="J16" s="156" t="str">
        <v xml:space="preserve"> </v>
      </c>
      <c r="K16" s="156" t="str">
        <v xml:space="preserve"> </v>
      </c>
      <c r="L16" s="156" t="str">
        <v xml:space="preserve"> </v>
      </c>
      <c r="M16" s="156" t="str">
        <v xml:space="preserve"> </v>
      </c>
      <c r="N16" s="156" t="str">
        <v xml:space="preserve"> </v>
      </c>
      <c r="O16" s="156" t="str">
        <v xml:space="preserve"> </v>
      </c>
      <c r="P16" s="156" t="str">
        <v xml:space="preserve"> </v>
      </c>
      <c r="Q16" s="156" t="str">
        <v xml:space="preserve"> </v>
      </c>
      <c r="R16" s="156" t="str">
        <v xml:space="preserve"> </v>
      </c>
      <c r="S16" s="158" t="str">
        <v xml:space="preserve"> </v>
      </c>
      <c r="T16" s="156" t="str">
        <v xml:space="preserve"> </v>
      </c>
      <c r="U16" s="158" t="str">
        <v xml:space="preserve"> </v>
      </c>
      <c r="V16" s="156" t="str">
        <v xml:space="preserve"> </v>
      </c>
      <c r="W16" s="156" t="str">
        <v xml:space="preserve"> </v>
      </c>
      <c r="X16" s="156" t="str">
        <v xml:space="preserve"> </v>
      </c>
    </row>
    <row r="17" spans="1:24" x14ac:dyDescent="0.25">
      <c r="A17" s="129" t="e">
        <v>#N/A</v>
      </c>
      <c r="B17" s="156" t="str">
        <v xml:space="preserve"> </v>
      </c>
      <c r="C17" s="156" t="str">
        <v xml:space="preserve"> </v>
      </c>
      <c r="D17" s="156" t="str">
        <v xml:space="preserve"> </v>
      </c>
      <c r="E17" s="156" t="str">
        <v xml:space="preserve"> </v>
      </c>
      <c r="F17" s="156" t="str">
        <v xml:space="preserve"> </v>
      </c>
      <c r="G17" s="156" t="str">
        <v xml:space="preserve"> </v>
      </c>
      <c r="H17" s="156" t="str">
        <v xml:space="preserve"> </v>
      </c>
      <c r="I17" s="156" t="str">
        <v xml:space="preserve"> </v>
      </c>
      <c r="J17" s="156" t="str">
        <v xml:space="preserve"> </v>
      </c>
      <c r="K17" s="156" t="str">
        <v xml:space="preserve"> </v>
      </c>
      <c r="L17" s="156" t="str">
        <v xml:space="preserve"> </v>
      </c>
      <c r="M17" s="156" t="str">
        <v xml:space="preserve"> </v>
      </c>
      <c r="N17" s="156" t="str">
        <v xml:space="preserve"> </v>
      </c>
      <c r="O17" s="156" t="str">
        <v xml:space="preserve"> </v>
      </c>
      <c r="P17" s="156" t="str">
        <v xml:space="preserve"> </v>
      </c>
      <c r="Q17" s="156" t="str">
        <v xml:space="preserve"> </v>
      </c>
      <c r="R17" s="156" t="str">
        <v xml:space="preserve"> </v>
      </c>
      <c r="S17" s="158" t="str">
        <v xml:space="preserve"> </v>
      </c>
      <c r="T17" s="156" t="str">
        <v xml:space="preserve"> </v>
      </c>
      <c r="U17" s="158" t="str">
        <v xml:space="preserve"> </v>
      </c>
      <c r="V17" s="156" t="str">
        <v xml:space="preserve"> </v>
      </c>
      <c r="W17" s="156" t="str">
        <v xml:space="preserve"> </v>
      </c>
      <c r="X17" s="156" t="str">
        <v xml:space="preserve"> </v>
      </c>
    </row>
    <row r="18" spans="1:24" x14ac:dyDescent="0.25">
      <c r="A18" s="129" t="e">
        <v>#N/A</v>
      </c>
      <c r="B18" s="156" t="str">
        <v xml:space="preserve"> </v>
      </c>
      <c r="C18" s="156" t="str">
        <v xml:space="preserve"> </v>
      </c>
      <c r="D18" s="156" t="str">
        <v xml:space="preserve"> </v>
      </c>
      <c r="E18" s="156" t="str">
        <v xml:space="preserve"> </v>
      </c>
      <c r="F18" s="156" t="str">
        <v xml:space="preserve"> </v>
      </c>
      <c r="G18" s="156" t="str">
        <v xml:space="preserve"> </v>
      </c>
      <c r="H18" s="156" t="str">
        <v xml:space="preserve"> </v>
      </c>
      <c r="I18" s="156" t="str">
        <v xml:space="preserve"> </v>
      </c>
      <c r="J18" s="156" t="str">
        <v xml:space="preserve"> </v>
      </c>
      <c r="K18" s="156" t="str">
        <v xml:space="preserve"> </v>
      </c>
      <c r="L18" s="156" t="str">
        <v xml:space="preserve"> </v>
      </c>
      <c r="M18" s="156" t="str">
        <v xml:space="preserve"> </v>
      </c>
      <c r="N18" s="156" t="str">
        <v xml:space="preserve"> </v>
      </c>
      <c r="O18" s="156" t="str">
        <v xml:space="preserve"> </v>
      </c>
      <c r="P18" s="156" t="str">
        <v xml:space="preserve"> </v>
      </c>
      <c r="Q18" s="156" t="str">
        <v xml:space="preserve"> </v>
      </c>
      <c r="R18" s="156" t="str">
        <v xml:space="preserve"> </v>
      </c>
      <c r="S18" s="158" t="str">
        <v xml:space="preserve"> </v>
      </c>
      <c r="T18" s="156" t="str">
        <v xml:space="preserve"> </v>
      </c>
      <c r="U18" s="158" t="str">
        <v xml:space="preserve"> </v>
      </c>
      <c r="V18" s="156" t="str">
        <v xml:space="preserve"> </v>
      </c>
      <c r="W18" s="156" t="str">
        <v xml:space="preserve"> </v>
      </c>
      <c r="X18" s="156" t="str">
        <v xml:space="preserve"> </v>
      </c>
    </row>
    <row r="19" spans="1:24" x14ac:dyDescent="0.25">
      <c r="A19" s="129" t="e">
        <v>#N/A</v>
      </c>
      <c r="B19" s="156" t="str">
        <v xml:space="preserve"> </v>
      </c>
      <c r="C19" s="156" t="str">
        <v xml:space="preserve"> </v>
      </c>
      <c r="D19" s="156" t="str">
        <v xml:space="preserve"> </v>
      </c>
      <c r="E19" s="156" t="str">
        <v xml:space="preserve"> </v>
      </c>
      <c r="F19" s="156" t="str">
        <v xml:space="preserve"> </v>
      </c>
      <c r="G19" s="156" t="str">
        <v xml:space="preserve"> </v>
      </c>
      <c r="H19" s="156" t="str">
        <v xml:space="preserve"> </v>
      </c>
      <c r="I19" s="156" t="str">
        <v xml:space="preserve"> </v>
      </c>
      <c r="J19" s="156" t="str">
        <v xml:space="preserve"> </v>
      </c>
      <c r="K19" s="156" t="str">
        <v xml:space="preserve"> </v>
      </c>
      <c r="L19" s="156" t="str">
        <v xml:space="preserve"> </v>
      </c>
      <c r="M19" s="156" t="str">
        <v xml:space="preserve"> </v>
      </c>
      <c r="N19" s="156" t="str">
        <v xml:space="preserve"> </v>
      </c>
      <c r="O19" s="156" t="str">
        <v xml:space="preserve"> </v>
      </c>
      <c r="P19" s="156" t="str">
        <v xml:space="preserve"> </v>
      </c>
      <c r="Q19" s="156" t="str">
        <v xml:space="preserve"> </v>
      </c>
      <c r="R19" s="156" t="str">
        <v xml:space="preserve"> </v>
      </c>
      <c r="S19" s="158" t="str">
        <v xml:space="preserve"> </v>
      </c>
      <c r="T19" s="156" t="str">
        <v xml:space="preserve"> </v>
      </c>
      <c r="U19" s="158" t="str">
        <v xml:space="preserve"> </v>
      </c>
      <c r="V19" s="156" t="str">
        <v xml:space="preserve"> </v>
      </c>
      <c r="W19" s="156" t="str">
        <v xml:space="preserve"> </v>
      </c>
      <c r="X19" s="156" t="str">
        <v xml:space="preserve"> </v>
      </c>
    </row>
    <row r="20" spans="1:24" x14ac:dyDescent="0.25">
      <c r="A20" s="129" t="e">
        <v>#N/A</v>
      </c>
      <c r="B20" s="156" t="str">
        <v xml:space="preserve"> </v>
      </c>
      <c r="C20" s="156" t="str">
        <v xml:space="preserve"> </v>
      </c>
      <c r="D20" s="156" t="str">
        <v xml:space="preserve"> </v>
      </c>
      <c r="E20" s="156" t="str">
        <v xml:space="preserve"> </v>
      </c>
      <c r="F20" s="156" t="str">
        <v xml:space="preserve"> </v>
      </c>
      <c r="G20" s="156" t="str">
        <v xml:space="preserve"> </v>
      </c>
      <c r="H20" s="156" t="str">
        <v xml:space="preserve"> </v>
      </c>
      <c r="I20" s="156" t="str">
        <v xml:space="preserve"> </v>
      </c>
      <c r="J20" s="156" t="str">
        <v xml:space="preserve"> </v>
      </c>
      <c r="K20" s="156" t="str">
        <v xml:space="preserve"> </v>
      </c>
      <c r="L20" s="156" t="str">
        <v xml:space="preserve"> </v>
      </c>
      <c r="M20" s="156" t="str">
        <v xml:space="preserve"> </v>
      </c>
      <c r="N20" s="156" t="str">
        <v xml:space="preserve"> </v>
      </c>
      <c r="O20" s="156" t="str">
        <v xml:space="preserve"> </v>
      </c>
      <c r="P20" s="156" t="str">
        <v xml:space="preserve"> </v>
      </c>
      <c r="Q20" s="156" t="str">
        <v xml:space="preserve"> </v>
      </c>
      <c r="R20" s="156" t="str">
        <v xml:space="preserve"> </v>
      </c>
      <c r="S20" s="158" t="str">
        <v xml:space="preserve"> </v>
      </c>
      <c r="T20" s="156" t="str">
        <v xml:space="preserve"> </v>
      </c>
      <c r="U20" s="158" t="str">
        <v xml:space="preserve"> </v>
      </c>
      <c r="V20" s="156" t="str">
        <v xml:space="preserve"> </v>
      </c>
      <c r="W20" s="156" t="str">
        <v xml:space="preserve"> </v>
      </c>
      <c r="X20" s="156" t="str">
        <v xml:space="preserve"> </v>
      </c>
    </row>
    <row r="21" spans="1:24" x14ac:dyDescent="0.25">
      <c r="A21" s="129" t="e">
        <v>#N/A</v>
      </c>
      <c r="B21" s="156" t="str">
        <v xml:space="preserve"> </v>
      </c>
      <c r="C21" s="156" t="str">
        <v xml:space="preserve"> </v>
      </c>
      <c r="D21" s="156" t="str">
        <v xml:space="preserve"> </v>
      </c>
      <c r="E21" s="156" t="str">
        <v xml:space="preserve"> </v>
      </c>
      <c r="F21" s="156" t="str">
        <v xml:space="preserve"> </v>
      </c>
      <c r="G21" s="156" t="str">
        <v xml:space="preserve"> </v>
      </c>
      <c r="H21" s="156" t="str">
        <v xml:space="preserve"> </v>
      </c>
      <c r="I21" s="156" t="str">
        <v xml:space="preserve"> </v>
      </c>
      <c r="J21" s="156" t="str">
        <v xml:space="preserve"> </v>
      </c>
      <c r="K21" s="156" t="str">
        <v xml:space="preserve"> </v>
      </c>
      <c r="L21" s="156" t="str">
        <v xml:space="preserve"> </v>
      </c>
      <c r="M21" s="156" t="str">
        <v xml:space="preserve"> </v>
      </c>
      <c r="N21" s="156" t="str">
        <v xml:space="preserve"> </v>
      </c>
      <c r="O21" s="156" t="str">
        <v xml:space="preserve"> </v>
      </c>
      <c r="P21" s="156" t="str">
        <v xml:space="preserve"> </v>
      </c>
      <c r="Q21" s="156" t="str">
        <v xml:space="preserve"> </v>
      </c>
      <c r="R21" s="156" t="str">
        <v xml:space="preserve"> </v>
      </c>
      <c r="S21" s="158" t="str">
        <v xml:space="preserve"> </v>
      </c>
      <c r="T21" s="156" t="str">
        <v xml:space="preserve"> </v>
      </c>
      <c r="U21" s="158" t="str">
        <v xml:space="preserve"> </v>
      </c>
      <c r="V21" s="156" t="str">
        <v xml:space="preserve"> </v>
      </c>
      <c r="W21" s="156" t="str">
        <v xml:space="preserve"> </v>
      </c>
      <c r="X21" s="156" t="str">
        <v xml:space="preserve"> </v>
      </c>
    </row>
    <row r="22" spans="1:24" x14ac:dyDescent="0.25">
      <c r="A22" s="129" t="e">
        <v>#N/A</v>
      </c>
      <c r="B22" s="156" t="str">
        <v xml:space="preserve"> </v>
      </c>
      <c r="C22" s="156" t="str">
        <v xml:space="preserve"> </v>
      </c>
      <c r="D22" s="156" t="str">
        <v xml:space="preserve"> </v>
      </c>
      <c r="E22" s="156" t="str">
        <v xml:space="preserve"> </v>
      </c>
      <c r="F22" s="156" t="str">
        <v xml:space="preserve"> </v>
      </c>
      <c r="G22" s="156" t="str">
        <v xml:space="preserve"> </v>
      </c>
      <c r="H22" s="156" t="str">
        <v xml:space="preserve"> </v>
      </c>
      <c r="I22" s="156" t="str">
        <v xml:space="preserve"> </v>
      </c>
      <c r="J22" s="156" t="str">
        <v xml:space="preserve"> </v>
      </c>
      <c r="K22" s="156" t="str">
        <v xml:space="preserve"> </v>
      </c>
      <c r="L22" s="156" t="str">
        <v xml:space="preserve"> </v>
      </c>
      <c r="M22" s="156" t="str">
        <v xml:space="preserve"> </v>
      </c>
      <c r="N22" s="156" t="str">
        <v xml:space="preserve"> </v>
      </c>
      <c r="O22" s="156" t="str">
        <v xml:space="preserve"> </v>
      </c>
      <c r="P22" s="156" t="str">
        <v xml:space="preserve"> </v>
      </c>
      <c r="Q22" s="156" t="str">
        <v xml:space="preserve"> </v>
      </c>
      <c r="R22" s="156" t="str">
        <v xml:space="preserve"> </v>
      </c>
      <c r="S22" s="158" t="str">
        <v xml:space="preserve"> </v>
      </c>
      <c r="T22" s="156" t="str">
        <v xml:space="preserve"> </v>
      </c>
      <c r="U22" s="158" t="str">
        <v xml:space="preserve"> </v>
      </c>
      <c r="V22" s="156" t="str">
        <v xml:space="preserve"> </v>
      </c>
      <c r="W22" s="156" t="str">
        <v xml:space="preserve"> </v>
      </c>
      <c r="X22" s="156" t="str">
        <v xml:space="preserve"> </v>
      </c>
    </row>
    <row r="23" spans="1:24" x14ac:dyDescent="0.25">
      <c r="A23" s="129" t="e">
        <v>#N/A</v>
      </c>
      <c r="B23" s="156" t="str">
        <v xml:space="preserve"> </v>
      </c>
      <c r="C23" s="156" t="str">
        <v xml:space="preserve"> </v>
      </c>
      <c r="D23" s="156" t="str">
        <v xml:space="preserve"> </v>
      </c>
      <c r="E23" s="156" t="str">
        <v xml:space="preserve"> </v>
      </c>
      <c r="F23" s="156" t="str">
        <v xml:space="preserve"> </v>
      </c>
      <c r="G23" s="156" t="str">
        <v xml:space="preserve"> </v>
      </c>
      <c r="H23" s="156" t="str">
        <v xml:space="preserve"> </v>
      </c>
      <c r="I23" s="156" t="str">
        <v xml:space="preserve"> </v>
      </c>
      <c r="J23" s="156" t="str">
        <v xml:space="preserve"> </v>
      </c>
      <c r="K23" s="156" t="str">
        <v xml:space="preserve"> </v>
      </c>
      <c r="L23" s="156" t="str">
        <v xml:space="preserve"> </v>
      </c>
      <c r="M23" s="156" t="str">
        <v xml:space="preserve"> </v>
      </c>
      <c r="N23" s="156" t="str">
        <v xml:space="preserve"> </v>
      </c>
      <c r="O23" s="156" t="str">
        <v xml:space="preserve"> </v>
      </c>
      <c r="P23" s="156" t="str">
        <v xml:space="preserve"> </v>
      </c>
      <c r="Q23" s="156" t="str">
        <v xml:space="preserve"> </v>
      </c>
      <c r="R23" s="156" t="str">
        <v xml:space="preserve"> </v>
      </c>
      <c r="S23" s="158" t="str">
        <v xml:space="preserve"> </v>
      </c>
      <c r="T23" s="156" t="str">
        <v xml:space="preserve"> </v>
      </c>
      <c r="U23" s="158" t="str">
        <v xml:space="preserve"> </v>
      </c>
      <c r="V23" s="156" t="str">
        <v xml:space="preserve"> </v>
      </c>
      <c r="W23" s="156" t="str">
        <v xml:space="preserve"> </v>
      </c>
      <c r="X23" s="156" t="str">
        <v xml:space="preserve"> </v>
      </c>
    </row>
    <row r="24" spans="1:24" x14ac:dyDescent="0.25">
      <c r="A24" s="129" t="e">
        <v>#N/A</v>
      </c>
      <c r="B24" s="156" t="str">
        <v xml:space="preserve"> </v>
      </c>
      <c r="C24" s="156" t="str">
        <v xml:space="preserve"> </v>
      </c>
      <c r="D24" s="156" t="str">
        <v xml:space="preserve"> </v>
      </c>
      <c r="E24" s="156" t="str">
        <v xml:space="preserve"> </v>
      </c>
      <c r="F24" s="156" t="str">
        <v xml:space="preserve"> </v>
      </c>
      <c r="G24" s="156" t="str">
        <v xml:space="preserve"> </v>
      </c>
      <c r="H24" s="156" t="str">
        <v xml:space="preserve"> </v>
      </c>
      <c r="I24" s="156" t="str">
        <v xml:space="preserve"> </v>
      </c>
      <c r="J24" s="156" t="str">
        <v xml:space="preserve"> </v>
      </c>
      <c r="K24" s="156" t="str">
        <v xml:space="preserve"> </v>
      </c>
      <c r="L24" s="156" t="str">
        <v xml:space="preserve"> </v>
      </c>
      <c r="M24" s="156" t="str">
        <v xml:space="preserve"> </v>
      </c>
      <c r="N24" s="156" t="str">
        <v xml:space="preserve"> </v>
      </c>
      <c r="O24" s="156" t="str">
        <v xml:space="preserve"> </v>
      </c>
      <c r="P24" s="156" t="str">
        <v xml:space="preserve"> </v>
      </c>
      <c r="Q24" s="156" t="str">
        <v xml:space="preserve"> </v>
      </c>
      <c r="R24" s="156" t="str">
        <v xml:space="preserve"> </v>
      </c>
      <c r="S24" s="158" t="str">
        <v xml:space="preserve"> </v>
      </c>
      <c r="T24" s="156" t="str">
        <v xml:space="preserve"> </v>
      </c>
      <c r="U24" s="158" t="str">
        <v xml:space="preserve"> </v>
      </c>
      <c r="V24" s="156" t="str">
        <v xml:space="preserve"> </v>
      </c>
      <c r="W24" s="156" t="str">
        <v xml:space="preserve"> </v>
      </c>
      <c r="X24" s="156" t="str">
        <v xml:space="preserve"> </v>
      </c>
    </row>
    <row r="25" spans="1:24" x14ac:dyDescent="0.25">
      <c r="A25" s="129" t="e">
        <v>#N/A</v>
      </c>
      <c r="B25" s="156" t="str">
        <v xml:space="preserve"> </v>
      </c>
      <c r="C25" s="156" t="str">
        <v xml:space="preserve"> </v>
      </c>
      <c r="D25" s="156" t="str">
        <v xml:space="preserve"> </v>
      </c>
      <c r="E25" s="156" t="str">
        <v xml:space="preserve"> </v>
      </c>
      <c r="F25" s="156" t="str">
        <v xml:space="preserve"> </v>
      </c>
      <c r="G25" s="156" t="str">
        <v xml:space="preserve"> </v>
      </c>
      <c r="H25" s="156" t="str">
        <v xml:space="preserve"> </v>
      </c>
      <c r="I25" s="156" t="str">
        <v xml:space="preserve"> </v>
      </c>
      <c r="J25" s="156" t="str">
        <v xml:space="preserve"> </v>
      </c>
      <c r="K25" s="156" t="str">
        <v xml:space="preserve"> </v>
      </c>
      <c r="L25" s="156" t="str">
        <v xml:space="preserve"> </v>
      </c>
      <c r="M25" s="156" t="str">
        <v xml:space="preserve"> </v>
      </c>
      <c r="N25" s="156" t="str">
        <v xml:space="preserve"> </v>
      </c>
      <c r="O25" s="156" t="str">
        <v xml:space="preserve"> </v>
      </c>
      <c r="P25" s="156" t="str">
        <v xml:space="preserve"> </v>
      </c>
      <c r="Q25" s="156" t="str">
        <v xml:space="preserve"> </v>
      </c>
      <c r="R25" s="156" t="str">
        <v xml:space="preserve"> </v>
      </c>
      <c r="S25" s="158" t="str">
        <v xml:space="preserve"> </v>
      </c>
      <c r="T25" s="156" t="str">
        <v xml:space="preserve"> </v>
      </c>
      <c r="U25" s="158" t="str">
        <v xml:space="preserve"> </v>
      </c>
      <c r="V25" s="156" t="str">
        <v xml:space="preserve"> </v>
      </c>
      <c r="W25" s="156" t="str">
        <v xml:space="preserve"> </v>
      </c>
      <c r="X25" s="156" t="str">
        <v xml:space="preserve"> </v>
      </c>
    </row>
    <row r="26" spans="1:24" x14ac:dyDescent="0.25">
      <c r="A26" s="129" t="e">
        <v>#N/A</v>
      </c>
      <c r="B26" s="156" t="str">
        <v xml:space="preserve"> </v>
      </c>
      <c r="C26" s="156" t="str">
        <v xml:space="preserve"> </v>
      </c>
      <c r="D26" s="156" t="str">
        <v xml:space="preserve"> </v>
      </c>
      <c r="E26" s="156" t="str">
        <v xml:space="preserve"> </v>
      </c>
      <c r="F26" s="156" t="str">
        <v xml:space="preserve"> </v>
      </c>
      <c r="G26" s="156" t="str">
        <v xml:space="preserve"> </v>
      </c>
      <c r="H26" s="156" t="str">
        <v xml:space="preserve"> </v>
      </c>
      <c r="I26" s="156" t="str">
        <v xml:space="preserve"> </v>
      </c>
      <c r="J26" s="156" t="str">
        <v xml:space="preserve"> </v>
      </c>
      <c r="K26" s="156" t="str">
        <v xml:space="preserve"> </v>
      </c>
      <c r="L26" s="156" t="str">
        <v xml:space="preserve"> </v>
      </c>
      <c r="M26" s="156" t="str">
        <v xml:space="preserve"> </v>
      </c>
      <c r="N26" s="156" t="str">
        <v xml:space="preserve"> </v>
      </c>
      <c r="O26" s="156" t="str">
        <v xml:space="preserve"> </v>
      </c>
      <c r="P26" s="156" t="str">
        <v xml:space="preserve"> </v>
      </c>
      <c r="Q26" s="156" t="str">
        <v xml:space="preserve"> </v>
      </c>
      <c r="R26" s="156" t="str">
        <v xml:space="preserve"> </v>
      </c>
      <c r="S26" s="158" t="str">
        <v xml:space="preserve"> </v>
      </c>
      <c r="T26" s="156" t="str">
        <v xml:space="preserve"> </v>
      </c>
      <c r="U26" s="158" t="str">
        <v xml:space="preserve"> </v>
      </c>
      <c r="V26" s="156" t="str">
        <v xml:space="preserve"> </v>
      </c>
      <c r="W26" s="156" t="str">
        <v xml:space="preserve"> </v>
      </c>
      <c r="X26" s="156" t="str">
        <v xml:space="preserve"> </v>
      </c>
    </row>
    <row r="27" spans="1:24" x14ac:dyDescent="0.25">
      <c r="A27" s="129" t="e">
        <v>#N/A</v>
      </c>
      <c r="B27" s="156" t="str">
        <v xml:space="preserve"> </v>
      </c>
      <c r="C27" s="156" t="str">
        <v xml:space="preserve"> </v>
      </c>
      <c r="D27" s="156" t="str">
        <v xml:space="preserve"> </v>
      </c>
      <c r="E27" s="156" t="str">
        <v xml:space="preserve"> </v>
      </c>
      <c r="F27" s="156" t="str">
        <v xml:space="preserve"> </v>
      </c>
      <c r="G27" s="156" t="str">
        <v xml:space="preserve"> </v>
      </c>
      <c r="H27" s="156" t="str">
        <v xml:space="preserve"> </v>
      </c>
      <c r="I27" s="156" t="str">
        <v xml:space="preserve"> </v>
      </c>
      <c r="J27" s="156" t="str">
        <v xml:space="preserve"> </v>
      </c>
      <c r="K27" s="156" t="str">
        <v xml:space="preserve"> </v>
      </c>
      <c r="L27" s="156" t="str">
        <v xml:space="preserve"> </v>
      </c>
      <c r="M27" s="156" t="str">
        <v xml:space="preserve"> </v>
      </c>
      <c r="N27" s="156" t="str">
        <v xml:space="preserve"> </v>
      </c>
      <c r="O27" s="156" t="str">
        <v xml:space="preserve"> </v>
      </c>
      <c r="P27" s="156" t="str">
        <v xml:space="preserve"> </v>
      </c>
      <c r="Q27" s="156" t="str">
        <v xml:space="preserve"> </v>
      </c>
      <c r="R27" s="156" t="str">
        <v xml:space="preserve"> </v>
      </c>
      <c r="S27" s="158" t="str">
        <v xml:space="preserve"> </v>
      </c>
      <c r="T27" s="156" t="str">
        <v xml:space="preserve"> </v>
      </c>
      <c r="U27" s="158" t="str">
        <v xml:space="preserve"> </v>
      </c>
      <c r="V27" s="156" t="str">
        <v xml:space="preserve"> </v>
      </c>
      <c r="W27" s="156" t="str">
        <v xml:space="preserve"> </v>
      </c>
      <c r="X27" s="156" t="str">
        <v xml:space="preserve"> </v>
      </c>
    </row>
    <row r="28" spans="1:24" x14ac:dyDescent="0.25">
      <c r="A28" s="129" t="e">
        <v>#N/A</v>
      </c>
      <c r="B28" s="156" t="str">
        <v xml:space="preserve"> </v>
      </c>
      <c r="C28" s="156" t="str">
        <v xml:space="preserve"> </v>
      </c>
      <c r="D28" s="156" t="str">
        <v xml:space="preserve"> </v>
      </c>
      <c r="E28" s="156" t="str">
        <v xml:space="preserve"> </v>
      </c>
      <c r="F28" s="156" t="str">
        <v xml:space="preserve"> </v>
      </c>
      <c r="G28" s="156" t="str">
        <v xml:space="preserve"> </v>
      </c>
      <c r="H28" s="156" t="str">
        <v xml:space="preserve"> </v>
      </c>
      <c r="I28" s="156" t="str">
        <v xml:space="preserve"> </v>
      </c>
      <c r="J28" s="156" t="str">
        <v xml:space="preserve"> </v>
      </c>
      <c r="K28" s="156" t="str">
        <v xml:space="preserve"> </v>
      </c>
      <c r="L28" s="156" t="str">
        <v xml:space="preserve"> </v>
      </c>
      <c r="M28" s="156" t="str">
        <v xml:space="preserve"> </v>
      </c>
      <c r="N28" s="156" t="str">
        <v xml:space="preserve"> </v>
      </c>
      <c r="O28" s="156" t="str">
        <v xml:space="preserve"> </v>
      </c>
      <c r="P28" s="156" t="str">
        <v xml:space="preserve"> </v>
      </c>
      <c r="Q28" s="156" t="str">
        <v xml:space="preserve"> </v>
      </c>
      <c r="R28" s="156" t="str">
        <v xml:space="preserve"> </v>
      </c>
      <c r="S28" s="158" t="str">
        <v xml:space="preserve"> </v>
      </c>
      <c r="T28" s="156" t="str">
        <v xml:space="preserve"> </v>
      </c>
      <c r="U28" s="158" t="str">
        <v xml:space="preserve"> </v>
      </c>
      <c r="V28" s="156" t="str">
        <v xml:space="preserve"> </v>
      </c>
      <c r="W28" s="156" t="str">
        <v xml:space="preserve"> </v>
      </c>
      <c r="X28" s="156" t="str">
        <v xml:space="preserve"> </v>
      </c>
    </row>
    <row r="29" spans="1:24" x14ac:dyDescent="0.25">
      <c r="A29" s="129" t="e">
        <v>#N/A</v>
      </c>
      <c r="B29" s="156" t="str">
        <v xml:space="preserve"> </v>
      </c>
      <c r="C29" s="156" t="str">
        <v xml:space="preserve"> </v>
      </c>
      <c r="D29" s="156" t="str">
        <v xml:space="preserve"> </v>
      </c>
      <c r="E29" s="156" t="str">
        <v xml:space="preserve"> </v>
      </c>
      <c r="F29" s="156" t="str">
        <v xml:space="preserve"> </v>
      </c>
      <c r="G29" s="156" t="str">
        <v xml:space="preserve"> </v>
      </c>
      <c r="H29" s="156" t="str">
        <v xml:space="preserve"> </v>
      </c>
      <c r="I29" s="156" t="str">
        <v xml:space="preserve"> </v>
      </c>
      <c r="J29" s="156" t="str">
        <v xml:space="preserve"> </v>
      </c>
      <c r="K29" s="156" t="str">
        <v xml:space="preserve"> </v>
      </c>
      <c r="L29" s="156" t="str">
        <v xml:space="preserve"> </v>
      </c>
      <c r="M29" s="156" t="str">
        <v xml:space="preserve"> </v>
      </c>
      <c r="N29" s="156" t="str">
        <v xml:space="preserve"> </v>
      </c>
      <c r="O29" s="156" t="str">
        <v xml:space="preserve"> </v>
      </c>
      <c r="P29" s="156" t="str">
        <v xml:space="preserve"> </v>
      </c>
      <c r="Q29" s="156" t="str">
        <v xml:space="preserve"> </v>
      </c>
      <c r="R29" s="156" t="str">
        <v xml:space="preserve"> </v>
      </c>
      <c r="S29" s="158" t="str">
        <v xml:space="preserve"> </v>
      </c>
      <c r="T29" s="156" t="str">
        <v xml:space="preserve"> </v>
      </c>
      <c r="U29" s="158" t="str">
        <v xml:space="preserve"> </v>
      </c>
      <c r="V29" s="156" t="str">
        <v xml:space="preserve"> </v>
      </c>
      <c r="W29" s="156" t="str">
        <v xml:space="preserve"> </v>
      </c>
      <c r="X29" s="156" t="str">
        <v xml:space="preserve"> </v>
      </c>
    </row>
    <row r="30" spans="1:24" x14ac:dyDescent="0.25">
      <c r="A30" s="129" t="e">
        <v>#N/A</v>
      </c>
      <c r="B30" s="156" t="str">
        <v xml:space="preserve"> </v>
      </c>
      <c r="C30" s="156" t="str">
        <v xml:space="preserve"> </v>
      </c>
      <c r="D30" s="156" t="str">
        <v xml:space="preserve"> </v>
      </c>
      <c r="E30" s="156" t="str">
        <v xml:space="preserve"> </v>
      </c>
      <c r="F30" s="156" t="str">
        <v xml:space="preserve"> </v>
      </c>
      <c r="G30" s="156" t="str">
        <v xml:space="preserve"> </v>
      </c>
      <c r="H30" s="156" t="str">
        <v xml:space="preserve"> </v>
      </c>
      <c r="I30" s="156" t="str">
        <v xml:space="preserve"> </v>
      </c>
      <c r="J30" s="156" t="str">
        <v xml:space="preserve"> </v>
      </c>
      <c r="K30" s="156" t="str">
        <v xml:space="preserve"> </v>
      </c>
      <c r="L30" s="156" t="str">
        <v xml:space="preserve"> </v>
      </c>
      <c r="M30" s="156" t="str">
        <v xml:space="preserve"> </v>
      </c>
      <c r="N30" s="156" t="str">
        <v xml:space="preserve"> </v>
      </c>
      <c r="O30" s="156" t="str">
        <v xml:space="preserve"> </v>
      </c>
      <c r="P30" s="156" t="str">
        <v xml:space="preserve"> </v>
      </c>
      <c r="Q30" s="156" t="str">
        <v xml:space="preserve"> </v>
      </c>
      <c r="R30" s="156" t="str">
        <v xml:space="preserve"> </v>
      </c>
      <c r="S30" s="158" t="str">
        <v xml:space="preserve"> </v>
      </c>
      <c r="T30" s="156" t="str">
        <v xml:space="preserve"> </v>
      </c>
      <c r="U30" s="158" t="str">
        <v xml:space="preserve"> </v>
      </c>
      <c r="V30" s="156" t="str">
        <v xml:space="preserve"> </v>
      </c>
      <c r="W30" s="156" t="str">
        <v xml:space="preserve"> </v>
      </c>
      <c r="X30" s="156" t="str">
        <v xml:space="preserve"> </v>
      </c>
    </row>
    <row r="31" spans="1:24" x14ac:dyDescent="0.25">
      <c r="A31" s="129" t="e">
        <v>#N/A</v>
      </c>
      <c r="B31" s="156" t="str">
        <v xml:space="preserve"> </v>
      </c>
      <c r="C31" s="156" t="str">
        <v xml:space="preserve"> </v>
      </c>
      <c r="D31" s="156" t="str">
        <v xml:space="preserve"> </v>
      </c>
      <c r="E31" s="156" t="str">
        <v xml:space="preserve"> </v>
      </c>
      <c r="F31" s="156" t="str">
        <v xml:space="preserve"> </v>
      </c>
      <c r="G31" s="156" t="str">
        <v xml:space="preserve"> </v>
      </c>
      <c r="H31" s="156" t="str">
        <v xml:space="preserve"> </v>
      </c>
      <c r="I31" s="156" t="str">
        <v xml:space="preserve"> </v>
      </c>
      <c r="J31" s="156" t="str">
        <v xml:space="preserve"> </v>
      </c>
      <c r="K31" s="156" t="str">
        <v xml:space="preserve"> </v>
      </c>
      <c r="L31" s="156" t="str">
        <v xml:space="preserve"> </v>
      </c>
      <c r="M31" s="156" t="str">
        <v xml:space="preserve"> </v>
      </c>
      <c r="N31" s="156" t="str">
        <v xml:space="preserve"> </v>
      </c>
      <c r="O31" s="156" t="str">
        <v xml:space="preserve"> </v>
      </c>
      <c r="P31" s="156" t="str">
        <v xml:space="preserve"> </v>
      </c>
      <c r="Q31" s="156" t="str">
        <v xml:space="preserve"> </v>
      </c>
      <c r="R31" s="156" t="str">
        <v xml:space="preserve"> </v>
      </c>
      <c r="S31" s="158" t="str">
        <v xml:space="preserve"> </v>
      </c>
      <c r="T31" s="156" t="str">
        <v xml:space="preserve"> </v>
      </c>
      <c r="U31" s="158" t="str">
        <v xml:space="preserve"> </v>
      </c>
      <c r="V31" s="156" t="str">
        <v xml:space="preserve"> </v>
      </c>
      <c r="W31" s="156" t="str">
        <v xml:space="preserve"> </v>
      </c>
      <c r="X31" s="156" t="str">
        <v xml:space="preserve"> </v>
      </c>
    </row>
    <row r="32" spans="1:24" x14ac:dyDescent="0.25">
      <c r="A32" s="129" t="e">
        <v>#N/A</v>
      </c>
      <c r="B32" s="156" t="str">
        <v xml:space="preserve"> </v>
      </c>
      <c r="C32" s="156" t="str">
        <v xml:space="preserve"> </v>
      </c>
      <c r="D32" s="156" t="str">
        <v xml:space="preserve"> </v>
      </c>
      <c r="E32" s="156" t="str">
        <v xml:space="preserve"> </v>
      </c>
      <c r="F32" s="156" t="str">
        <v xml:space="preserve"> </v>
      </c>
      <c r="G32" s="156" t="str">
        <v xml:space="preserve"> </v>
      </c>
      <c r="H32" s="156" t="str">
        <v xml:space="preserve"> </v>
      </c>
      <c r="I32" s="156" t="str">
        <v xml:space="preserve"> </v>
      </c>
      <c r="J32" s="156" t="str">
        <v xml:space="preserve"> </v>
      </c>
      <c r="K32" s="156" t="str">
        <v xml:space="preserve"> </v>
      </c>
      <c r="L32" s="156" t="str">
        <v xml:space="preserve"> </v>
      </c>
      <c r="M32" s="156" t="str">
        <v xml:space="preserve"> </v>
      </c>
      <c r="N32" s="156" t="str">
        <v xml:space="preserve"> </v>
      </c>
      <c r="O32" s="156" t="str">
        <v xml:space="preserve"> </v>
      </c>
      <c r="P32" s="156" t="str">
        <v xml:space="preserve"> </v>
      </c>
      <c r="Q32" s="156" t="str">
        <v xml:space="preserve"> </v>
      </c>
      <c r="R32" s="156" t="str">
        <v xml:space="preserve"> </v>
      </c>
      <c r="S32" s="158" t="str">
        <v xml:space="preserve"> </v>
      </c>
      <c r="T32" s="156" t="str">
        <v xml:space="preserve"> </v>
      </c>
      <c r="U32" s="158" t="str">
        <v xml:space="preserve"> </v>
      </c>
      <c r="V32" s="156" t="str">
        <v xml:space="preserve"> </v>
      </c>
      <c r="W32" s="156" t="str">
        <v xml:space="preserve"> </v>
      </c>
      <c r="X32" s="156" t="str">
        <v xml:space="preserve"> </v>
      </c>
    </row>
    <row r="33" spans="1:24" x14ac:dyDescent="0.25">
      <c r="A33" s="129" t="e">
        <v>#N/A</v>
      </c>
      <c r="B33" s="156" t="str">
        <v xml:space="preserve"> </v>
      </c>
      <c r="C33" s="156" t="str">
        <v xml:space="preserve"> </v>
      </c>
      <c r="D33" s="156" t="str">
        <v xml:space="preserve"> </v>
      </c>
      <c r="E33" s="156" t="str">
        <v xml:space="preserve"> </v>
      </c>
      <c r="F33" s="156" t="str">
        <v xml:space="preserve"> </v>
      </c>
      <c r="G33" s="156" t="str">
        <v xml:space="preserve"> </v>
      </c>
      <c r="H33" s="156" t="str">
        <v xml:space="preserve"> </v>
      </c>
      <c r="I33" s="156" t="str">
        <v xml:space="preserve"> </v>
      </c>
      <c r="J33" s="156" t="str">
        <v xml:space="preserve"> </v>
      </c>
      <c r="K33" s="156" t="str">
        <v xml:space="preserve"> </v>
      </c>
      <c r="L33" s="156" t="str">
        <v xml:space="preserve"> </v>
      </c>
      <c r="M33" s="156" t="str">
        <v xml:space="preserve"> </v>
      </c>
      <c r="N33" s="156" t="str">
        <v xml:space="preserve"> </v>
      </c>
      <c r="O33" s="156" t="str">
        <v xml:space="preserve"> </v>
      </c>
      <c r="P33" s="156" t="str">
        <v xml:space="preserve"> </v>
      </c>
      <c r="Q33" s="156" t="str">
        <v xml:space="preserve"> </v>
      </c>
      <c r="R33" s="156" t="str">
        <v xml:space="preserve"> </v>
      </c>
      <c r="S33" s="158" t="str">
        <v xml:space="preserve"> </v>
      </c>
      <c r="T33" s="156" t="str">
        <v xml:space="preserve"> </v>
      </c>
      <c r="U33" s="158" t="str">
        <v xml:space="preserve"> </v>
      </c>
      <c r="V33" s="156" t="str">
        <v xml:space="preserve"> </v>
      </c>
      <c r="W33" s="156" t="str">
        <v xml:space="preserve"> </v>
      </c>
      <c r="X33" s="156" t="str">
        <v xml:space="preserve"> </v>
      </c>
    </row>
    <row r="34" spans="1:24" x14ac:dyDescent="0.25">
      <c r="A34" s="129" t="e">
        <v>#N/A</v>
      </c>
      <c r="B34" s="156" t="str">
        <v xml:space="preserve"> </v>
      </c>
      <c r="C34" s="156" t="str">
        <v xml:space="preserve"> </v>
      </c>
      <c r="D34" s="156" t="str">
        <v xml:space="preserve"> </v>
      </c>
      <c r="E34" s="156" t="str">
        <v xml:space="preserve"> </v>
      </c>
      <c r="F34" s="156" t="str">
        <v xml:space="preserve"> </v>
      </c>
      <c r="G34" s="156" t="str">
        <v xml:space="preserve"> </v>
      </c>
      <c r="H34" s="156" t="str">
        <v xml:space="preserve"> </v>
      </c>
      <c r="I34" s="156" t="str">
        <v xml:space="preserve"> </v>
      </c>
      <c r="J34" s="156" t="str">
        <v xml:space="preserve"> </v>
      </c>
      <c r="K34" s="156" t="str">
        <v xml:space="preserve"> </v>
      </c>
      <c r="L34" s="156" t="str">
        <v xml:space="preserve"> </v>
      </c>
      <c r="M34" s="156" t="str">
        <v xml:space="preserve"> </v>
      </c>
      <c r="N34" s="156" t="str">
        <v xml:space="preserve"> </v>
      </c>
      <c r="O34" s="156" t="str">
        <v xml:space="preserve"> </v>
      </c>
      <c r="P34" s="156" t="str">
        <v xml:space="preserve"> </v>
      </c>
      <c r="Q34" s="156" t="str">
        <v xml:space="preserve"> </v>
      </c>
      <c r="R34" s="156" t="str">
        <v xml:space="preserve"> </v>
      </c>
      <c r="S34" s="158" t="str">
        <v xml:space="preserve"> </v>
      </c>
      <c r="T34" s="156" t="str">
        <v xml:space="preserve"> </v>
      </c>
      <c r="U34" s="158" t="str">
        <v xml:space="preserve"> </v>
      </c>
      <c r="V34" s="156" t="str">
        <v xml:space="preserve"> </v>
      </c>
      <c r="W34" s="156" t="str">
        <v xml:space="preserve"> </v>
      </c>
      <c r="X34" s="156" t="str">
        <v xml:space="preserve"> </v>
      </c>
    </row>
    <row r="35" spans="1:24" x14ac:dyDescent="0.25">
      <c r="A35" s="129" t="e">
        <v>#N/A</v>
      </c>
      <c r="B35" s="156" t="str">
        <v xml:space="preserve"> </v>
      </c>
      <c r="C35" s="156" t="str">
        <v xml:space="preserve"> </v>
      </c>
      <c r="D35" s="156" t="str">
        <v xml:space="preserve"> </v>
      </c>
      <c r="E35" s="156" t="str">
        <v xml:space="preserve"> </v>
      </c>
      <c r="F35" s="156" t="str">
        <v xml:space="preserve"> </v>
      </c>
      <c r="G35" s="156" t="str">
        <v xml:space="preserve"> </v>
      </c>
      <c r="H35" s="156" t="str">
        <v xml:space="preserve"> </v>
      </c>
      <c r="I35" s="156" t="str">
        <v xml:space="preserve"> </v>
      </c>
      <c r="J35" s="156" t="str">
        <v xml:space="preserve"> </v>
      </c>
      <c r="K35" s="156" t="str">
        <v xml:space="preserve"> </v>
      </c>
      <c r="L35" s="156" t="str">
        <v xml:space="preserve"> </v>
      </c>
      <c r="M35" s="156" t="str">
        <v xml:space="preserve"> </v>
      </c>
      <c r="N35" s="156" t="str">
        <v xml:space="preserve"> </v>
      </c>
      <c r="O35" s="156" t="str">
        <v xml:space="preserve"> </v>
      </c>
      <c r="P35" s="156" t="str">
        <v xml:space="preserve"> </v>
      </c>
      <c r="Q35" s="156" t="str">
        <v xml:space="preserve"> </v>
      </c>
      <c r="R35" s="156" t="str">
        <v xml:space="preserve"> </v>
      </c>
      <c r="S35" s="158" t="str">
        <v xml:space="preserve"> </v>
      </c>
      <c r="T35" s="156" t="str">
        <v xml:space="preserve"> </v>
      </c>
      <c r="U35" s="158" t="str">
        <v xml:space="preserve"> </v>
      </c>
      <c r="V35" s="156" t="str">
        <v xml:space="preserve"> </v>
      </c>
      <c r="W35" s="156" t="str">
        <v xml:space="preserve"> </v>
      </c>
      <c r="X35" s="156" t="str">
        <v xml:space="preserve"> </v>
      </c>
    </row>
    <row r="36" spans="1:24" x14ac:dyDescent="0.25">
      <c r="A36" s="129" t="e">
        <v>#N/A</v>
      </c>
      <c r="B36" s="156" t="str">
        <v xml:space="preserve"> </v>
      </c>
      <c r="C36" s="156" t="str">
        <v xml:space="preserve"> </v>
      </c>
      <c r="D36" s="156" t="str">
        <v xml:space="preserve"> </v>
      </c>
      <c r="E36" s="156" t="str">
        <v xml:space="preserve"> </v>
      </c>
      <c r="F36" s="156" t="str">
        <v xml:space="preserve"> </v>
      </c>
      <c r="G36" s="156" t="str">
        <v xml:space="preserve"> </v>
      </c>
      <c r="H36" s="156" t="str">
        <v xml:space="preserve"> </v>
      </c>
      <c r="I36" s="156" t="str">
        <v xml:space="preserve"> </v>
      </c>
      <c r="J36" s="156" t="str">
        <v xml:space="preserve"> </v>
      </c>
      <c r="K36" s="156" t="str">
        <v xml:space="preserve"> </v>
      </c>
      <c r="L36" s="156" t="str">
        <v xml:space="preserve"> </v>
      </c>
      <c r="M36" s="156" t="str">
        <v xml:space="preserve"> </v>
      </c>
      <c r="N36" s="156" t="str">
        <v xml:space="preserve"> </v>
      </c>
      <c r="O36" s="156" t="str">
        <v xml:space="preserve"> </v>
      </c>
      <c r="P36" s="156" t="str">
        <v xml:space="preserve"> </v>
      </c>
      <c r="Q36" s="156" t="str">
        <v xml:space="preserve"> </v>
      </c>
      <c r="R36" s="156" t="str">
        <v xml:space="preserve"> </v>
      </c>
      <c r="S36" s="158" t="str">
        <v xml:space="preserve"> </v>
      </c>
      <c r="T36" s="156" t="str">
        <v xml:space="preserve"> </v>
      </c>
      <c r="U36" s="158" t="str">
        <v xml:space="preserve"> </v>
      </c>
      <c r="V36" s="156" t="str">
        <v xml:space="preserve"> </v>
      </c>
      <c r="W36" s="156" t="str">
        <v xml:space="preserve"> </v>
      </c>
      <c r="X36" s="156" t="str">
        <v xml:space="preserve"> </v>
      </c>
    </row>
    <row r="37" spans="1:24" x14ac:dyDescent="0.25">
      <c r="A37" s="129" t="e">
        <v>#N/A</v>
      </c>
      <c r="B37" s="156" t="str">
        <v xml:space="preserve"> </v>
      </c>
      <c r="C37" s="156" t="str">
        <v xml:space="preserve"> </v>
      </c>
      <c r="D37" s="156" t="str">
        <v xml:space="preserve"> </v>
      </c>
      <c r="E37" s="156" t="str">
        <v xml:space="preserve"> </v>
      </c>
      <c r="F37" s="156" t="str">
        <v xml:space="preserve"> </v>
      </c>
      <c r="G37" s="156" t="str">
        <v xml:space="preserve"> </v>
      </c>
      <c r="H37" s="156" t="str">
        <v xml:space="preserve"> </v>
      </c>
      <c r="I37" s="156" t="str">
        <v xml:space="preserve"> </v>
      </c>
      <c r="J37" s="156" t="str">
        <v xml:space="preserve"> </v>
      </c>
      <c r="K37" s="156" t="str">
        <v xml:space="preserve"> </v>
      </c>
      <c r="L37" s="156" t="str">
        <v xml:space="preserve"> </v>
      </c>
      <c r="M37" s="156" t="str">
        <v xml:space="preserve"> </v>
      </c>
      <c r="N37" s="156" t="str">
        <v xml:space="preserve"> </v>
      </c>
      <c r="O37" s="156" t="str">
        <v xml:space="preserve"> </v>
      </c>
      <c r="P37" s="156" t="str">
        <v xml:space="preserve"> </v>
      </c>
      <c r="Q37" s="156" t="str">
        <v xml:space="preserve"> </v>
      </c>
      <c r="R37" s="156" t="str">
        <v xml:space="preserve"> </v>
      </c>
      <c r="S37" s="158" t="str">
        <v xml:space="preserve"> </v>
      </c>
      <c r="T37" s="156" t="str">
        <v xml:space="preserve"> </v>
      </c>
      <c r="U37" s="158" t="str">
        <v xml:space="preserve"> </v>
      </c>
      <c r="V37" s="156" t="str">
        <v xml:space="preserve"> </v>
      </c>
      <c r="W37" s="156" t="str">
        <v xml:space="preserve"> </v>
      </c>
      <c r="X37" s="156" t="str">
        <v xml:space="preserve"> </v>
      </c>
    </row>
    <row r="38" spans="1:24" x14ac:dyDescent="0.25">
      <c r="A38" s="129" t="e">
        <v>#N/A</v>
      </c>
      <c r="B38" s="156" t="str">
        <v xml:space="preserve"> </v>
      </c>
      <c r="C38" s="156" t="str">
        <v xml:space="preserve"> </v>
      </c>
      <c r="D38" s="156" t="str">
        <v xml:space="preserve"> </v>
      </c>
      <c r="E38" s="156" t="str">
        <v xml:space="preserve"> </v>
      </c>
      <c r="F38" s="156" t="str">
        <v xml:space="preserve"> </v>
      </c>
      <c r="G38" s="156" t="str">
        <v xml:space="preserve"> </v>
      </c>
      <c r="H38" s="156" t="str">
        <v xml:space="preserve"> </v>
      </c>
      <c r="I38" s="156" t="str">
        <v xml:space="preserve"> </v>
      </c>
      <c r="J38" s="156" t="str">
        <v xml:space="preserve"> </v>
      </c>
      <c r="K38" s="156" t="str">
        <v xml:space="preserve"> </v>
      </c>
      <c r="L38" s="156" t="str">
        <v xml:space="preserve"> </v>
      </c>
      <c r="M38" s="156" t="str">
        <v xml:space="preserve"> </v>
      </c>
      <c r="N38" s="156" t="str">
        <v xml:space="preserve"> </v>
      </c>
      <c r="O38" s="156" t="str">
        <v xml:space="preserve"> </v>
      </c>
      <c r="P38" s="156" t="str">
        <v xml:space="preserve"> </v>
      </c>
      <c r="Q38" s="156" t="str">
        <v xml:space="preserve"> </v>
      </c>
      <c r="R38" s="156" t="str">
        <v xml:space="preserve"> </v>
      </c>
      <c r="S38" s="158" t="str">
        <v xml:space="preserve"> </v>
      </c>
      <c r="T38" s="156" t="str">
        <v xml:space="preserve"> </v>
      </c>
      <c r="U38" s="158" t="str">
        <v xml:space="preserve"> </v>
      </c>
      <c r="V38" s="156" t="str">
        <v xml:space="preserve"> </v>
      </c>
      <c r="W38" s="156" t="str">
        <v xml:space="preserve"> </v>
      </c>
      <c r="X38" s="156" t="str">
        <v xml:space="preserve"> </v>
      </c>
    </row>
    <row r="39" spans="1:24" x14ac:dyDescent="0.25">
      <c r="A39" s="129" t="e">
        <v>#N/A</v>
      </c>
      <c r="B39" s="156" t="str">
        <v xml:space="preserve"> </v>
      </c>
      <c r="C39" s="156" t="str">
        <v xml:space="preserve"> </v>
      </c>
      <c r="D39" s="156" t="str">
        <v xml:space="preserve"> </v>
      </c>
      <c r="E39" s="156" t="str">
        <v xml:space="preserve"> </v>
      </c>
      <c r="F39" s="156" t="str">
        <v xml:space="preserve"> </v>
      </c>
      <c r="G39" s="156" t="str">
        <v xml:space="preserve"> </v>
      </c>
      <c r="H39" s="156" t="str">
        <v xml:space="preserve"> </v>
      </c>
      <c r="I39" s="156" t="str">
        <v xml:space="preserve"> </v>
      </c>
      <c r="J39" s="156" t="str">
        <v xml:space="preserve"> </v>
      </c>
      <c r="K39" s="156" t="str">
        <v xml:space="preserve"> </v>
      </c>
      <c r="L39" s="156" t="str">
        <v xml:space="preserve"> </v>
      </c>
      <c r="M39" s="156" t="str">
        <v xml:space="preserve"> </v>
      </c>
      <c r="N39" s="156" t="str">
        <v xml:space="preserve"> </v>
      </c>
      <c r="O39" s="156" t="str">
        <v xml:space="preserve"> </v>
      </c>
      <c r="P39" s="156" t="str">
        <v xml:space="preserve"> </v>
      </c>
      <c r="Q39" s="156" t="str">
        <v xml:space="preserve"> </v>
      </c>
      <c r="R39" s="156" t="str">
        <v xml:space="preserve"> </v>
      </c>
      <c r="S39" s="158" t="str">
        <v xml:space="preserve"> </v>
      </c>
      <c r="T39" s="156" t="str">
        <v xml:space="preserve"> </v>
      </c>
      <c r="U39" s="158" t="str">
        <v xml:space="preserve"> </v>
      </c>
      <c r="V39" s="156" t="str">
        <v xml:space="preserve"> </v>
      </c>
      <c r="W39" s="156" t="str">
        <v xml:space="preserve"> </v>
      </c>
      <c r="X39" s="156" t="str">
        <v xml:space="preserve"> </v>
      </c>
    </row>
    <row r="40" spans="1:24" x14ac:dyDescent="0.25">
      <c r="A40" s="129" t="e">
        <v>#N/A</v>
      </c>
      <c r="B40" s="156" t="str">
        <v xml:space="preserve"> </v>
      </c>
      <c r="C40" s="156" t="str">
        <v xml:space="preserve"> </v>
      </c>
      <c r="D40" s="156" t="str">
        <v xml:space="preserve"> </v>
      </c>
      <c r="E40" s="156" t="str">
        <v xml:space="preserve"> </v>
      </c>
      <c r="F40" s="156" t="str">
        <v xml:space="preserve"> </v>
      </c>
      <c r="G40" s="156" t="str">
        <v xml:space="preserve"> </v>
      </c>
      <c r="H40" s="156" t="str">
        <v xml:space="preserve"> </v>
      </c>
      <c r="I40" s="156" t="str">
        <v xml:space="preserve"> </v>
      </c>
      <c r="J40" s="156" t="str">
        <v xml:space="preserve"> </v>
      </c>
      <c r="K40" s="156" t="str">
        <v xml:space="preserve"> </v>
      </c>
      <c r="L40" s="156" t="str">
        <v xml:space="preserve"> </v>
      </c>
      <c r="M40" s="156" t="str">
        <v xml:space="preserve"> </v>
      </c>
      <c r="N40" s="156" t="str">
        <v xml:space="preserve"> </v>
      </c>
      <c r="O40" s="156" t="str">
        <v xml:space="preserve"> </v>
      </c>
      <c r="P40" s="156" t="str">
        <v xml:space="preserve"> </v>
      </c>
      <c r="Q40" s="156" t="str">
        <v xml:space="preserve"> </v>
      </c>
      <c r="R40" s="156" t="str">
        <v xml:space="preserve"> </v>
      </c>
      <c r="S40" s="158" t="str">
        <v xml:space="preserve"> </v>
      </c>
      <c r="T40" s="156" t="str">
        <v xml:space="preserve"> </v>
      </c>
      <c r="U40" s="158" t="str">
        <v xml:space="preserve"> </v>
      </c>
      <c r="V40" s="156" t="str">
        <v xml:space="preserve"> </v>
      </c>
      <c r="W40" s="156" t="str">
        <v xml:space="preserve"> </v>
      </c>
      <c r="X40" s="156" t="str">
        <v xml:space="preserve"> </v>
      </c>
    </row>
    <row r="41" spans="1:24" x14ac:dyDescent="0.25">
      <c r="A41" s="129" t="e">
        <v>#N/A</v>
      </c>
      <c r="B41" s="156" t="str">
        <v xml:space="preserve"> </v>
      </c>
      <c r="C41" s="156" t="str">
        <v xml:space="preserve"> </v>
      </c>
      <c r="D41" s="156" t="str">
        <v xml:space="preserve"> </v>
      </c>
      <c r="E41" s="156" t="str">
        <v xml:space="preserve"> </v>
      </c>
      <c r="F41" s="156" t="str">
        <v xml:space="preserve"> </v>
      </c>
      <c r="G41" s="156" t="str">
        <v xml:space="preserve"> </v>
      </c>
      <c r="H41" s="156" t="str">
        <v xml:space="preserve"> </v>
      </c>
      <c r="I41" s="156" t="str">
        <v xml:space="preserve"> </v>
      </c>
      <c r="J41" s="156" t="str">
        <v xml:space="preserve"> </v>
      </c>
      <c r="K41" s="156" t="str">
        <v xml:space="preserve"> </v>
      </c>
      <c r="L41" s="156" t="str">
        <v xml:space="preserve"> </v>
      </c>
      <c r="M41" s="156" t="str">
        <v xml:space="preserve"> </v>
      </c>
      <c r="N41" s="156" t="str">
        <v xml:space="preserve"> </v>
      </c>
      <c r="O41" s="156" t="str">
        <v xml:space="preserve"> </v>
      </c>
      <c r="P41" s="156" t="str">
        <v xml:space="preserve"> </v>
      </c>
      <c r="Q41" s="156" t="str">
        <v xml:space="preserve"> </v>
      </c>
      <c r="R41" s="156" t="str">
        <v xml:space="preserve"> </v>
      </c>
      <c r="S41" s="158" t="str">
        <v xml:space="preserve"> </v>
      </c>
      <c r="T41" s="156" t="str">
        <v xml:space="preserve"> </v>
      </c>
      <c r="U41" s="158" t="str">
        <v xml:space="preserve"> </v>
      </c>
      <c r="V41" s="156" t="str">
        <v xml:space="preserve"> </v>
      </c>
      <c r="W41" s="156" t="str">
        <v xml:space="preserve"> </v>
      </c>
      <c r="X41" s="156" t="str">
        <v xml:space="preserve"> </v>
      </c>
    </row>
    <row r="42" spans="1:24" x14ac:dyDescent="0.25">
      <c r="A42" s="129" t="e">
        <v>#N/A</v>
      </c>
      <c r="B42" s="156" t="str">
        <v xml:space="preserve"> </v>
      </c>
      <c r="C42" s="156" t="str">
        <v xml:space="preserve"> </v>
      </c>
      <c r="D42" s="156" t="str">
        <v xml:space="preserve"> </v>
      </c>
      <c r="E42" s="156" t="str">
        <v xml:space="preserve"> </v>
      </c>
      <c r="F42" s="156" t="str">
        <v xml:space="preserve"> </v>
      </c>
      <c r="G42" s="156" t="str">
        <v xml:space="preserve"> </v>
      </c>
      <c r="H42" s="156" t="str">
        <v xml:space="preserve"> </v>
      </c>
      <c r="I42" s="156" t="str">
        <v xml:space="preserve"> </v>
      </c>
      <c r="J42" s="156" t="str">
        <v xml:space="preserve"> </v>
      </c>
      <c r="K42" s="156" t="str">
        <v xml:space="preserve"> </v>
      </c>
      <c r="L42" s="156" t="str">
        <v xml:space="preserve"> </v>
      </c>
      <c r="M42" s="156" t="str">
        <v xml:space="preserve"> </v>
      </c>
      <c r="N42" s="156" t="str">
        <v xml:space="preserve"> </v>
      </c>
      <c r="O42" s="156" t="str">
        <v xml:space="preserve"> </v>
      </c>
      <c r="P42" s="156" t="str">
        <v xml:space="preserve"> </v>
      </c>
      <c r="Q42" s="156" t="str">
        <v xml:space="preserve"> </v>
      </c>
      <c r="R42" s="156" t="str">
        <v xml:space="preserve"> </v>
      </c>
      <c r="S42" s="158" t="str">
        <v xml:space="preserve"> </v>
      </c>
      <c r="T42" s="156" t="str">
        <v xml:space="preserve"> </v>
      </c>
      <c r="U42" s="158" t="str">
        <v xml:space="preserve"> </v>
      </c>
      <c r="V42" s="156" t="str">
        <v xml:space="preserve"> </v>
      </c>
      <c r="W42" s="156" t="str">
        <v xml:space="preserve"> </v>
      </c>
      <c r="X42" s="156" t="str">
        <v xml:space="preserve"> </v>
      </c>
    </row>
    <row r="43" spans="1:24" x14ac:dyDescent="0.25">
      <c r="A43" s="129" t="e">
        <v>#N/A</v>
      </c>
      <c r="B43" s="156" t="str">
        <v xml:space="preserve"> </v>
      </c>
      <c r="C43" s="156" t="str">
        <v xml:space="preserve"> </v>
      </c>
      <c r="D43" s="156" t="str">
        <v xml:space="preserve"> </v>
      </c>
      <c r="E43" s="156" t="str">
        <v xml:space="preserve"> </v>
      </c>
      <c r="F43" s="156" t="str">
        <v xml:space="preserve"> </v>
      </c>
      <c r="G43" s="156" t="str">
        <v xml:space="preserve"> </v>
      </c>
      <c r="H43" s="156" t="str">
        <v xml:space="preserve"> </v>
      </c>
      <c r="I43" s="156" t="str">
        <v xml:space="preserve"> </v>
      </c>
      <c r="J43" s="156" t="str">
        <v xml:space="preserve"> </v>
      </c>
      <c r="K43" s="156" t="str">
        <v xml:space="preserve"> </v>
      </c>
      <c r="L43" s="156" t="str">
        <v xml:space="preserve"> </v>
      </c>
      <c r="M43" s="156" t="str">
        <v xml:space="preserve"> </v>
      </c>
      <c r="N43" s="156" t="str">
        <v xml:space="preserve"> </v>
      </c>
      <c r="O43" s="156" t="str">
        <v xml:space="preserve"> </v>
      </c>
      <c r="P43" s="156" t="str">
        <v xml:space="preserve"> </v>
      </c>
      <c r="Q43" s="156" t="str">
        <v xml:space="preserve"> </v>
      </c>
      <c r="R43" s="156" t="str">
        <v xml:space="preserve"> </v>
      </c>
      <c r="S43" s="158" t="str">
        <v xml:space="preserve"> </v>
      </c>
      <c r="T43" s="156" t="str">
        <v xml:space="preserve"> </v>
      </c>
      <c r="U43" s="158" t="str">
        <v xml:space="preserve"> </v>
      </c>
      <c r="V43" s="156" t="str">
        <v xml:space="preserve"> </v>
      </c>
      <c r="W43" s="156" t="str">
        <v xml:space="preserve"> </v>
      </c>
      <c r="X43" s="156" t="str">
        <v xml:space="preserve"> </v>
      </c>
    </row>
    <row r="44" spans="1:24" x14ac:dyDescent="0.25">
      <c r="A44" s="129" t="e">
        <v>#N/A</v>
      </c>
      <c r="B44" s="156" t="str">
        <v xml:space="preserve"> </v>
      </c>
      <c r="C44" s="156" t="str">
        <v xml:space="preserve"> </v>
      </c>
      <c r="D44" s="156" t="str">
        <v xml:space="preserve"> </v>
      </c>
      <c r="E44" s="156" t="str">
        <v xml:space="preserve"> </v>
      </c>
      <c r="F44" s="156" t="str">
        <v xml:space="preserve"> </v>
      </c>
      <c r="G44" s="156" t="str">
        <v xml:space="preserve"> </v>
      </c>
      <c r="H44" s="156" t="str">
        <v xml:space="preserve"> </v>
      </c>
      <c r="I44" s="156" t="str">
        <v xml:space="preserve"> </v>
      </c>
      <c r="J44" s="156" t="str">
        <v xml:space="preserve"> </v>
      </c>
      <c r="K44" s="156" t="str">
        <v xml:space="preserve"> </v>
      </c>
      <c r="L44" s="156" t="str">
        <v xml:space="preserve"> </v>
      </c>
      <c r="M44" s="156" t="str">
        <v xml:space="preserve"> </v>
      </c>
      <c r="N44" s="156" t="str">
        <v xml:space="preserve"> </v>
      </c>
      <c r="O44" s="156" t="str">
        <v xml:space="preserve"> </v>
      </c>
      <c r="P44" s="156" t="str">
        <v xml:space="preserve"> </v>
      </c>
      <c r="Q44" s="156" t="str">
        <v xml:space="preserve"> </v>
      </c>
      <c r="R44" s="156" t="str">
        <v xml:space="preserve"> </v>
      </c>
      <c r="S44" s="158" t="str">
        <v xml:space="preserve"> </v>
      </c>
      <c r="T44" s="156" t="str">
        <v xml:space="preserve"> </v>
      </c>
      <c r="U44" s="158" t="str">
        <v xml:space="preserve"> </v>
      </c>
      <c r="V44" s="156" t="str">
        <v xml:space="preserve"> </v>
      </c>
      <c r="W44" s="156" t="str">
        <v xml:space="preserve"> </v>
      </c>
      <c r="X44" s="156" t="str">
        <v xml:space="preserve"> </v>
      </c>
    </row>
    <row r="45" spans="1:24" x14ac:dyDescent="0.25">
      <c r="A45" s="129" t="e">
        <v>#N/A</v>
      </c>
      <c r="B45" s="156" t="str">
        <v xml:space="preserve"> </v>
      </c>
      <c r="C45" s="156" t="str">
        <v xml:space="preserve"> </v>
      </c>
      <c r="D45" s="156" t="str">
        <v xml:space="preserve"> </v>
      </c>
      <c r="E45" s="156" t="str">
        <v xml:space="preserve"> </v>
      </c>
      <c r="F45" s="156" t="str">
        <v xml:space="preserve"> </v>
      </c>
      <c r="G45" s="156" t="str">
        <v xml:space="preserve"> </v>
      </c>
      <c r="H45" s="156" t="str">
        <v xml:space="preserve"> </v>
      </c>
      <c r="I45" s="156" t="str">
        <v xml:space="preserve"> </v>
      </c>
      <c r="J45" s="156" t="str">
        <v xml:space="preserve"> </v>
      </c>
      <c r="K45" s="156" t="str">
        <v xml:space="preserve"> </v>
      </c>
      <c r="L45" s="156" t="str">
        <v xml:space="preserve"> </v>
      </c>
      <c r="M45" s="156" t="str">
        <v xml:space="preserve"> </v>
      </c>
      <c r="N45" s="156" t="str">
        <v xml:space="preserve"> </v>
      </c>
      <c r="O45" s="156" t="str">
        <v xml:space="preserve"> </v>
      </c>
      <c r="P45" s="156" t="str">
        <v xml:space="preserve"> </v>
      </c>
      <c r="Q45" s="156" t="str">
        <v xml:space="preserve"> </v>
      </c>
      <c r="R45" s="156" t="str">
        <v xml:space="preserve"> </v>
      </c>
      <c r="S45" s="158" t="str">
        <v xml:space="preserve"> </v>
      </c>
      <c r="T45" s="156" t="str">
        <v xml:space="preserve"> </v>
      </c>
      <c r="U45" s="158" t="str">
        <v xml:space="preserve"> </v>
      </c>
      <c r="V45" s="156" t="str">
        <v xml:space="preserve"> </v>
      </c>
      <c r="W45" s="156" t="str">
        <v xml:space="preserve"> </v>
      </c>
      <c r="X45" s="156" t="str">
        <v xml:space="preserve"> </v>
      </c>
    </row>
    <row r="46" spans="1:24" x14ac:dyDescent="0.25">
      <c r="A46" s="129" t="e">
        <v>#N/A</v>
      </c>
      <c r="B46" s="156" t="str">
        <v xml:space="preserve"> </v>
      </c>
      <c r="C46" s="156" t="str">
        <v xml:space="preserve"> </v>
      </c>
      <c r="D46" s="156" t="str">
        <v xml:space="preserve"> </v>
      </c>
      <c r="E46" s="156" t="str">
        <v xml:space="preserve"> </v>
      </c>
      <c r="F46" s="156" t="str">
        <v xml:space="preserve"> </v>
      </c>
      <c r="G46" s="156" t="str">
        <v xml:space="preserve"> </v>
      </c>
      <c r="H46" s="156" t="str">
        <v xml:space="preserve"> </v>
      </c>
      <c r="I46" s="156" t="str">
        <v xml:space="preserve"> </v>
      </c>
      <c r="J46" s="156" t="str">
        <v xml:space="preserve"> </v>
      </c>
      <c r="K46" s="156" t="str">
        <v xml:space="preserve"> </v>
      </c>
      <c r="L46" s="156" t="str">
        <v xml:space="preserve"> </v>
      </c>
      <c r="M46" s="156" t="str">
        <v xml:space="preserve"> </v>
      </c>
      <c r="N46" s="156" t="str">
        <v xml:space="preserve"> </v>
      </c>
      <c r="O46" s="156" t="str">
        <v xml:space="preserve"> </v>
      </c>
      <c r="P46" s="156" t="str">
        <v xml:space="preserve"> </v>
      </c>
      <c r="Q46" s="156" t="str">
        <v xml:space="preserve"> </v>
      </c>
      <c r="R46" s="156" t="str">
        <v xml:space="preserve"> </v>
      </c>
      <c r="S46" s="158" t="str">
        <v xml:space="preserve"> </v>
      </c>
      <c r="T46" s="156" t="str">
        <v xml:space="preserve"> </v>
      </c>
      <c r="U46" s="158" t="str">
        <v xml:space="preserve"> </v>
      </c>
      <c r="V46" s="156" t="str">
        <v xml:space="preserve"> </v>
      </c>
      <c r="W46" s="156" t="str">
        <v xml:space="preserve"> </v>
      </c>
      <c r="X46" s="156" t="str">
        <v xml:space="preserve"> </v>
      </c>
    </row>
    <row r="47" spans="1:24" x14ac:dyDescent="0.25">
      <c r="A47" s="129" t="e">
        <v>#N/A</v>
      </c>
      <c r="B47" s="156" t="str">
        <v xml:space="preserve"> </v>
      </c>
      <c r="C47" s="156" t="str">
        <v xml:space="preserve"> </v>
      </c>
      <c r="D47" s="156" t="str">
        <v xml:space="preserve"> </v>
      </c>
      <c r="E47" s="156" t="str">
        <v xml:space="preserve"> </v>
      </c>
      <c r="F47" s="156" t="str">
        <v xml:space="preserve"> </v>
      </c>
      <c r="G47" s="156" t="str">
        <v xml:space="preserve"> </v>
      </c>
      <c r="H47" s="156" t="str">
        <v xml:space="preserve"> </v>
      </c>
      <c r="I47" s="156" t="str">
        <v xml:space="preserve"> </v>
      </c>
      <c r="J47" s="156" t="str">
        <v xml:space="preserve"> </v>
      </c>
      <c r="K47" s="156" t="str">
        <v xml:space="preserve"> </v>
      </c>
      <c r="L47" s="156" t="str">
        <v xml:space="preserve"> </v>
      </c>
      <c r="M47" s="156" t="str">
        <v xml:space="preserve"> </v>
      </c>
      <c r="N47" s="156" t="str">
        <v xml:space="preserve"> </v>
      </c>
      <c r="O47" s="156" t="str">
        <v xml:space="preserve"> </v>
      </c>
      <c r="P47" s="156" t="str">
        <v xml:space="preserve"> </v>
      </c>
      <c r="Q47" s="156" t="str">
        <v xml:space="preserve"> </v>
      </c>
      <c r="R47" s="156" t="str">
        <v xml:space="preserve"> </v>
      </c>
      <c r="S47" s="158" t="str">
        <v xml:space="preserve"> </v>
      </c>
      <c r="T47" s="156" t="str">
        <v xml:space="preserve"> </v>
      </c>
      <c r="U47" s="158" t="str">
        <v xml:space="preserve"> </v>
      </c>
      <c r="V47" s="156" t="str">
        <v xml:space="preserve"> </v>
      </c>
      <c r="W47" s="156" t="str">
        <v xml:space="preserve"> </v>
      </c>
      <c r="X47" s="156" t="str">
        <v xml:space="preserve"> </v>
      </c>
    </row>
    <row r="48" spans="1:24" x14ac:dyDescent="0.25">
      <c r="A48" s="129" t="e">
        <v>#N/A</v>
      </c>
      <c r="B48" s="156" t="str">
        <v xml:space="preserve"> </v>
      </c>
      <c r="C48" s="156" t="str">
        <v xml:space="preserve"> </v>
      </c>
      <c r="D48" s="156" t="str">
        <v xml:space="preserve"> </v>
      </c>
      <c r="E48" s="156" t="str">
        <v xml:space="preserve"> </v>
      </c>
      <c r="F48" s="156" t="str">
        <v xml:space="preserve"> </v>
      </c>
      <c r="G48" s="156" t="str">
        <v xml:space="preserve"> </v>
      </c>
      <c r="H48" s="156" t="str">
        <v xml:space="preserve"> </v>
      </c>
      <c r="I48" s="156" t="str">
        <v xml:space="preserve"> </v>
      </c>
      <c r="J48" s="156" t="str">
        <v xml:space="preserve"> </v>
      </c>
      <c r="K48" s="156" t="str">
        <v xml:space="preserve"> </v>
      </c>
      <c r="L48" s="156" t="str">
        <v xml:space="preserve"> </v>
      </c>
      <c r="M48" s="156" t="str">
        <v xml:space="preserve"> </v>
      </c>
      <c r="N48" s="156" t="str">
        <v xml:space="preserve"> </v>
      </c>
      <c r="O48" s="156" t="str">
        <v xml:space="preserve"> </v>
      </c>
      <c r="P48" s="156" t="str">
        <v xml:space="preserve"> </v>
      </c>
      <c r="Q48" s="156" t="str">
        <v xml:space="preserve"> </v>
      </c>
      <c r="R48" s="156" t="str">
        <v xml:space="preserve"> </v>
      </c>
      <c r="S48" s="158" t="str">
        <v xml:space="preserve"> </v>
      </c>
      <c r="T48" s="156" t="str">
        <v xml:space="preserve"> </v>
      </c>
      <c r="U48" s="158" t="str">
        <v xml:space="preserve"> </v>
      </c>
      <c r="V48" s="156" t="str">
        <v xml:space="preserve"> </v>
      </c>
      <c r="W48" s="156" t="str">
        <v xml:space="preserve"> </v>
      </c>
      <c r="X48" s="156" t="str">
        <v xml:space="preserve"> </v>
      </c>
    </row>
    <row r="49" spans="1:24" x14ac:dyDescent="0.25">
      <c r="A49" s="129" t="e">
        <v>#N/A</v>
      </c>
      <c r="B49" s="156" t="str">
        <v xml:space="preserve"> </v>
      </c>
      <c r="C49" s="156" t="str">
        <v xml:space="preserve"> </v>
      </c>
      <c r="D49" s="156" t="str">
        <v xml:space="preserve"> </v>
      </c>
      <c r="E49" s="156" t="str">
        <v xml:space="preserve"> </v>
      </c>
      <c r="F49" s="156" t="str">
        <v xml:space="preserve"> </v>
      </c>
      <c r="G49" s="156" t="str">
        <v xml:space="preserve"> </v>
      </c>
      <c r="H49" s="156" t="str">
        <v xml:space="preserve"> </v>
      </c>
      <c r="I49" s="156" t="str">
        <v xml:space="preserve"> </v>
      </c>
      <c r="J49" s="156" t="str">
        <v xml:space="preserve"> </v>
      </c>
      <c r="K49" s="156" t="str">
        <v xml:space="preserve"> </v>
      </c>
      <c r="L49" s="156" t="str">
        <v xml:space="preserve"> </v>
      </c>
      <c r="M49" s="156" t="str">
        <v xml:space="preserve"> </v>
      </c>
      <c r="N49" s="156" t="str">
        <v xml:space="preserve"> </v>
      </c>
      <c r="O49" s="156" t="str">
        <v xml:space="preserve"> </v>
      </c>
      <c r="P49" s="156" t="str">
        <v xml:space="preserve"> </v>
      </c>
      <c r="Q49" s="156" t="str">
        <v xml:space="preserve"> </v>
      </c>
      <c r="R49" s="156" t="str">
        <v xml:space="preserve"> </v>
      </c>
      <c r="S49" s="158" t="str">
        <v xml:space="preserve"> </v>
      </c>
      <c r="T49" s="156" t="str">
        <v xml:space="preserve"> </v>
      </c>
      <c r="U49" s="158" t="str">
        <v xml:space="preserve"> </v>
      </c>
      <c r="V49" s="156" t="str">
        <v xml:space="preserve"> </v>
      </c>
      <c r="W49" s="156" t="str">
        <v xml:space="preserve"> </v>
      </c>
      <c r="X49" s="156" t="str">
        <v xml:space="preserve"> </v>
      </c>
    </row>
    <row r="50" spans="1:24" x14ac:dyDescent="0.25">
      <c r="A50" s="129" t="e">
        <v>#N/A</v>
      </c>
      <c r="B50" s="156" t="str">
        <v xml:space="preserve"> </v>
      </c>
      <c r="C50" s="156" t="str">
        <v xml:space="preserve"> </v>
      </c>
      <c r="D50" s="156" t="str">
        <v xml:space="preserve"> </v>
      </c>
      <c r="E50" s="156" t="str">
        <v xml:space="preserve"> </v>
      </c>
      <c r="F50" s="156" t="str">
        <v xml:space="preserve"> </v>
      </c>
      <c r="G50" s="156" t="str">
        <v xml:space="preserve"> </v>
      </c>
      <c r="H50" s="156" t="str">
        <v xml:space="preserve"> </v>
      </c>
      <c r="I50" s="156" t="str">
        <v xml:space="preserve"> </v>
      </c>
      <c r="J50" s="156" t="str">
        <v xml:space="preserve"> </v>
      </c>
      <c r="K50" s="156" t="str">
        <v xml:space="preserve"> </v>
      </c>
      <c r="L50" s="156" t="str">
        <v xml:space="preserve"> </v>
      </c>
      <c r="M50" s="156" t="str">
        <v xml:space="preserve"> </v>
      </c>
      <c r="N50" s="156" t="str">
        <v xml:space="preserve"> </v>
      </c>
      <c r="O50" s="156" t="str">
        <v xml:space="preserve"> </v>
      </c>
      <c r="P50" s="156" t="str">
        <v xml:space="preserve"> </v>
      </c>
      <c r="Q50" s="156" t="str">
        <v xml:space="preserve"> </v>
      </c>
      <c r="R50" s="156" t="str">
        <v xml:space="preserve"> </v>
      </c>
      <c r="S50" s="158" t="str">
        <v xml:space="preserve"> </v>
      </c>
      <c r="T50" s="156" t="str">
        <v xml:space="preserve"> </v>
      </c>
      <c r="U50" s="158" t="str">
        <v xml:space="preserve"> </v>
      </c>
      <c r="V50" s="156" t="str">
        <v xml:space="preserve"> </v>
      </c>
      <c r="W50" s="156" t="str">
        <v xml:space="preserve"> </v>
      </c>
      <c r="X50" s="156" t="str">
        <v xml:space="preserve"> </v>
      </c>
    </row>
    <row r="51" spans="1:24" x14ac:dyDescent="0.25">
      <c r="A51" s="129" t="e">
        <v>#N/A</v>
      </c>
      <c r="B51" s="156" t="str">
        <v xml:space="preserve"> </v>
      </c>
      <c r="C51" s="156" t="str">
        <v xml:space="preserve"> </v>
      </c>
      <c r="D51" s="156" t="str">
        <v xml:space="preserve"> </v>
      </c>
      <c r="E51" s="156" t="str">
        <v xml:space="preserve"> </v>
      </c>
      <c r="F51" s="156" t="str">
        <v xml:space="preserve"> </v>
      </c>
      <c r="G51" s="156" t="str">
        <v xml:space="preserve"> </v>
      </c>
      <c r="H51" s="156" t="str">
        <v xml:space="preserve"> </v>
      </c>
      <c r="I51" s="156" t="str">
        <v xml:space="preserve"> </v>
      </c>
      <c r="J51" s="156" t="str">
        <v xml:space="preserve"> </v>
      </c>
      <c r="K51" s="156" t="str">
        <v xml:space="preserve"> </v>
      </c>
      <c r="L51" s="156" t="str">
        <v xml:space="preserve"> </v>
      </c>
      <c r="M51" s="156" t="str">
        <v xml:space="preserve"> </v>
      </c>
      <c r="N51" s="156" t="str">
        <v xml:space="preserve"> </v>
      </c>
      <c r="O51" s="156" t="str">
        <v xml:space="preserve"> </v>
      </c>
      <c r="P51" s="156" t="str">
        <v xml:space="preserve"> </v>
      </c>
      <c r="Q51" s="156" t="str">
        <v xml:space="preserve"> </v>
      </c>
      <c r="R51" s="156" t="str">
        <v xml:space="preserve"> </v>
      </c>
      <c r="S51" s="158" t="str">
        <v xml:space="preserve"> </v>
      </c>
      <c r="T51" s="156" t="str">
        <v xml:space="preserve"> </v>
      </c>
      <c r="U51" s="158" t="str">
        <v xml:space="preserve"> </v>
      </c>
      <c r="V51" s="156" t="str">
        <v xml:space="preserve"> </v>
      </c>
      <c r="W51" s="156" t="str">
        <v xml:space="preserve"> </v>
      </c>
      <c r="X51" s="156" t="str">
        <v xml:space="preserve"> </v>
      </c>
    </row>
    <row r="52" spans="1:24" x14ac:dyDescent="0.25">
      <c r="A52" s="129" t="e">
        <v>#N/A</v>
      </c>
      <c r="B52" s="156" t="str">
        <v xml:space="preserve"> </v>
      </c>
      <c r="C52" s="156" t="str">
        <v xml:space="preserve"> </v>
      </c>
      <c r="D52" s="156" t="str">
        <v xml:space="preserve"> </v>
      </c>
      <c r="E52" s="156" t="str">
        <v xml:space="preserve"> </v>
      </c>
      <c r="F52" s="156" t="str">
        <v xml:space="preserve"> </v>
      </c>
      <c r="G52" s="156" t="str">
        <v xml:space="preserve"> </v>
      </c>
      <c r="H52" s="156" t="str">
        <v xml:space="preserve"> </v>
      </c>
      <c r="I52" s="156" t="str">
        <v xml:space="preserve"> </v>
      </c>
      <c r="J52" s="156" t="str">
        <v xml:space="preserve"> </v>
      </c>
      <c r="K52" s="156" t="str">
        <v xml:space="preserve"> </v>
      </c>
      <c r="L52" s="156" t="str">
        <v xml:space="preserve"> </v>
      </c>
      <c r="M52" s="156" t="str">
        <v xml:space="preserve"> </v>
      </c>
      <c r="N52" s="156" t="str">
        <v xml:space="preserve"> </v>
      </c>
      <c r="O52" s="156" t="str">
        <v xml:space="preserve"> </v>
      </c>
      <c r="P52" s="156" t="str">
        <v xml:space="preserve"> </v>
      </c>
      <c r="Q52" s="156" t="str">
        <v xml:space="preserve"> </v>
      </c>
      <c r="R52" s="156" t="str">
        <v xml:space="preserve"> </v>
      </c>
      <c r="S52" s="158" t="str">
        <v xml:space="preserve"> </v>
      </c>
      <c r="T52" s="156" t="str">
        <v xml:space="preserve"> </v>
      </c>
      <c r="U52" s="158" t="str">
        <v xml:space="preserve"> </v>
      </c>
      <c r="V52" s="156" t="str">
        <v xml:space="preserve"> </v>
      </c>
      <c r="W52" s="156" t="str">
        <v xml:space="preserve"> </v>
      </c>
      <c r="X52" s="156" t="str">
        <v xml:space="preserve"> </v>
      </c>
    </row>
    <row r="53" spans="1:24" x14ac:dyDescent="0.25">
      <c r="A53" s="129" t="e">
        <v>#N/A</v>
      </c>
      <c r="B53" s="156" t="str">
        <v xml:space="preserve"> </v>
      </c>
      <c r="C53" s="156" t="str">
        <v xml:space="preserve"> </v>
      </c>
      <c r="D53" s="156" t="str">
        <v xml:space="preserve"> </v>
      </c>
      <c r="E53" s="156" t="str">
        <v xml:space="preserve"> </v>
      </c>
      <c r="F53" s="156" t="str">
        <v xml:space="preserve"> </v>
      </c>
      <c r="G53" s="156" t="str">
        <v xml:space="preserve"> </v>
      </c>
      <c r="H53" s="156" t="str">
        <v xml:space="preserve"> </v>
      </c>
      <c r="I53" s="156" t="str">
        <v xml:space="preserve"> </v>
      </c>
      <c r="J53" s="156" t="str">
        <v xml:space="preserve"> </v>
      </c>
      <c r="K53" s="156" t="str">
        <v xml:space="preserve"> </v>
      </c>
      <c r="L53" s="156" t="str">
        <v xml:space="preserve"> </v>
      </c>
      <c r="M53" s="156" t="str">
        <v xml:space="preserve"> </v>
      </c>
      <c r="N53" s="156" t="str">
        <v xml:space="preserve"> </v>
      </c>
      <c r="O53" s="156" t="str">
        <v xml:space="preserve"> </v>
      </c>
      <c r="P53" s="156" t="str">
        <v xml:space="preserve"> </v>
      </c>
      <c r="Q53" s="156" t="str">
        <v xml:space="preserve"> </v>
      </c>
      <c r="R53" s="156" t="str">
        <v xml:space="preserve"> </v>
      </c>
      <c r="S53" s="158" t="str">
        <v xml:space="preserve"> </v>
      </c>
      <c r="T53" s="156" t="str">
        <v xml:space="preserve"> </v>
      </c>
      <c r="U53" s="158" t="str">
        <v xml:space="preserve"> </v>
      </c>
      <c r="V53" s="156" t="str">
        <v xml:space="preserve"> </v>
      </c>
      <c r="W53" s="156" t="str">
        <v xml:space="preserve"> </v>
      </c>
      <c r="X53" s="156" t="str">
        <v xml:space="preserve"> </v>
      </c>
    </row>
    <row r="54" spans="1:24" x14ac:dyDescent="0.25">
      <c r="A54" s="129" t="e">
        <v>#N/A</v>
      </c>
      <c r="B54" s="156" t="str">
        <v xml:space="preserve"> </v>
      </c>
      <c r="C54" s="156" t="str">
        <v xml:space="preserve"> </v>
      </c>
      <c r="D54" s="156" t="str">
        <v xml:space="preserve"> </v>
      </c>
      <c r="E54" s="156" t="str">
        <v xml:space="preserve"> </v>
      </c>
      <c r="F54" s="156" t="str">
        <v xml:space="preserve"> </v>
      </c>
      <c r="G54" s="156" t="str">
        <v xml:space="preserve"> </v>
      </c>
      <c r="H54" s="156" t="str">
        <v xml:space="preserve"> </v>
      </c>
      <c r="I54" s="156" t="str">
        <v xml:space="preserve"> </v>
      </c>
      <c r="J54" s="156" t="str">
        <v xml:space="preserve"> </v>
      </c>
      <c r="K54" s="156" t="str">
        <v xml:space="preserve"> </v>
      </c>
      <c r="L54" s="156" t="str">
        <v xml:space="preserve"> </v>
      </c>
      <c r="M54" s="156" t="str">
        <v xml:space="preserve"> </v>
      </c>
      <c r="N54" s="156" t="str">
        <v xml:space="preserve"> </v>
      </c>
      <c r="O54" s="156" t="str">
        <v xml:space="preserve"> </v>
      </c>
      <c r="P54" s="156" t="str">
        <v xml:space="preserve"> </v>
      </c>
      <c r="Q54" s="156" t="str">
        <v xml:space="preserve"> </v>
      </c>
      <c r="R54" s="156" t="str">
        <v xml:space="preserve"> </v>
      </c>
      <c r="S54" s="158" t="str">
        <v xml:space="preserve"> </v>
      </c>
      <c r="T54" s="156" t="str">
        <v xml:space="preserve"> </v>
      </c>
      <c r="U54" s="158" t="str">
        <v xml:space="preserve"> </v>
      </c>
      <c r="V54" s="156" t="str">
        <v xml:space="preserve"> </v>
      </c>
      <c r="W54" s="156" t="str">
        <v xml:space="preserve"> </v>
      </c>
      <c r="X54" s="156" t="str">
        <v xml:space="preserve"> </v>
      </c>
    </row>
    <row r="55" spans="1:24" x14ac:dyDescent="0.25">
      <c r="A55" s="129" t="e">
        <v>#N/A</v>
      </c>
      <c r="B55" s="156" t="str">
        <v xml:space="preserve"> </v>
      </c>
      <c r="C55" s="156" t="str">
        <v xml:space="preserve"> </v>
      </c>
      <c r="D55" s="156" t="str">
        <v xml:space="preserve"> </v>
      </c>
      <c r="E55" s="156" t="str">
        <v xml:space="preserve"> </v>
      </c>
      <c r="F55" s="156" t="str">
        <v xml:space="preserve"> </v>
      </c>
      <c r="G55" s="156" t="str">
        <v xml:space="preserve"> </v>
      </c>
      <c r="H55" s="156" t="str">
        <v xml:space="preserve"> </v>
      </c>
      <c r="I55" s="156" t="str">
        <v xml:space="preserve"> </v>
      </c>
      <c r="J55" s="156" t="str">
        <v xml:space="preserve"> </v>
      </c>
      <c r="K55" s="156" t="str">
        <v xml:space="preserve"> </v>
      </c>
      <c r="L55" s="156" t="str">
        <v xml:space="preserve"> </v>
      </c>
      <c r="M55" s="156" t="str">
        <v xml:space="preserve"> </v>
      </c>
      <c r="N55" s="156" t="str">
        <v xml:space="preserve"> </v>
      </c>
      <c r="O55" s="156" t="str">
        <v xml:space="preserve"> </v>
      </c>
      <c r="P55" s="156" t="str">
        <v xml:space="preserve"> </v>
      </c>
      <c r="Q55" s="156" t="str">
        <v xml:space="preserve"> </v>
      </c>
      <c r="R55" s="156" t="str">
        <v xml:space="preserve"> </v>
      </c>
      <c r="S55" s="158" t="str">
        <v xml:space="preserve"> </v>
      </c>
      <c r="T55" s="156" t="str">
        <v xml:space="preserve"> </v>
      </c>
      <c r="U55" s="158" t="str">
        <v xml:space="preserve"> </v>
      </c>
      <c r="V55" s="156" t="str">
        <v xml:space="preserve"> </v>
      </c>
      <c r="W55" s="156" t="str">
        <v xml:space="preserve"> </v>
      </c>
      <c r="X55" s="156" t="str">
        <v xml:space="preserve"> </v>
      </c>
    </row>
    <row r="56" spans="1:24" x14ac:dyDescent="0.25">
      <c r="A56" s="129" t="e">
        <v>#N/A</v>
      </c>
      <c r="B56" s="156" t="str">
        <v xml:space="preserve"> </v>
      </c>
      <c r="C56" s="156" t="str">
        <v xml:space="preserve"> </v>
      </c>
      <c r="D56" s="156" t="str">
        <v xml:space="preserve"> </v>
      </c>
      <c r="E56" s="156" t="str">
        <v xml:space="preserve"> </v>
      </c>
      <c r="F56" s="156" t="str">
        <v xml:space="preserve"> </v>
      </c>
      <c r="G56" s="156" t="str">
        <v xml:space="preserve"> </v>
      </c>
      <c r="H56" s="156" t="str">
        <v xml:space="preserve"> </v>
      </c>
      <c r="I56" s="156" t="str">
        <v xml:space="preserve"> </v>
      </c>
      <c r="J56" s="156" t="str">
        <v xml:space="preserve"> </v>
      </c>
      <c r="K56" s="156" t="str">
        <v xml:space="preserve"> </v>
      </c>
      <c r="L56" s="156" t="str">
        <v xml:space="preserve"> </v>
      </c>
      <c r="M56" s="156" t="str">
        <v xml:space="preserve"> </v>
      </c>
      <c r="N56" s="156" t="str">
        <v xml:space="preserve"> </v>
      </c>
      <c r="O56" s="156" t="str">
        <v xml:space="preserve"> </v>
      </c>
      <c r="P56" s="156" t="str">
        <v xml:space="preserve"> </v>
      </c>
      <c r="Q56" s="156" t="str">
        <v xml:space="preserve"> </v>
      </c>
      <c r="R56" s="156" t="str">
        <v xml:space="preserve"> </v>
      </c>
      <c r="S56" s="158" t="str">
        <v xml:space="preserve"> </v>
      </c>
      <c r="T56" s="156" t="str">
        <v xml:space="preserve"> </v>
      </c>
      <c r="U56" s="158" t="str">
        <v xml:space="preserve"> </v>
      </c>
      <c r="V56" s="156" t="str">
        <v xml:space="preserve"> </v>
      </c>
      <c r="W56" s="156" t="str">
        <v xml:space="preserve"> </v>
      </c>
      <c r="X56" s="156" t="str">
        <v xml:space="preserve"> </v>
      </c>
    </row>
    <row r="57" spans="1:24" x14ac:dyDescent="0.25">
      <c r="A57" s="129" t="e">
        <v>#N/A</v>
      </c>
      <c r="B57" s="156" t="str">
        <v xml:space="preserve"> </v>
      </c>
      <c r="C57" s="156" t="str">
        <v xml:space="preserve"> </v>
      </c>
      <c r="D57" s="156" t="str">
        <v xml:space="preserve"> </v>
      </c>
      <c r="E57" s="156" t="str">
        <v xml:space="preserve"> </v>
      </c>
      <c r="F57" s="156" t="str">
        <v xml:space="preserve"> </v>
      </c>
      <c r="G57" s="156" t="str">
        <v xml:space="preserve"> </v>
      </c>
      <c r="H57" s="156" t="str">
        <v xml:space="preserve"> </v>
      </c>
      <c r="I57" s="156" t="str">
        <v xml:space="preserve"> </v>
      </c>
      <c r="J57" s="156" t="str">
        <v xml:space="preserve"> </v>
      </c>
      <c r="K57" s="156" t="str">
        <v xml:space="preserve"> </v>
      </c>
      <c r="L57" s="156" t="str">
        <v xml:space="preserve"> </v>
      </c>
      <c r="M57" s="156" t="str">
        <v xml:space="preserve"> </v>
      </c>
      <c r="N57" s="156" t="str">
        <v xml:space="preserve"> </v>
      </c>
      <c r="O57" s="156" t="str">
        <v xml:space="preserve"> </v>
      </c>
      <c r="P57" s="156" t="str">
        <v xml:space="preserve"> </v>
      </c>
      <c r="Q57" s="156" t="str">
        <v xml:space="preserve"> </v>
      </c>
      <c r="R57" s="156" t="str">
        <v xml:space="preserve"> </v>
      </c>
      <c r="S57" s="158" t="str">
        <v xml:space="preserve"> </v>
      </c>
      <c r="T57" s="156" t="str">
        <v xml:space="preserve"> </v>
      </c>
      <c r="U57" s="158" t="str">
        <v xml:space="preserve"> </v>
      </c>
      <c r="V57" s="156" t="str">
        <v xml:space="preserve"> </v>
      </c>
      <c r="W57" s="156" t="str">
        <v xml:space="preserve"> </v>
      </c>
      <c r="X57" s="156" t="str">
        <v xml:space="preserve"> </v>
      </c>
    </row>
    <row r="58" spans="1:24" x14ac:dyDescent="0.25">
      <c r="A58" s="129" t="e">
        <v>#N/A</v>
      </c>
      <c r="B58" s="156" t="str">
        <v xml:space="preserve"> </v>
      </c>
      <c r="C58" s="156" t="str">
        <v xml:space="preserve"> </v>
      </c>
      <c r="D58" s="156" t="str">
        <v xml:space="preserve"> </v>
      </c>
      <c r="E58" s="156" t="str">
        <v xml:space="preserve"> </v>
      </c>
      <c r="F58" s="156" t="str">
        <v xml:space="preserve"> </v>
      </c>
      <c r="G58" s="156" t="str">
        <v xml:space="preserve"> </v>
      </c>
      <c r="H58" s="156" t="str">
        <v xml:space="preserve"> </v>
      </c>
      <c r="I58" s="156" t="str">
        <v xml:space="preserve"> </v>
      </c>
      <c r="J58" s="156" t="str">
        <v xml:space="preserve"> </v>
      </c>
      <c r="K58" s="156" t="str">
        <v xml:space="preserve"> </v>
      </c>
      <c r="L58" s="156" t="str">
        <v xml:space="preserve"> </v>
      </c>
      <c r="M58" s="156" t="str">
        <v xml:space="preserve"> </v>
      </c>
      <c r="N58" s="156" t="str">
        <v xml:space="preserve"> </v>
      </c>
      <c r="O58" s="156" t="str">
        <v xml:space="preserve"> </v>
      </c>
      <c r="P58" s="156" t="str">
        <v xml:space="preserve"> </v>
      </c>
      <c r="Q58" s="156" t="str">
        <v xml:space="preserve"> </v>
      </c>
      <c r="R58" s="156" t="str">
        <v xml:space="preserve"> </v>
      </c>
      <c r="S58" s="158" t="str">
        <v xml:space="preserve"> </v>
      </c>
      <c r="T58" s="156" t="str">
        <v xml:space="preserve"> </v>
      </c>
      <c r="U58" s="158" t="str">
        <v xml:space="preserve"> </v>
      </c>
      <c r="V58" s="156" t="str">
        <v xml:space="preserve"> </v>
      </c>
      <c r="W58" s="156" t="str">
        <v xml:space="preserve"> </v>
      </c>
      <c r="X58" s="156" t="str">
        <v xml:space="preserve"> </v>
      </c>
    </row>
    <row r="59" spans="1:24" x14ac:dyDescent="0.25">
      <c r="A59" s="129" t="e">
        <v>#N/A</v>
      </c>
      <c r="B59" s="156" t="str">
        <v xml:space="preserve"> </v>
      </c>
      <c r="C59" s="156" t="str">
        <v xml:space="preserve"> </v>
      </c>
      <c r="D59" s="156" t="str">
        <v xml:space="preserve"> </v>
      </c>
      <c r="E59" s="156" t="str">
        <v xml:space="preserve"> </v>
      </c>
      <c r="F59" s="156" t="str">
        <v xml:space="preserve"> </v>
      </c>
      <c r="G59" s="156" t="str">
        <v xml:space="preserve"> </v>
      </c>
      <c r="H59" s="156" t="str">
        <v xml:space="preserve"> </v>
      </c>
      <c r="I59" s="156" t="str">
        <v xml:space="preserve"> </v>
      </c>
      <c r="J59" s="156" t="str">
        <v xml:space="preserve"> </v>
      </c>
      <c r="K59" s="156" t="str">
        <v xml:space="preserve"> </v>
      </c>
      <c r="L59" s="156" t="str">
        <v xml:space="preserve"> </v>
      </c>
      <c r="M59" s="156" t="str">
        <v xml:space="preserve"> </v>
      </c>
      <c r="N59" s="156" t="str">
        <v xml:space="preserve"> </v>
      </c>
      <c r="O59" s="156" t="str">
        <v xml:space="preserve"> </v>
      </c>
      <c r="P59" s="156" t="str">
        <v xml:space="preserve"> </v>
      </c>
      <c r="Q59" s="156" t="str">
        <v xml:space="preserve"> </v>
      </c>
      <c r="R59" s="156" t="str">
        <v xml:space="preserve"> </v>
      </c>
      <c r="S59" s="158" t="str">
        <v xml:space="preserve"> </v>
      </c>
      <c r="T59" s="156" t="str">
        <v xml:space="preserve"> </v>
      </c>
      <c r="U59" s="158" t="str">
        <v xml:space="preserve"> </v>
      </c>
      <c r="V59" s="156" t="str">
        <v xml:space="preserve"> </v>
      </c>
      <c r="W59" s="156" t="str">
        <v xml:space="preserve"> </v>
      </c>
      <c r="X59" s="156" t="str">
        <v xml:space="preserve"> </v>
      </c>
    </row>
    <row r="60" spans="1:24" x14ac:dyDescent="0.25">
      <c r="A60" s="129" t="e">
        <v>#N/A</v>
      </c>
      <c r="B60" s="156" t="str">
        <v xml:space="preserve"> </v>
      </c>
      <c r="C60" s="156" t="str">
        <v xml:space="preserve"> </v>
      </c>
      <c r="D60" s="156" t="str">
        <v xml:space="preserve"> </v>
      </c>
      <c r="E60" s="156" t="str">
        <v xml:space="preserve"> </v>
      </c>
      <c r="F60" s="156" t="str">
        <v xml:space="preserve"> </v>
      </c>
      <c r="G60" s="156" t="str">
        <v xml:space="preserve"> </v>
      </c>
      <c r="H60" s="156" t="str">
        <v xml:space="preserve"> </v>
      </c>
      <c r="I60" s="156" t="str">
        <v xml:space="preserve"> </v>
      </c>
      <c r="J60" s="156" t="str">
        <v xml:space="preserve"> </v>
      </c>
      <c r="K60" s="156" t="str">
        <v xml:space="preserve"> </v>
      </c>
      <c r="L60" s="156" t="str">
        <v xml:space="preserve"> </v>
      </c>
      <c r="M60" s="156" t="str">
        <v xml:space="preserve"> </v>
      </c>
      <c r="N60" s="156" t="str">
        <v xml:space="preserve"> </v>
      </c>
      <c r="O60" s="156" t="str">
        <v xml:space="preserve"> </v>
      </c>
      <c r="P60" s="156" t="str">
        <v xml:space="preserve"> </v>
      </c>
      <c r="Q60" s="156" t="str">
        <v xml:space="preserve"> </v>
      </c>
      <c r="R60" s="156" t="str">
        <v xml:space="preserve"> </v>
      </c>
      <c r="S60" s="158" t="str">
        <v xml:space="preserve"> </v>
      </c>
      <c r="T60" s="156" t="str">
        <v xml:space="preserve"> </v>
      </c>
      <c r="U60" s="158" t="str">
        <v xml:space="preserve"> </v>
      </c>
      <c r="V60" s="156" t="str">
        <v xml:space="preserve"> </v>
      </c>
      <c r="W60" s="156" t="str">
        <v xml:space="preserve"> </v>
      </c>
      <c r="X60" s="156" t="str">
        <v xml:space="preserve"> </v>
      </c>
    </row>
    <row r="61" spans="1:24" x14ac:dyDescent="0.25">
      <c r="A61" s="129" t="e">
        <v>#N/A</v>
      </c>
      <c r="B61" s="156" t="str">
        <v xml:space="preserve"> </v>
      </c>
      <c r="C61" s="156" t="str">
        <v xml:space="preserve"> </v>
      </c>
      <c r="D61" s="156" t="str">
        <v xml:space="preserve"> </v>
      </c>
      <c r="E61" s="156" t="str">
        <v xml:space="preserve"> </v>
      </c>
      <c r="F61" s="156" t="str">
        <v xml:space="preserve"> </v>
      </c>
      <c r="G61" s="156" t="str">
        <v xml:space="preserve"> </v>
      </c>
      <c r="H61" s="156" t="str">
        <v xml:space="preserve"> </v>
      </c>
      <c r="I61" s="156" t="str">
        <v xml:space="preserve"> </v>
      </c>
      <c r="J61" s="156" t="str">
        <v xml:space="preserve"> </v>
      </c>
      <c r="K61" s="156" t="str">
        <v xml:space="preserve"> </v>
      </c>
      <c r="L61" s="156" t="str">
        <v xml:space="preserve"> </v>
      </c>
      <c r="M61" s="156" t="str">
        <v xml:space="preserve"> </v>
      </c>
      <c r="N61" s="156" t="str">
        <v xml:space="preserve"> </v>
      </c>
      <c r="O61" s="156" t="str">
        <v xml:space="preserve"> </v>
      </c>
      <c r="P61" s="156" t="str">
        <v xml:space="preserve"> </v>
      </c>
      <c r="Q61" s="156" t="str">
        <v xml:space="preserve"> </v>
      </c>
      <c r="R61" s="156" t="str">
        <v xml:space="preserve"> </v>
      </c>
      <c r="S61" s="158" t="str">
        <v xml:space="preserve"> </v>
      </c>
      <c r="T61" s="156" t="str">
        <v xml:space="preserve"> </v>
      </c>
      <c r="U61" s="158" t="str">
        <v xml:space="preserve"> </v>
      </c>
      <c r="V61" s="156" t="str">
        <v xml:space="preserve"> </v>
      </c>
      <c r="W61" s="156" t="str">
        <v xml:space="preserve"> </v>
      </c>
      <c r="X61" s="156" t="str">
        <v xml:space="preserve"> </v>
      </c>
    </row>
    <row r="62" spans="1:24" x14ac:dyDescent="0.25">
      <c r="A62" s="129" t="e">
        <v>#N/A</v>
      </c>
      <c r="B62" s="156" t="str">
        <v xml:space="preserve"> </v>
      </c>
      <c r="C62" s="156" t="str">
        <v xml:space="preserve"> </v>
      </c>
      <c r="D62" s="156" t="str">
        <v xml:space="preserve"> </v>
      </c>
      <c r="E62" s="156" t="str">
        <v xml:space="preserve"> </v>
      </c>
      <c r="F62" s="156" t="str">
        <v xml:space="preserve"> </v>
      </c>
      <c r="G62" s="156" t="str">
        <v xml:space="preserve"> </v>
      </c>
      <c r="H62" s="156" t="str">
        <v xml:space="preserve"> </v>
      </c>
      <c r="I62" s="156" t="str">
        <v xml:space="preserve"> </v>
      </c>
      <c r="J62" s="156" t="str">
        <v xml:space="preserve"> </v>
      </c>
      <c r="K62" s="156" t="str">
        <v xml:space="preserve"> </v>
      </c>
      <c r="L62" s="156" t="str">
        <v xml:space="preserve"> </v>
      </c>
      <c r="M62" s="156" t="str">
        <v xml:space="preserve"> </v>
      </c>
      <c r="N62" s="156" t="str">
        <v xml:space="preserve"> </v>
      </c>
      <c r="O62" s="156" t="str">
        <v xml:space="preserve"> </v>
      </c>
      <c r="P62" s="156" t="str">
        <v xml:space="preserve"> </v>
      </c>
      <c r="Q62" s="156" t="str">
        <v xml:space="preserve"> </v>
      </c>
      <c r="R62" s="156" t="str">
        <v xml:space="preserve"> </v>
      </c>
      <c r="S62" s="158" t="str">
        <v xml:space="preserve"> </v>
      </c>
      <c r="T62" s="156" t="str">
        <v xml:space="preserve"> </v>
      </c>
      <c r="U62" s="158" t="str">
        <v xml:space="preserve"> </v>
      </c>
      <c r="V62" s="156" t="str">
        <v xml:space="preserve"> </v>
      </c>
      <c r="W62" s="156" t="str">
        <v xml:space="preserve"> </v>
      </c>
      <c r="X62" s="156" t="str">
        <v xml:space="preserve"> </v>
      </c>
    </row>
    <row r="63" spans="1:24" x14ac:dyDescent="0.25">
      <c r="A63" s="129" t="e">
        <v>#N/A</v>
      </c>
      <c r="B63" s="156" t="str">
        <v xml:space="preserve"> </v>
      </c>
      <c r="C63" s="156" t="str">
        <v xml:space="preserve"> </v>
      </c>
      <c r="D63" s="156" t="str">
        <v xml:space="preserve"> </v>
      </c>
      <c r="E63" s="156" t="str">
        <v xml:space="preserve"> </v>
      </c>
      <c r="F63" s="156" t="str">
        <v xml:space="preserve"> </v>
      </c>
      <c r="G63" s="156" t="str">
        <v xml:space="preserve"> </v>
      </c>
      <c r="H63" s="156" t="str">
        <v xml:space="preserve"> </v>
      </c>
      <c r="I63" s="156" t="str">
        <v xml:space="preserve"> </v>
      </c>
      <c r="J63" s="156" t="str">
        <v xml:space="preserve"> </v>
      </c>
      <c r="K63" s="156" t="str">
        <v xml:space="preserve"> </v>
      </c>
      <c r="L63" s="156" t="str">
        <v xml:space="preserve"> </v>
      </c>
      <c r="M63" s="156" t="str">
        <v xml:space="preserve"> </v>
      </c>
      <c r="N63" s="156" t="str">
        <v xml:space="preserve"> </v>
      </c>
      <c r="O63" s="156" t="str">
        <v xml:space="preserve"> </v>
      </c>
      <c r="P63" s="156" t="str">
        <v xml:space="preserve"> </v>
      </c>
      <c r="Q63" s="156" t="str">
        <v xml:space="preserve"> </v>
      </c>
      <c r="R63" s="156" t="str">
        <v xml:space="preserve"> </v>
      </c>
      <c r="S63" s="158" t="str">
        <v xml:space="preserve"> </v>
      </c>
      <c r="T63" s="156" t="str">
        <v xml:space="preserve"> </v>
      </c>
      <c r="U63" s="158" t="str">
        <v xml:space="preserve"> </v>
      </c>
      <c r="V63" s="156" t="str">
        <v xml:space="preserve"> </v>
      </c>
      <c r="W63" s="156" t="str">
        <v xml:space="preserve"> </v>
      </c>
      <c r="X63" s="156" t="str">
        <v xml:space="preserve"> </v>
      </c>
    </row>
    <row r="64" spans="1:24" x14ac:dyDescent="0.25">
      <c r="A64" s="129" t="e">
        <v>#N/A</v>
      </c>
      <c r="B64" s="156" t="str">
        <v xml:space="preserve"> </v>
      </c>
      <c r="C64" s="156" t="str">
        <v xml:space="preserve"> </v>
      </c>
      <c r="D64" s="156" t="str">
        <v xml:space="preserve"> </v>
      </c>
      <c r="E64" s="156" t="str">
        <v xml:space="preserve"> </v>
      </c>
      <c r="F64" s="156" t="str">
        <v xml:space="preserve"> </v>
      </c>
      <c r="G64" s="156" t="str">
        <v xml:space="preserve"> </v>
      </c>
      <c r="H64" s="156" t="str">
        <v xml:space="preserve"> </v>
      </c>
      <c r="I64" s="156" t="str">
        <v xml:space="preserve"> </v>
      </c>
      <c r="J64" s="156" t="str">
        <v xml:space="preserve"> </v>
      </c>
      <c r="K64" s="156" t="str">
        <v xml:space="preserve"> </v>
      </c>
      <c r="L64" s="156" t="str">
        <v xml:space="preserve"> </v>
      </c>
      <c r="M64" s="156" t="str">
        <v xml:space="preserve"> </v>
      </c>
      <c r="N64" s="156" t="str">
        <v xml:space="preserve"> </v>
      </c>
      <c r="O64" s="156" t="str">
        <v xml:space="preserve"> </v>
      </c>
      <c r="P64" s="156" t="str">
        <v xml:space="preserve"> </v>
      </c>
      <c r="Q64" s="156" t="str">
        <v xml:space="preserve"> </v>
      </c>
      <c r="R64" s="156" t="str">
        <v xml:space="preserve"> </v>
      </c>
      <c r="S64" s="158" t="str">
        <v xml:space="preserve"> </v>
      </c>
      <c r="T64" s="156" t="str">
        <v xml:space="preserve"> </v>
      </c>
      <c r="U64" s="158" t="str">
        <v xml:space="preserve"> </v>
      </c>
      <c r="V64" s="156" t="str">
        <v xml:space="preserve"> </v>
      </c>
      <c r="W64" s="156" t="str">
        <v xml:space="preserve"> </v>
      </c>
      <c r="X64" s="156" t="str">
        <v xml:space="preserve"> </v>
      </c>
    </row>
    <row r="65" spans="1:24" x14ac:dyDescent="0.25">
      <c r="A65" s="129" t="e">
        <v>#N/A</v>
      </c>
      <c r="B65" s="156" t="str">
        <v xml:space="preserve"> </v>
      </c>
      <c r="C65" s="156" t="str">
        <v xml:space="preserve"> </v>
      </c>
      <c r="D65" s="156" t="str">
        <v xml:space="preserve"> </v>
      </c>
      <c r="E65" s="156" t="str">
        <v xml:space="preserve"> </v>
      </c>
      <c r="F65" s="156" t="str">
        <v xml:space="preserve"> </v>
      </c>
      <c r="G65" s="156" t="str">
        <v xml:space="preserve"> </v>
      </c>
      <c r="H65" s="156" t="str">
        <v xml:space="preserve"> </v>
      </c>
      <c r="I65" s="156" t="str">
        <v xml:space="preserve"> </v>
      </c>
      <c r="J65" s="156" t="str">
        <v xml:space="preserve"> </v>
      </c>
      <c r="K65" s="156" t="str">
        <v xml:space="preserve"> </v>
      </c>
      <c r="L65" s="156" t="str">
        <v xml:space="preserve"> </v>
      </c>
      <c r="M65" s="156" t="str">
        <v xml:space="preserve"> </v>
      </c>
      <c r="N65" s="156" t="str">
        <v xml:space="preserve"> </v>
      </c>
      <c r="O65" s="156" t="str">
        <v xml:space="preserve"> </v>
      </c>
      <c r="P65" s="156" t="str">
        <v xml:space="preserve"> </v>
      </c>
      <c r="Q65" s="156" t="str">
        <v xml:space="preserve"> </v>
      </c>
      <c r="R65" s="156" t="str">
        <v xml:space="preserve"> </v>
      </c>
      <c r="S65" s="158" t="str">
        <v xml:space="preserve"> </v>
      </c>
      <c r="T65" s="156" t="str">
        <v xml:space="preserve"> </v>
      </c>
      <c r="U65" s="158" t="str">
        <v xml:space="preserve"> </v>
      </c>
      <c r="V65" s="156" t="str">
        <v xml:space="preserve"> </v>
      </c>
      <c r="W65" s="156" t="str">
        <v xml:space="preserve"> </v>
      </c>
      <c r="X65" s="156" t="str">
        <v xml:space="preserve"> </v>
      </c>
    </row>
    <row r="66" spans="1:24" x14ac:dyDescent="0.25">
      <c r="A66" s="129" t="e">
        <v>#N/A</v>
      </c>
      <c r="B66" s="156" t="str">
        <v xml:space="preserve"> </v>
      </c>
      <c r="C66" s="156" t="str">
        <v xml:space="preserve"> </v>
      </c>
      <c r="D66" s="156" t="str">
        <v xml:space="preserve"> </v>
      </c>
      <c r="E66" s="156" t="str">
        <v xml:space="preserve"> </v>
      </c>
      <c r="F66" s="156" t="str">
        <v xml:space="preserve"> </v>
      </c>
      <c r="G66" s="156" t="str">
        <v xml:space="preserve"> </v>
      </c>
      <c r="H66" s="156" t="str">
        <v xml:space="preserve"> </v>
      </c>
      <c r="I66" s="156" t="str">
        <v xml:space="preserve"> </v>
      </c>
      <c r="J66" s="156" t="str">
        <v xml:space="preserve"> </v>
      </c>
      <c r="K66" s="156" t="str">
        <v xml:space="preserve"> </v>
      </c>
      <c r="L66" s="156" t="str">
        <v xml:space="preserve"> </v>
      </c>
      <c r="M66" s="156" t="str">
        <v xml:space="preserve"> </v>
      </c>
      <c r="N66" s="156" t="str">
        <v xml:space="preserve"> </v>
      </c>
      <c r="O66" s="156" t="str">
        <v xml:space="preserve"> </v>
      </c>
      <c r="P66" s="156" t="str">
        <v xml:space="preserve"> </v>
      </c>
      <c r="Q66" s="156" t="str">
        <v xml:space="preserve"> </v>
      </c>
      <c r="R66" s="156" t="str">
        <v xml:space="preserve"> </v>
      </c>
      <c r="S66" s="158" t="str">
        <v xml:space="preserve"> </v>
      </c>
      <c r="T66" s="156" t="str">
        <v xml:space="preserve"> </v>
      </c>
      <c r="U66" s="158" t="str">
        <v xml:space="preserve"> </v>
      </c>
      <c r="V66" s="156" t="str">
        <v xml:space="preserve"> </v>
      </c>
      <c r="W66" s="156" t="str">
        <v xml:space="preserve"> </v>
      </c>
      <c r="X66" s="156" t="str">
        <v xml:space="preserve"> </v>
      </c>
    </row>
    <row r="67" spans="1:24" x14ac:dyDescent="0.25">
      <c r="A67" s="129" t="e">
        <v>#N/A</v>
      </c>
      <c r="B67" s="156" t="str">
        <v xml:space="preserve"> </v>
      </c>
      <c r="C67" s="156" t="str">
        <v xml:space="preserve"> </v>
      </c>
      <c r="D67" s="156" t="str">
        <v xml:space="preserve"> </v>
      </c>
      <c r="E67" s="156" t="str">
        <v xml:space="preserve"> </v>
      </c>
      <c r="F67" s="156" t="str">
        <v xml:space="preserve"> </v>
      </c>
      <c r="G67" s="156" t="str">
        <v xml:space="preserve"> </v>
      </c>
      <c r="H67" s="156" t="str">
        <v xml:space="preserve"> </v>
      </c>
      <c r="I67" s="156" t="str">
        <v xml:space="preserve"> </v>
      </c>
      <c r="J67" s="156" t="str">
        <v xml:space="preserve"> </v>
      </c>
      <c r="K67" s="156" t="str">
        <v xml:space="preserve"> </v>
      </c>
      <c r="L67" s="156" t="str">
        <v xml:space="preserve"> </v>
      </c>
      <c r="M67" s="156" t="str">
        <v xml:space="preserve"> </v>
      </c>
      <c r="N67" s="156" t="str">
        <v xml:space="preserve"> </v>
      </c>
      <c r="O67" s="156" t="str">
        <v xml:space="preserve"> </v>
      </c>
      <c r="P67" s="156" t="str">
        <v xml:space="preserve"> </v>
      </c>
      <c r="Q67" s="156" t="str">
        <v xml:space="preserve"> </v>
      </c>
      <c r="R67" s="156" t="str">
        <v xml:space="preserve"> </v>
      </c>
      <c r="S67" s="158" t="str">
        <v xml:space="preserve"> </v>
      </c>
      <c r="T67" s="156" t="str">
        <v xml:space="preserve"> </v>
      </c>
      <c r="U67" s="158" t="str">
        <v xml:space="preserve"> </v>
      </c>
      <c r="V67" s="156" t="str">
        <v xml:space="preserve"> </v>
      </c>
      <c r="W67" s="156" t="str">
        <v xml:space="preserve"> </v>
      </c>
      <c r="X67" s="156" t="str">
        <v xml:space="preserve"> </v>
      </c>
    </row>
    <row r="68" spans="1:24" x14ac:dyDescent="0.25">
      <c r="A68" s="129" t="e">
        <v>#N/A</v>
      </c>
      <c r="B68" s="156" t="str">
        <v xml:space="preserve"> </v>
      </c>
      <c r="C68" s="156" t="str">
        <v xml:space="preserve"> </v>
      </c>
      <c r="D68" s="156" t="str">
        <v xml:space="preserve"> </v>
      </c>
      <c r="E68" s="156" t="str">
        <v xml:space="preserve"> </v>
      </c>
      <c r="F68" s="156" t="str">
        <v xml:space="preserve"> </v>
      </c>
      <c r="G68" s="156" t="str">
        <v xml:space="preserve"> </v>
      </c>
      <c r="H68" s="156" t="str">
        <v xml:space="preserve"> </v>
      </c>
      <c r="I68" s="156" t="str">
        <v xml:space="preserve"> </v>
      </c>
      <c r="J68" s="156" t="str">
        <v xml:space="preserve"> </v>
      </c>
      <c r="K68" s="156" t="str">
        <v xml:space="preserve"> </v>
      </c>
      <c r="L68" s="156" t="str">
        <v xml:space="preserve"> </v>
      </c>
      <c r="M68" s="156" t="str">
        <v xml:space="preserve"> </v>
      </c>
      <c r="N68" s="156" t="str">
        <v xml:space="preserve"> </v>
      </c>
      <c r="O68" s="156" t="str">
        <v xml:space="preserve"> </v>
      </c>
      <c r="P68" s="156" t="str">
        <v xml:space="preserve"> </v>
      </c>
      <c r="Q68" s="156" t="str">
        <v xml:space="preserve"> </v>
      </c>
      <c r="R68" s="156" t="str">
        <v xml:space="preserve"> </v>
      </c>
      <c r="S68" s="158" t="str">
        <v xml:space="preserve"> </v>
      </c>
      <c r="T68" s="156" t="str">
        <v xml:space="preserve"> </v>
      </c>
      <c r="U68" s="158" t="str">
        <v xml:space="preserve"> </v>
      </c>
      <c r="V68" s="156" t="str">
        <v xml:space="preserve"> </v>
      </c>
      <c r="W68" s="156" t="str">
        <v xml:space="preserve"> </v>
      </c>
      <c r="X68" s="156" t="str">
        <v xml:space="preserve"> </v>
      </c>
    </row>
    <row r="69" spans="1:24" x14ac:dyDescent="0.25">
      <c r="A69" s="129" t="e">
        <v>#N/A</v>
      </c>
      <c r="B69" s="156" t="str">
        <v xml:space="preserve"> </v>
      </c>
      <c r="C69" s="156" t="str">
        <v xml:space="preserve"> </v>
      </c>
      <c r="D69" s="156" t="str">
        <v xml:space="preserve"> </v>
      </c>
      <c r="E69" s="156" t="str">
        <v xml:space="preserve"> </v>
      </c>
      <c r="F69" s="156" t="str">
        <v xml:space="preserve"> </v>
      </c>
      <c r="G69" s="156" t="str">
        <v xml:space="preserve"> </v>
      </c>
      <c r="H69" s="156" t="str">
        <v xml:space="preserve"> </v>
      </c>
      <c r="I69" s="156" t="str">
        <v xml:space="preserve"> </v>
      </c>
      <c r="J69" s="156" t="str">
        <v xml:space="preserve"> </v>
      </c>
      <c r="K69" s="156" t="str">
        <v xml:space="preserve"> </v>
      </c>
      <c r="L69" s="156" t="str">
        <v xml:space="preserve"> </v>
      </c>
      <c r="M69" s="156" t="str">
        <v xml:space="preserve"> </v>
      </c>
      <c r="N69" s="156" t="str">
        <v xml:space="preserve"> </v>
      </c>
      <c r="O69" s="156" t="str">
        <v xml:space="preserve"> </v>
      </c>
      <c r="P69" s="156" t="str">
        <v xml:space="preserve"> </v>
      </c>
      <c r="Q69" s="156" t="str">
        <v xml:space="preserve"> </v>
      </c>
      <c r="R69" s="156" t="str">
        <v xml:space="preserve"> </v>
      </c>
      <c r="S69" s="158" t="str">
        <v xml:space="preserve"> </v>
      </c>
      <c r="T69" s="156" t="str">
        <v xml:space="preserve"> </v>
      </c>
      <c r="U69" s="158" t="str">
        <v xml:space="preserve"> </v>
      </c>
      <c r="V69" s="156" t="str">
        <v xml:space="preserve"> </v>
      </c>
      <c r="W69" s="156" t="str">
        <v xml:space="preserve"> </v>
      </c>
      <c r="X69" s="156" t="str">
        <v xml:space="preserve"> </v>
      </c>
    </row>
    <row r="70" spans="1:24" x14ac:dyDescent="0.25">
      <c r="A70" s="129" t="e">
        <v>#N/A</v>
      </c>
      <c r="B70" s="156" t="str">
        <v xml:space="preserve"> </v>
      </c>
      <c r="C70" s="156" t="str">
        <v xml:space="preserve"> </v>
      </c>
      <c r="D70" s="156" t="str">
        <v xml:space="preserve"> </v>
      </c>
      <c r="E70" s="156" t="str">
        <v xml:space="preserve"> </v>
      </c>
      <c r="F70" s="156" t="str">
        <v xml:space="preserve"> </v>
      </c>
      <c r="G70" s="156" t="str">
        <v xml:space="preserve"> </v>
      </c>
      <c r="H70" s="156" t="str">
        <v xml:space="preserve"> </v>
      </c>
      <c r="I70" s="156" t="str">
        <v xml:space="preserve"> </v>
      </c>
      <c r="J70" s="156" t="str">
        <v xml:space="preserve"> </v>
      </c>
      <c r="K70" s="156" t="str">
        <v xml:space="preserve"> </v>
      </c>
      <c r="L70" s="156" t="str">
        <v xml:space="preserve"> </v>
      </c>
      <c r="M70" s="156" t="str">
        <v xml:space="preserve"> </v>
      </c>
      <c r="N70" s="156" t="str">
        <v xml:space="preserve"> </v>
      </c>
      <c r="O70" s="156" t="str">
        <v xml:space="preserve"> </v>
      </c>
      <c r="P70" s="156" t="str">
        <v xml:space="preserve"> </v>
      </c>
      <c r="Q70" s="156" t="str">
        <v xml:space="preserve"> </v>
      </c>
      <c r="R70" s="156" t="str">
        <v xml:space="preserve"> </v>
      </c>
      <c r="S70" s="158" t="str">
        <v xml:space="preserve"> </v>
      </c>
      <c r="T70" s="156" t="str">
        <v xml:space="preserve"> </v>
      </c>
      <c r="U70" s="158" t="str">
        <v xml:space="preserve"> </v>
      </c>
      <c r="V70" s="156" t="str">
        <v xml:space="preserve"> </v>
      </c>
      <c r="W70" s="156" t="str">
        <v xml:space="preserve"> </v>
      </c>
      <c r="X70" s="156" t="str">
        <v xml:space="preserve"> </v>
      </c>
    </row>
    <row r="71" spans="1:24" x14ac:dyDescent="0.25">
      <c r="A71" s="129" t="e">
        <v>#N/A</v>
      </c>
      <c r="B71" s="156" t="str">
        <v xml:space="preserve"> </v>
      </c>
      <c r="C71" s="156" t="str">
        <v xml:space="preserve"> </v>
      </c>
      <c r="D71" s="156" t="str">
        <v xml:space="preserve"> </v>
      </c>
      <c r="E71" s="156" t="str">
        <v xml:space="preserve"> </v>
      </c>
      <c r="F71" s="156" t="str">
        <v xml:space="preserve"> </v>
      </c>
      <c r="G71" s="156" t="str">
        <v xml:space="preserve"> </v>
      </c>
      <c r="H71" s="156" t="str">
        <v xml:space="preserve"> </v>
      </c>
      <c r="I71" s="156" t="str">
        <v xml:space="preserve"> </v>
      </c>
      <c r="J71" s="156" t="str">
        <v xml:space="preserve"> </v>
      </c>
      <c r="K71" s="156" t="str">
        <v xml:space="preserve"> </v>
      </c>
      <c r="L71" s="156" t="str">
        <v xml:space="preserve"> </v>
      </c>
      <c r="M71" s="156" t="str">
        <v xml:space="preserve"> </v>
      </c>
      <c r="N71" s="156" t="str">
        <v xml:space="preserve"> </v>
      </c>
      <c r="O71" s="156" t="str">
        <v xml:space="preserve"> </v>
      </c>
      <c r="P71" s="156" t="str">
        <v xml:space="preserve"> </v>
      </c>
      <c r="Q71" s="156" t="str">
        <v xml:space="preserve"> </v>
      </c>
      <c r="R71" s="156" t="str">
        <v xml:space="preserve"> </v>
      </c>
      <c r="S71" s="158" t="str">
        <v xml:space="preserve"> </v>
      </c>
      <c r="T71" s="156" t="str">
        <v xml:space="preserve"> </v>
      </c>
      <c r="U71" s="158" t="str">
        <v xml:space="preserve"> </v>
      </c>
      <c r="V71" s="156" t="str">
        <v xml:space="preserve"> </v>
      </c>
      <c r="W71" s="156" t="str">
        <v xml:space="preserve"> </v>
      </c>
      <c r="X71" s="156" t="str">
        <v xml:space="preserve"> </v>
      </c>
    </row>
    <row r="72" spans="1:24" x14ac:dyDescent="0.25">
      <c r="A72" s="129" t="e">
        <v>#N/A</v>
      </c>
      <c r="B72" s="156" t="str">
        <v xml:space="preserve"> </v>
      </c>
      <c r="C72" s="156" t="str">
        <v xml:space="preserve"> </v>
      </c>
      <c r="D72" s="156" t="str">
        <v xml:space="preserve"> </v>
      </c>
      <c r="E72" s="156" t="str">
        <v xml:space="preserve"> </v>
      </c>
      <c r="F72" s="156" t="str">
        <v xml:space="preserve"> </v>
      </c>
      <c r="G72" s="156" t="str">
        <v xml:space="preserve"> </v>
      </c>
      <c r="H72" s="156" t="str">
        <v xml:space="preserve"> </v>
      </c>
      <c r="I72" s="156" t="str">
        <v xml:space="preserve"> </v>
      </c>
      <c r="J72" s="156" t="str">
        <v xml:space="preserve"> </v>
      </c>
      <c r="K72" s="156" t="str">
        <v xml:space="preserve"> </v>
      </c>
      <c r="L72" s="156" t="str">
        <v xml:space="preserve"> </v>
      </c>
      <c r="M72" s="156" t="str">
        <v xml:space="preserve"> </v>
      </c>
      <c r="N72" s="156" t="str">
        <v xml:space="preserve"> </v>
      </c>
      <c r="O72" s="156" t="str">
        <v xml:space="preserve"> </v>
      </c>
      <c r="P72" s="156" t="str">
        <v xml:space="preserve"> </v>
      </c>
      <c r="Q72" s="156" t="str">
        <v xml:space="preserve"> </v>
      </c>
      <c r="R72" s="156" t="str">
        <v xml:space="preserve"> </v>
      </c>
      <c r="S72" s="158" t="str">
        <v xml:space="preserve"> </v>
      </c>
      <c r="T72" s="156" t="str">
        <v xml:space="preserve"> </v>
      </c>
      <c r="U72" s="158" t="str">
        <v xml:space="preserve"> </v>
      </c>
      <c r="V72" s="156" t="str">
        <v xml:space="preserve"> </v>
      </c>
      <c r="W72" s="156" t="str">
        <v xml:space="preserve"> </v>
      </c>
      <c r="X72" s="156" t="str">
        <v xml:space="preserve"> </v>
      </c>
    </row>
    <row r="73" spans="1:24" x14ac:dyDescent="0.25">
      <c r="A73" s="129" t="e">
        <v>#N/A</v>
      </c>
      <c r="B73" s="156" t="str">
        <v xml:space="preserve"> </v>
      </c>
      <c r="C73" s="156" t="str">
        <v xml:space="preserve"> </v>
      </c>
      <c r="D73" s="156" t="str">
        <v xml:space="preserve"> </v>
      </c>
      <c r="E73" s="156" t="str">
        <v xml:space="preserve"> </v>
      </c>
      <c r="F73" s="156" t="str">
        <v xml:space="preserve"> </v>
      </c>
      <c r="G73" s="156" t="str">
        <v xml:space="preserve"> </v>
      </c>
      <c r="H73" s="156" t="str">
        <v xml:space="preserve"> </v>
      </c>
      <c r="I73" s="156" t="str">
        <v xml:space="preserve"> </v>
      </c>
      <c r="J73" s="156" t="str">
        <v xml:space="preserve"> </v>
      </c>
      <c r="K73" s="156" t="str">
        <v xml:space="preserve"> </v>
      </c>
      <c r="L73" s="156" t="str">
        <v xml:space="preserve"> </v>
      </c>
      <c r="M73" s="156" t="str">
        <v xml:space="preserve"> </v>
      </c>
      <c r="N73" s="156" t="str">
        <v xml:space="preserve"> </v>
      </c>
      <c r="O73" s="156" t="str">
        <v xml:space="preserve"> </v>
      </c>
      <c r="P73" s="156" t="str">
        <v xml:space="preserve"> </v>
      </c>
      <c r="Q73" s="156" t="str">
        <v xml:space="preserve"> </v>
      </c>
      <c r="R73" s="156" t="str">
        <v xml:space="preserve"> </v>
      </c>
      <c r="S73" s="158" t="str">
        <v xml:space="preserve"> </v>
      </c>
      <c r="T73" s="156" t="str">
        <v xml:space="preserve"> </v>
      </c>
      <c r="U73" s="158" t="str">
        <v xml:space="preserve"> </v>
      </c>
      <c r="V73" s="156" t="str">
        <v xml:space="preserve"> </v>
      </c>
      <c r="W73" s="156" t="str">
        <v xml:space="preserve"> </v>
      </c>
      <c r="X73" s="156" t="str">
        <v xml:space="preserve"> </v>
      </c>
    </row>
    <row r="74" spans="1:24" x14ac:dyDescent="0.25">
      <c r="A74" s="129" t="e">
        <v>#N/A</v>
      </c>
      <c r="B74" s="156" t="str">
        <v xml:space="preserve"> </v>
      </c>
      <c r="C74" s="156" t="str">
        <v xml:space="preserve"> </v>
      </c>
      <c r="D74" s="156" t="str">
        <v xml:space="preserve"> </v>
      </c>
      <c r="E74" s="156" t="str">
        <v xml:space="preserve"> </v>
      </c>
      <c r="F74" s="156" t="str">
        <v xml:space="preserve"> </v>
      </c>
      <c r="G74" s="156" t="str">
        <v xml:space="preserve"> </v>
      </c>
      <c r="H74" s="156" t="str">
        <v xml:space="preserve"> </v>
      </c>
      <c r="I74" s="156" t="str">
        <v xml:space="preserve"> </v>
      </c>
      <c r="J74" s="156" t="str">
        <v xml:space="preserve"> </v>
      </c>
      <c r="K74" s="156" t="str">
        <v xml:space="preserve"> </v>
      </c>
      <c r="L74" s="156" t="str">
        <v xml:space="preserve"> </v>
      </c>
      <c r="M74" s="156" t="str">
        <v xml:space="preserve"> </v>
      </c>
      <c r="N74" s="156" t="str">
        <v xml:space="preserve"> </v>
      </c>
      <c r="O74" s="156" t="str">
        <v xml:space="preserve"> </v>
      </c>
      <c r="P74" s="156" t="str">
        <v xml:space="preserve"> </v>
      </c>
      <c r="Q74" s="156" t="str">
        <v xml:space="preserve"> </v>
      </c>
      <c r="R74" s="156" t="str">
        <v xml:space="preserve"> </v>
      </c>
      <c r="S74" s="158" t="str">
        <v xml:space="preserve"> </v>
      </c>
      <c r="T74" s="156" t="str">
        <v xml:space="preserve"> </v>
      </c>
      <c r="U74" s="158" t="str">
        <v xml:space="preserve"> </v>
      </c>
      <c r="V74" s="156" t="str">
        <v xml:space="preserve"> </v>
      </c>
      <c r="W74" s="156" t="str">
        <v xml:space="preserve"> </v>
      </c>
      <c r="X74" s="156" t="str">
        <v xml:space="preserve"> </v>
      </c>
    </row>
    <row r="75" spans="1:24" x14ac:dyDescent="0.25">
      <c r="A75" s="129" t="e">
        <v>#N/A</v>
      </c>
      <c r="B75" s="156" t="str">
        <v xml:space="preserve"> </v>
      </c>
      <c r="C75" s="156" t="str">
        <v xml:space="preserve"> </v>
      </c>
      <c r="D75" s="156" t="str">
        <v xml:space="preserve"> </v>
      </c>
      <c r="E75" s="156" t="str">
        <v xml:space="preserve"> </v>
      </c>
      <c r="F75" s="156" t="str">
        <v xml:space="preserve"> </v>
      </c>
      <c r="G75" s="156" t="str">
        <v xml:space="preserve"> </v>
      </c>
      <c r="H75" s="156" t="str">
        <v xml:space="preserve"> </v>
      </c>
      <c r="I75" s="156" t="str">
        <v xml:space="preserve"> </v>
      </c>
      <c r="J75" s="156" t="str">
        <v xml:space="preserve"> </v>
      </c>
      <c r="K75" s="156" t="str">
        <v xml:space="preserve"> </v>
      </c>
      <c r="L75" s="156" t="str">
        <v xml:space="preserve"> </v>
      </c>
      <c r="M75" s="156" t="str">
        <v xml:space="preserve"> </v>
      </c>
      <c r="N75" s="156" t="str">
        <v xml:space="preserve"> </v>
      </c>
      <c r="O75" s="156" t="str">
        <v xml:space="preserve"> </v>
      </c>
      <c r="P75" s="156" t="str">
        <v xml:space="preserve"> </v>
      </c>
      <c r="Q75" s="156" t="str">
        <v xml:space="preserve"> </v>
      </c>
      <c r="R75" s="156" t="str">
        <v xml:space="preserve"> </v>
      </c>
      <c r="S75" s="158" t="str">
        <v xml:space="preserve"> </v>
      </c>
      <c r="T75" s="156" t="str">
        <v xml:space="preserve"> </v>
      </c>
      <c r="U75" s="158" t="str">
        <v xml:space="preserve"> </v>
      </c>
      <c r="V75" s="156" t="str">
        <v xml:space="preserve"> </v>
      </c>
      <c r="W75" s="156" t="str">
        <v xml:space="preserve"> </v>
      </c>
      <c r="X75" s="156" t="str">
        <v xml:space="preserve"> </v>
      </c>
    </row>
    <row r="76" spans="1:24" x14ac:dyDescent="0.25">
      <c r="A76" s="129" t="e">
        <v>#N/A</v>
      </c>
      <c r="B76" s="156" t="str">
        <v xml:space="preserve"> </v>
      </c>
      <c r="C76" s="156" t="str">
        <v xml:space="preserve"> </v>
      </c>
      <c r="D76" s="156" t="str">
        <v xml:space="preserve"> </v>
      </c>
      <c r="E76" s="156" t="str">
        <v xml:space="preserve"> </v>
      </c>
      <c r="F76" s="156" t="str">
        <v xml:space="preserve"> </v>
      </c>
      <c r="G76" s="156" t="str">
        <v xml:space="preserve"> </v>
      </c>
      <c r="H76" s="156" t="str">
        <v xml:space="preserve"> </v>
      </c>
      <c r="I76" s="156" t="str">
        <v xml:space="preserve"> </v>
      </c>
      <c r="J76" s="156" t="str">
        <v xml:space="preserve"> </v>
      </c>
      <c r="K76" s="156" t="str">
        <v xml:space="preserve"> </v>
      </c>
      <c r="L76" s="156" t="str">
        <v xml:space="preserve"> </v>
      </c>
      <c r="M76" s="156" t="str">
        <v xml:space="preserve"> </v>
      </c>
      <c r="N76" s="156" t="str">
        <v xml:space="preserve"> </v>
      </c>
      <c r="O76" s="156" t="str">
        <v xml:space="preserve"> </v>
      </c>
      <c r="P76" s="156" t="str">
        <v xml:space="preserve"> </v>
      </c>
      <c r="Q76" s="156" t="str">
        <v xml:space="preserve"> </v>
      </c>
      <c r="R76" s="156" t="str">
        <v xml:space="preserve"> </v>
      </c>
      <c r="S76" s="158" t="str">
        <v xml:space="preserve"> </v>
      </c>
      <c r="T76" s="156" t="str">
        <v xml:space="preserve"> </v>
      </c>
      <c r="U76" s="158" t="str">
        <v xml:space="preserve"> </v>
      </c>
      <c r="V76" s="156" t="str">
        <v xml:space="preserve"> </v>
      </c>
      <c r="W76" s="156" t="str">
        <v xml:space="preserve"> </v>
      </c>
      <c r="X76" s="156" t="str">
        <v xml:space="preserve"> </v>
      </c>
    </row>
    <row r="77" spans="1:24" x14ac:dyDescent="0.25">
      <c r="A77" s="129" t="e">
        <v>#N/A</v>
      </c>
      <c r="B77" s="156" t="str">
        <v xml:space="preserve"> </v>
      </c>
      <c r="C77" s="156" t="str">
        <v xml:space="preserve"> </v>
      </c>
      <c r="D77" s="156" t="str">
        <v xml:space="preserve"> </v>
      </c>
      <c r="E77" s="156" t="str">
        <v xml:space="preserve"> </v>
      </c>
      <c r="F77" s="156" t="str">
        <v xml:space="preserve"> </v>
      </c>
      <c r="G77" s="156" t="str">
        <v xml:space="preserve"> </v>
      </c>
      <c r="H77" s="156" t="str">
        <v xml:space="preserve"> </v>
      </c>
      <c r="I77" s="156" t="str">
        <v xml:space="preserve"> </v>
      </c>
      <c r="J77" s="156" t="str">
        <v xml:space="preserve"> </v>
      </c>
      <c r="K77" s="156" t="str">
        <v xml:space="preserve"> </v>
      </c>
      <c r="L77" s="156" t="str">
        <v xml:space="preserve"> </v>
      </c>
      <c r="M77" s="156" t="str">
        <v xml:space="preserve"> </v>
      </c>
      <c r="N77" s="156" t="str">
        <v xml:space="preserve"> </v>
      </c>
      <c r="O77" s="156" t="str">
        <v xml:space="preserve"> </v>
      </c>
      <c r="P77" s="156" t="str">
        <v xml:space="preserve"> </v>
      </c>
      <c r="Q77" s="156" t="str">
        <v xml:space="preserve"> </v>
      </c>
      <c r="R77" s="156" t="str">
        <v xml:space="preserve"> </v>
      </c>
      <c r="S77" s="158" t="str">
        <v xml:space="preserve"> </v>
      </c>
      <c r="T77" s="156" t="str">
        <v xml:space="preserve"> </v>
      </c>
      <c r="U77" s="158" t="str">
        <v xml:space="preserve"> </v>
      </c>
      <c r="V77" s="156" t="str">
        <v xml:space="preserve"> </v>
      </c>
      <c r="W77" s="156" t="str">
        <v xml:space="preserve"> </v>
      </c>
      <c r="X77" s="156" t="str">
        <v xml:space="preserve"> </v>
      </c>
    </row>
    <row r="78" spans="1:24" x14ac:dyDescent="0.25">
      <c r="A78" s="129" t="e">
        <v>#N/A</v>
      </c>
      <c r="B78" s="156" t="str">
        <v xml:space="preserve"> </v>
      </c>
      <c r="C78" s="156" t="str">
        <v xml:space="preserve"> </v>
      </c>
      <c r="D78" s="156" t="str">
        <v xml:space="preserve"> </v>
      </c>
      <c r="E78" s="156" t="str">
        <v xml:space="preserve"> </v>
      </c>
      <c r="F78" s="156" t="str">
        <v xml:space="preserve"> </v>
      </c>
      <c r="G78" s="156" t="str">
        <v xml:space="preserve"> </v>
      </c>
      <c r="H78" s="156" t="str">
        <v xml:space="preserve"> </v>
      </c>
      <c r="I78" s="156" t="str">
        <v xml:space="preserve"> </v>
      </c>
      <c r="J78" s="156" t="str">
        <v xml:space="preserve"> </v>
      </c>
      <c r="K78" s="156" t="str">
        <v xml:space="preserve"> </v>
      </c>
      <c r="L78" s="156" t="str">
        <v xml:space="preserve"> </v>
      </c>
      <c r="M78" s="156" t="str">
        <v xml:space="preserve"> </v>
      </c>
      <c r="N78" s="156" t="str">
        <v xml:space="preserve"> </v>
      </c>
      <c r="O78" s="156" t="str">
        <v xml:space="preserve"> </v>
      </c>
      <c r="P78" s="156" t="str">
        <v xml:space="preserve"> </v>
      </c>
      <c r="Q78" s="156" t="str">
        <v xml:space="preserve"> </v>
      </c>
      <c r="R78" s="156" t="str">
        <v xml:space="preserve"> </v>
      </c>
      <c r="S78" s="158" t="str">
        <v xml:space="preserve"> </v>
      </c>
      <c r="T78" s="156" t="str">
        <v xml:space="preserve"> </v>
      </c>
      <c r="U78" s="158" t="str">
        <v xml:space="preserve"> </v>
      </c>
      <c r="V78" s="156" t="str">
        <v xml:space="preserve"> </v>
      </c>
      <c r="W78" s="156" t="str">
        <v xml:space="preserve"> </v>
      </c>
      <c r="X78" s="156" t="str">
        <v xml:space="preserve"> </v>
      </c>
    </row>
    <row r="79" spans="1:24" x14ac:dyDescent="0.25">
      <c r="A79" s="129" t="e">
        <v>#N/A</v>
      </c>
      <c r="B79" s="156" t="str">
        <v xml:space="preserve"> </v>
      </c>
      <c r="C79" s="156" t="str">
        <v xml:space="preserve"> </v>
      </c>
      <c r="D79" s="156" t="str">
        <v xml:space="preserve"> </v>
      </c>
      <c r="E79" s="156" t="str">
        <v xml:space="preserve"> </v>
      </c>
      <c r="F79" s="156" t="str">
        <v xml:space="preserve"> </v>
      </c>
      <c r="G79" s="156" t="str">
        <v xml:space="preserve"> </v>
      </c>
      <c r="H79" s="156" t="str">
        <v xml:space="preserve"> </v>
      </c>
      <c r="I79" s="156" t="str">
        <v xml:space="preserve"> </v>
      </c>
      <c r="J79" s="156" t="str">
        <v xml:space="preserve"> </v>
      </c>
      <c r="K79" s="156" t="str">
        <v xml:space="preserve"> </v>
      </c>
      <c r="L79" s="156" t="str">
        <v xml:space="preserve"> </v>
      </c>
      <c r="M79" s="156" t="str">
        <v xml:space="preserve"> </v>
      </c>
      <c r="N79" s="156" t="str">
        <v xml:space="preserve"> </v>
      </c>
      <c r="O79" s="156" t="str">
        <v xml:space="preserve"> </v>
      </c>
      <c r="P79" s="156" t="str">
        <v xml:space="preserve"> </v>
      </c>
      <c r="Q79" s="156" t="str">
        <v xml:space="preserve"> </v>
      </c>
      <c r="R79" s="156" t="str">
        <v xml:space="preserve"> </v>
      </c>
      <c r="S79" s="158" t="str">
        <v xml:space="preserve"> </v>
      </c>
      <c r="T79" s="156" t="str">
        <v xml:space="preserve"> </v>
      </c>
      <c r="U79" s="158" t="str">
        <v xml:space="preserve"> </v>
      </c>
      <c r="V79" s="156" t="str">
        <v xml:space="preserve"> </v>
      </c>
      <c r="W79" s="156" t="str">
        <v xml:space="preserve"> </v>
      </c>
      <c r="X79" s="156" t="str">
        <v xml:space="preserve"> </v>
      </c>
    </row>
    <row r="80" spans="1:24" x14ac:dyDescent="0.25">
      <c r="A80" s="129" t="e">
        <v>#N/A</v>
      </c>
      <c r="B80" s="156" t="str">
        <v xml:space="preserve"> </v>
      </c>
      <c r="C80" s="156" t="str">
        <v xml:space="preserve"> </v>
      </c>
      <c r="D80" s="156" t="str">
        <v xml:space="preserve"> </v>
      </c>
      <c r="E80" s="156" t="str">
        <v xml:space="preserve"> </v>
      </c>
      <c r="F80" s="156" t="str">
        <v xml:space="preserve"> </v>
      </c>
      <c r="G80" s="156" t="str">
        <v xml:space="preserve"> </v>
      </c>
      <c r="H80" s="156" t="str">
        <v xml:space="preserve"> </v>
      </c>
      <c r="I80" s="156" t="str">
        <v xml:space="preserve"> </v>
      </c>
      <c r="J80" s="156" t="str">
        <v xml:space="preserve"> </v>
      </c>
      <c r="K80" s="156" t="str">
        <v xml:space="preserve"> </v>
      </c>
      <c r="L80" s="156" t="str">
        <v xml:space="preserve"> </v>
      </c>
      <c r="M80" s="156" t="str">
        <v xml:space="preserve"> </v>
      </c>
      <c r="N80" s="156" t="str">
        <v xml:space="preserve"> </v>
      </c>
      <c r="O80" s="156" t="str">
        <v xml:space="preserve"> </v>
      </c>
      <c r="P80" s="156" t="str">
        <v xml:space="preserve"> </v>
      </c>
      <c r="Q80" s="156" t="str">
        <v xml:space="preserve"> </v>
      </c>
      <c r="R80" s="156" t="str">
        <v xml:space="preserve"> </v>
      </c>
      <c r="S80" s="158" t="str">
        <v xml:space="preserve"> </v>
      </c>
      <c r="T80" s="156" t="str">
        <v xml:space="preserve"> </v>
      </c>
      <c r="U80" s="158" t="str">
        <v xml:space="preserve"> </v>
      </c>
      <c r="V80" s="156" t="str">
        <v xml:space="preserve"> </v>
      </c>
      <c r="W80" s="156" t="str">
        <v xml:space="preserve"> </v>
      </c>
      <c r="X80" s="156" t="str">
        <v xml:space="preserve"> </v>
      </c>
    </row>
    <row r="81" spans="1:24" x14ac:dyDescent="0.25">
      <c r="A81" s="129" t="e">
        <v>#N/A</v>
      </c>
      <c r="B81" s="156" t="str">
        <v xml:space="preserve"> </v>
      </c>
      <c r="C81" s="156" t="str">
        <v xml:space="preserve"> </v>
      </c>
      <c r="D81" s="156" t="str">
        <v xml:space="preserve"> </v>
      </c>
      <c r="E81" s="156" t="str">
        <v xml:space="preserve"> </v>
      </c>
      <c r="F81" s="156" t="str">
        <v xml:space="preserve"> </v>
      </c>
      <c r="G81" s="156" t="str">
        <v xml:space="preserve"> </v>
      </c>
      <c r="H81" s="156" t="str">
        <v xml:space="preserve"> </v>
      </c>
      <c r="I81" s="156" t="str">
        <v xml:space="preserve"> </v>
      </c>
      <c r="J81" s="156" t="str">
        <v xml:space="preserve"> </v>
      </c>
      <c r="K81" s="156" t="str">
        <v xml:space="preserve"> </v>
      </c>
      <c r="L81" s="156" t="str">
        <v xml:space="preserve"> </v>
      </c>
      <c r="M81" s="156" t="str">
        <v xml:space="preserve"> </v>
      </c>
      <c r="N81" s="156" t="str">
        <v xml:space="preserve"> </v>
      </c>
      <c r="O81" s="156" t="str">
        <v xml:space="preserve"> </v>
      </c>
      <c r="P81" s="156" t="str">
        <v xml:space="preserve"> </v>
      </c>
      <c r="Q81" s="156" t="str">
        <v xml:space="preserve"> </v>
      </c>
      <c r="R81" s="156" t="str">
        <v xml:space="preserve"> </v>
      </c>
      <c r="S81" s="158" t="str">
        <v xml:space="preserve"> </v>
      </c>
      <c r="T81" s="156" t="str">
        <v xml:space="preserve"> </v>
      </c>
      <c r="U81" s="158" t="str">
        <v xml:space="preserve"> </v>
      </c>
      <c r="V81" s="156" t="str">
        <v xml:space="preserve"> </v>
      </c>
      <c r="W81" s="156" t="str">
        <v xml:space="preserve"> </v>
      </c>
      <c r="X81" s="156" t="str">
        <v xml:space="preserve"> </v>
      </c>
    </row>
    <row r="82" spans="1:24" x14ac:dyDescent="0.25">
      <c r="A82" s="129" t="e">
        <v>#N/A</v>
      </c>
      <c r="B82" s="156" t="str">
        <v xml:space="preserve"> </v>
      </c>
      <c r="C82" s="156" t="str">
        <v xml:space="preserve"> </v>
      </c>
      <c r="D82" s="156" t="str">
        <v xml:space="preserve"> </v>
      </c>
      <c r="E82" s="156" t="str">
        <v xml:space="preserve"> </v>
      </c>
      <c r="F82" s="156" t="str">
        <v xml:space="preserve"> </v>
      </c>
      <c r="G82" s="156" t="str">
        <v xml:space="preserve"> </v>
      </c>
      <c r="H82" s="156" t="str">
        <v xml:space="preserve"> </v>
      </c>
      <c r="I82" s="156" t="str">
        <v xml:space="preserve"> </v>
      </c>
      <c r="J82" s="156" t="str">
        <v xml:space="preserve"> </v>
      </c>
      <c r="K82" s="156" t="str">
        <v xml:space="preserve"> </v>
      </c>
      <c r="L82" s="156" t="str">
        <v xml:space="preserve"> </v>
      </c>
      <c r="M82" s="156" t="str">
        <v xml:space="preserve"> </v>
      </c>
      <c r="N82" s="156" t="str">
        <v xml:space="preserve"> </v>
      </c>
      <c r="O82" s="156" t="str">
        <v xml:space="preserve"> </v>
      </c>
      <c r="P82" s="156" t="str">
        <v xml:space="preserve"> </v>
      </c>
      <c r="Q82" s="156" t="str">
        <v xml:space="preserve"> </v>
      </c>
      <c r="R82" s="156" t="str">
        <v xml:space="preserve"> </v>
      </c>
      <c r="S82" s="158" t="str">
        <v xml:space="preserve"> </v>
      </c>
      <c r="T82" s="156" t="str">
        <v xml:space="preserve"> </v>
      </c>
      <c r="U82" s="158" t="str">
        <v xml:space="preserve"> </v>
      </c>
      <c r="V82" s="156" t="str">
        <v xml:space="preserve"> </v>
      </c>
      <c r="W82" s="156" t="str">
        <v xml:space="preserve"> </v>
      </c>
      <c r="X82" s="156" t="str">
        <v xml:space="preserve"> </v>
      </c>
    </row>
    <row r="83" spans="1:24" x14ac:dyDescent="0.25">
      <c r="A83" s="129" t="e">
        <v>#N/A</v>
      </c>
      <c r="B83" s="156" t="str">
        <v xml:space="preserve"> </v>
      </c>
      <c r="C83" s="156" t="str">
        <v xml:space="preserve"> </v>
      </c>
      <c r="D83" s="156" t="str">
        <v xml:space="preserve"> </v>
      </c>
      <c r="E83" s="156" t="str">
        <v xml:space="preserve"> </v>
      </c>
      <c r="F83" s="156" t="str">
        <v xml:space="preserve"> </v>
      </c>
      <c r="G83" s="156" t="str">
        <v xml:space="preserve"> </v>
      </c>
      <c r="H83" s="156" t="str">
        <v xml:space="preserve"> </v>
      </c>
      <c r="I83" s="156" t="str">
        <v xml:space="preserve"> </v>
      </c>
      <c r="J83" s="156" t="str">
        <v xml:space="preserve"> </v>
      </c>
      <c r="K83" s="156" t="str">
        <v xml:space="preserve"> </v>
      </c>
      <c r="L83" s="156" t="str">
        <v xml:space="preserve"> </v>
      </c>
      <c r="M83" s="156" t="str">
        <v xml:space="preserve"> </v>
      </c>
      <c r="N83" s="156" t="str">
        <v xml:space="preserve"> </v>
      </c>
      <c r="O83" s="156" t="str">
        <v xml:space="preserve"> </v>
      </c>
      <c r="P83" s="156" t="str">
        <v xml:space="preserve"> </v>
      </c>
      <c r="Q83" s="156" t="str">
        <v xml:space="preserve"> </v>
      </c>
      <c r="R83" s="156" t="str">
        <v xml:space="preserve"> </v>
      </c>
      <c r="S83" s="158" t="str">
        <v xml:space="preserve"> </v>
      </c>
      <c r="T83" s="156" t="str">
        <v xml:space="preserve"> </v>
      </c>
      <c r="U83" s="158" t="str">
        <v xml:space="preserve"> </v>
      </c>
      <c r="V83" s="156" t="str">
        <v xml:space="preserve"> </v>
      </c>
      <c r="W83" s="156" t="str">
        <v xml:space="preserve"> </v>
      </c>
      <c r="X83" s="156" t="str">
        <v xml:space="preserve"> </v>
      </c>
    </row>
    <row r="84" spans="1:24" x14ac:dyDescent="0.25">
      <c r="A84" s="129" t="e">
        <v>#N/A</v>
      </c>
      <c r="B84" s="156" t="str">
        <v xml:space="preserve"> </v>
      </c>
      <c r="C84" s="156" t="str">
        <v xml:space="preserve"> </v>
      </c>
      <c r="D84" s="156" t="str">
        <v xml:space="preserve"> </v>
      </c>
      <c r="E84" s="156" t="str">
        <v xml:space="preserve"> </v>
      </c>
      <c r="F84" s="156" t="str">
        <v xml:space="preserve"> </v>
      </c>
      <c r="G84" s="156" t="str">
        <v xml:space="preserve"> </v>
      </c>
      <c r="H84" s="156" t="str">
        <v xml:space="preserve"> </v>
      </c>
      <c r="I84" s="156" t="str">
        <v xml:space="preserve"> </v>
      </c>
      <c r="J84" s="156" t="str">
        <v xml:space="preserve"> </v>
      </c>
      <c r="K84" s="156" t="str">
        <v xml:space="preserve"> </v>
      </c>
      <c r="L84" s="156" t="str">
        <v xml:space="preserve"> </v>
      </c>
      <c r="M84" s="156" t="str">
        <v xml:space="preserve"> </v>
      </c>
      <c r="N84" s="156" t="str">
        <v xml:space="preserve"> </v>
      </c>
      <c r="O84" s="156" t="str">
        <v xml:space="preserve"> </v>
      </c>
      <c r="P84" s="156" t="str">
        <v xml:space="preserve"> </v>
      </c>
      <c r="Q84" s="156" t="str">
        <v xml:space="preserve"> </v>
      </c>
      <c r="R84" s="156" t="str">
        <v xml:space="preserve"> </v>
      </c>
      <c r="S84" s="158" t="str">
        <v xml:space="preserve"> </v>
      </c>
      <c r="T84" s="156" t="str">
        <v xml:space="preserve"> </v>
      </c>
      <c r="U84" s="158" t="str">
        <v xml:space="preserve"> </v>
      </c>
      <c r="V84" s="156" t="str">
        <v xml:space="preserve"> </v>
      </c>
      <c r="W84" s="156" t="str">
        <v xml:space="preserve"> </v>
      </c>
      <c r="X84" s="156" t="str">
        <v xml:space="preserve"> </v>
      </c>
    </row>
    <row r="85" spans="1:24" x14ac:dyDescent="0.25">
      <c r="A85" s="129" t="e">
        <v>#N/A</v>
      </c>
      <c r="B85" s="156" t="str">
        <v xml:space="preserve"> </v>
      </c>
      <c r="C85" s="156" t="str">
        <v xml:space="preserve"> </v>
      </c>
      <c r="D85" s="156" t="str">
        <v xml:space="preserve"> </v>
      </c>
      <c r="E85" s="156" t="str">
        <v xml:space="preserve"> </v>
      </c>
      <c r="F85" s="156" t="str">
        <v xml:space="preserve"> </v>
      </c>
      <c r="G85" s="156" t="str">
        <v xml:space="preserve"> </v>
      </c>
      <c r="H85" s="156" t="str">
        <v xml:space="preserve"> </v>
      </c>
      <c r="I85" s="156" t="str">
        <v xml:space="preserve"> </v>
      </c>
      <c r="J85" s="156" t="str">
        <v xml:space="preserve"> </v>
      </c>
      <c r="K85" s="156" t="str">
        <v xml:space="preserve"> </v>
      </c>
      <c r="L85" s="156" t="str">
        <v xml:space="preserve"> </v>
      </c>
      <c r="M85" s="156" t="str">
        <v xml:space="preserve"> </v>
      </c>
      <c r="N85" s="156" t="str">
        <v xml:space="preserve"> </v>
      </c>
      <c r="O85" s="156" t="str">
        <v xml:space="preserve"> </v>
      </c>
      <c r="P85" s="156" t="str">
        <v xml:space="preserve"> </v>
      </c>
      <c r="Q85" s="156" t="str">
        <v xml:space="preserve"> </v>
      </c>
      <c r="R85" s="156" t="str">
        <v xml:space="preserve"> </v>
      </c>
      <c r="S85" s="158" t="str">
        <v xml:space="preserve"> </v>
      </c>
      <c r="T85" s="156" t="str">
        <v xml:space="preserve"> </v>
      </c>
      <c r="U85" s="158" t="str">
        <v xml:space="preserve"> </v>
      </c>
      <c r="V85" s="156" t="str">
        <v xml:space="preserve"> </v>
      </c>
      <c r="W85" s="156" t="str">
        <v xml:space="preserve"> </v>
      </c>
      <c r="X85" s="156" t="str">
        <v xml:space="preserve"> </v>
      </c>
    </row>
    <row r="86" spans="1:24" x14ac:dyDescent="0.25">
      <c r="A86" s="129" t="e">
        <v>#N/A</v>
      </c>
      <c r="B86" s="156" t="str">
        <v xml:space="preserve"> </v>
      </c>
      <c r="C86" s="156" t="str">
        <v xml:space="preserve"> </v>
      </c>
      <c r="D86" s="156" t="str">
        <v xml:space="preserve"> </v>
      </c>
      <c r="E86" s="156" t="str">
        <v xml:space="preserve"> </v>
      </c>
      <c r="F86" s="156" t="str">
        <v xml:space="preserve"> </v>
      </c>
      <c r="G86" s="156" t="str">
        <v xml:space="preserve"> </v>
      </c>
      <c r="H86" s="156" t="str">
        <v xml:space="preserve"> </v>
      </c>
      <c r="I86" s="156" t="str">
        <v xml:space="preserve"> </v>
      </c>
      <c r="J86" s="156" t="str">
        <v xml:space="preserve"> </v>
      </c>
      <c r="K86" s="156" t="str">
        <v xml:space="preserve"> </v>
      </c>
      <c r="L86" s="156" t="str">
        <v xml:space="preserve"> </v>
      </c>
      <c r="M86" s="156" t="str">
        <v xml:space="preserve"> </v>
      </c>
      <c r="N86" s="156" t="str">
        <v xml:space="preserve"> </v>
      </c>
      <c r="O86" s="156" t="str">
        <v xml:space="preserve"> </v>
      </c>
      <c r="P86" s="156" t="str">
        <v xml:space="preserve"> </v>
      </c>
      <c r="Q86" s="156" t="str">
        <v xml:space="preserve"> </v>
      </c>
      <c r="R86" s="156" t="str">
        <v xml:space="preserve"> </v>
      </c>
      <c r="S86" s="158" t="str">
        <v xml:space="preserve"> </v>
      </c>
      <c r="T86" s="156" t="str">
        <v xml:space="preserve"> </v>
      </c>
      <c r="U86" s="158" t="str">
        <v xml:space="preserve"> </v>
      </c>
      <c r="V86" s="156" t="str">
        <v xml:space="preserve"> </v>
      </c>
      <c r="W86" s="156" t="str">
        <v xml:space="preserve"> </v>
      </c>
      <c r="X86" s="156" t="str">
        <v xml:space="preserve"> </v>
      </c>
    </row>
    <row r="87" spans="1:24" x14ac:dyDescent="0.25">
      <c r="A87" s="129" t="e">
        <v>#N/A</v>
      </c>
      <c r="B87" s="156" t="str">
        <v xml:space="preserve"> </v>
      </c>
      <c r="C87" s="156" t="str">
        <v xml:space="preserve"> </v>
      </c>
      <c r="D87" s="156" t="str">
        <v xml:space="preserve"> </v>
      </c>
      <c r="E87" s="156" t="str">
        <v xml:space="preserve"> </v>
      </c>
      <c r="F87" s="156" t="str">
        <v xml:space="preserve"> </v>
      </c>
      <c r="G87" s="156" t="str">
        <v xml:space="preserve"> </v>
      </c>
      <c r="H87" s="156" t="str">
        <v xml:space="preserve"> </v>
      </c>
      <c r="I87" s="156" t="str">
        <v xml:space="preserve"> </v>
      </c>
      <c r="J87" s="156" t="str">
        <v xml:space="preserve"> </v>
      </c>
      <c r="K87" s="156" t="str">
        <v xml:space="preserve"> </v>
      </c>
      <c r="L87" s="156" t="str">
        <v xml:space="preserve"> </v>
      </c>
      <c r="M87" s="156" t="str">
        <v xml:space="preserve"> </v>
      </c>
      <c r="N87" s="156" t="str">
        <v xml:space="preserve"> </v>
      </c>
      <c r="O87" s="156" t="str">
        <v xml:space="preserve"> </v>
      </c>
      <c r="P87" s="156" t="str">
        <v xml:space="preserve"> </v>
      </c>
      <c r="Q87" s="156" t="str">
        <v xml:space="preserve"> </v>
      </c>
      <c r="R87" s="156" t="str">
        <v xml:space="preserve"> </v>
      </c>
      <c r="S87" s="158" t="str">
        <v xml:space="preserve"> </v>
      </c>
      <c r="T87" s="156" t="str">
        <v xml:space="preserve"> </v>
      </c>
      <c r="U87" s="158" t="str">
        <v xml:space="preserve"> </v>
      </c>
      <c r="V87" s="156" t="str">
        <v xml:space="preserve"> </v>
      </c>
      <c r="W87" s="156" t="str">
        <v xml:space="preserve"> </v>
      </c>
      <c r="X87" s="156" t="str">
        <v xml:space="preserve"> </v>
      </c>
    </row>
    <row r="88" spans="1:24" x14ac:dyDescent="0.25">
      <c r="A88" s="129" t="e">
        <v>#N/A</v>
      </c>
      <c r="B88" s="156" t="str">
        <v xml:space="preserve"> </v>
      </c>
      <c r="C88" s="156" t="str">
        <v xml:space="preserve"> </v>
      </c>
      <c r="D88" s="156" t="str">
        <v xml:space="preserve"> </v>
      </c>
      <c r="E88" s="156" t="str">
        <v xml:space="preserve"> </v>
      </c>
      <c r="F88" s="156" t="str">
        <v xml:space="preserve"> </v>
      </c>
      <c r="G88" s="156" t="str">
        <v xml:space="preserve"> </v>
      </c>
      <c r="H88" s="156" t="str">
        <v xml:space="preserve"> </v>
      </c>
      <c r="I88" s="156" t="str">
        <v xml:space="preserve"> </v>
      </c>
      <c r="J88" s="156" t="str">
        <v xml:space="preserve"> </v>
      </c>
      <c r="K88" s="156" t="str">
        <v xml:space="preserve"> </v>
      </c>
      <c r="L88" s="156" t="str">
        <v xml:space="preserve"> </v>
      </c>
      <c r="M88" s="156" t="str">
        <v xml:space="preserve"> </v>
      </c>
      <c r="N88" s="156" t="str">
        <v xml:space="preserve"> </v>
      </c>
      <c r="O88" s="156" t="str">
        <v xml:space="preserve"> </v>
      </c>
      <c r="P88" s="156" t="str">
        <v xml:space="preserve"> </v>
      </c>
      <c r="Q88" s="156" t="str">
        <v xml:space="preserve"> </v>
      </c>
      <c r="R88" s="156" t="str">
        <v xml:space="preserve"> </v>
      </c>
      <c r="S88" s="158" t="str">
        <v xml:space="preserve"> </v>
      </c>
      <c r="T88" s="156" t="str">
        <v xml:space="preserve"> </v>
      </c>
      <c r="U88" s="158" t="str">
        <v xml:space="preserve"> </v>
      </c>
      <c r="V88" s="156" t="str">
        <v xml:space="preserve"> </v>
      </c>
      <c r="W88" s="156" t="str">
        <v xml:space="preserve"> </v>
      </c>
      <c r="X88" s="156" t="str">
        <v xml:space="preserve"> </v>
      </c>
    </row>
    <row r="89" spans="1:24" x14ac:dyDescent="0.25">
      <c r="A89" s="129" t="e">
        <v>#N/A</v>
      </c>
      <c r="B89" s="156" t="str">
        <v xml:space="preserve"> </v>
      </c>
      <c r="C89" s="156" t="str">
        <v xml:space="preserve"> </v>
      </c>
      <c r="D89" s="156" t="str">
        <v xml:space="preserve"> </v>
      </c>
      <c r="E89" s="156" t="str">
        <v xml:space="preserve"> </v>
      </c>
      <c r="F89" s="156" t="str">
        <v xml:space="preserve"> </v>
      </c>
      <c r="G89" s="156" t="str">
        <v xml:space="preserve"> </v>
      </c>
      <c r="H89" s="156" t="str">
        <v xml:space="preserve"> </v>
      </c>
      <c r="I89" s="156" t="str">
        <v xml:space="preserve"> </v>
      </c>
      <c r="J89" s="156" t="str">
        <v xml:space="preserve"> </v>
      </c>
      <c r="K89" s="156" t="str">
        <v xml:space="preserve"> </v>
      </c>
      <c r="L89" s="156" t="str">
        <v xml:space="preserve"> </v>
      </c>
      <c r="M89" s="156" t="str">
        <v xml:space="preserve"> </v>
      </c>
      <c r="N89" s="156" t="str">
        <v xml:space="preserve"> </v>
      </c>
      <c r="O89" s="156" t="str">
        <v xml:space="preserve"> </v>
      </c>
      <c r="P89" s="156" t="str">
        <v xml:space="preserve"> </v>
      </c>
      <c r="Q89" s="156" t="str">
        <v xml:space="preserve"> </v>
      </c>
      <c r="R89" s="156" t="str">
        <v xml:space="preserve"> </v>
      </c>
      <c r="S89" s="158" t="str">
        <v xml:space="preserve"> </v>
      </c>
      <c r="T89" s="156" t="str">
        <v xml:space="preserve"> </v>
      </c>
      <c r="U89" s="158" t="str">
        <v xml:space="preserve"> </v>
      </c>
      <c r="V89" s="156" t="str">
        <v xml:space="preserve"> </v>
      </c>
      <c r="W89" s="156" t="str">
        <v xml:space="preserve"> </v>
      </c>
      <c r="X89" s="156" t="str">
        <v xml:space="preserve"> </v>
      </c>
    </row>
    <row r="90" spans="1:24" x14ac:dyDescent="0.25">
      <c r="A90" s="129" t="e">
        <v>#N/A</v>
      </c>
      <c r="B90" s="156" t="str">
        <v xml:space="preserve"> </v>
      </c>
      <c r="C90" s="156" t="str">
        <v xml:space="preserve"> </v>
      </c>
      <c r="D90" s="156" t="str">
        <v xml:space="preserve"> </v>
      </c>
      <c r="E90" s="156" t="str">
        <v xml:space="preserve"> </v>
      </c>
      <c r="F90" s="156" t="str">
        <v xml:space="preserve"> </v>
      </c>
      <c r="G90" s="156" t="str">
        <v xml:space="preserve"> </v>
      </c>
      <c r="H90" s="156" t="str">
        <v xml:space="preserve"> </v>
      </c>
      <c r="I90" s="156" t="str">
        <v xml:space="preserve"> </v>
      </c>
      <c r="J90" s="156" t="str">
        <v xml:space="preserve"> </v>
      </c>
      <c r="K90" s="156" t="str">
        <v xml:space="preserve"> </v>
      </c>
      <c r="L90" s="156" t="str">
        <v xml:space="preserve"> </v>
      </c>
      <c r="M90" s="156" t="str">
        <v xml:space="preserve"> </v>
      </c>
      <c r="N90" s="156" t="str">
        <v xml:space="preserve"> </v>
      </c>
      <c r="O90" s="156" t="str">
        <v xml:space="preserve"> </v>
      </c>
      <c r="P90" s="156" t="str">
        <v xml:space="preserve"> </v>
      </c>
      <c r="Q90" s="156" t="str">
        <v xml:space="preserve"> </v>
      </c>
      <c r="R90" s="156" t="str">
        <v xml:space="preserve"> </v>
      </c>
      <c r="S90" s="158" t="str">
        <v xml:space="preserve"> </v>
      </c>
      <c r="T90" s="156" t="str">
        <v xml:space="preserve"> </v>
      </c>
      <c r="U90" s="158" t="str">
        <v xml:space="preserve"> </v>
      </c>
      <c r="V90" s="156" t="str">
        <v xml:space="preserve"> </v>
      </c>
      <c r="W90" s="156" t="str">
        <v xml:space="preserve"> </v>
      </c>
      <c r="X90" s="156" t="str">
        <v xml:space="preserve"> </v>
      </c>
    </row>
    <row r="91" spans="1:24" x14ac:dyDescent="0.25">
      <c r="A91" s="129" t="e">
        <v>#N/A</v>
      </c>
      <c r="B91" s="156" t="str">
        <v xml:space="preserve"> </v>
      </c>
      <c r="C91" s="156" t="str">
        <v xml:space="preserve"> </v>
      </c>
      <c r="D91" s="156" t="str">
        <v xml:space="preserve"> </v>
      </c>
      <c r="E91" s="156" t="str">
        <v xml:space="preserve"> </v>
      </c>
      <c r="F91" s="156" t="str">
        <v xml:space="preserve"> </v>
      </c>
      <c r="G91" s="156" t="str">
        <v xml:space="preserve"> </v>
      </c>
      <c r="H91" s="156" t="str">
        <v xml:space="preserve"> </v>
      </c>
      <c r="I91" s="156" t="str">
        <v xml:space="preserve"> </v>
      </c>
      <c r="J91" s="156" t="str">
        <v xml:space="preserve"> </v>
      </c>
      <c r="K91" s="156" t="str">
        <v xml:space="preserve"> </v>
      </c>
      <c r="L91" s="156" t="str">
        <v xml:space="preserve"> </v>
      </c>
      <c r="M91" s="156" t="str">
        <v xml:space="preserve"> </v>
      </c>
      <c r="N91" s="156" t="str">
        <v xml:space="preserve"> </v>
      </c>
      <c r="O91" s="156" t="str">
        <v xml:space="preserve"> </v>
      </c>
      <c r="P91" s="156" t="str">
        <v xml:space="preserve"> </v>
      </c>
      <c r="Q91" s="156" t="str">
        <v xml:space="preserve"> </v>
      </c>
      <c r="R91" s="156" t="str">
        <v xml:space="preserve"> </v>
      </c>
      <c r="S91" s="158" t="str">
        <v xml:space="preserve"> </v>
      </c>
      <c r="T91" s="156" t="str">
        <v xml:space="preserve"> </v>
      </c>
      <c r="U91" s="158" t="str">
        <v xml:space="preserve"> </v>
      </c>
      <c r="V91" s="156" t="str">
        <v xml:space="preserve"> </v>
      </c>
      <c r="W91" s="156" t="str">
        <v xml:space="preserve"> </v>
      </c>
      <c r="X91" s="156" t="str">
        <v xml:space="preserve"> </v>
      </c>
    </row>
    <row r="92" spans="1:24" x14ac:dyDescent="0.25">
      <c r="A92" s="129" t="e">
        <v>#N/A</v>
      </c>
      <c r="B92" s="156" t="str">
        <v xml:space="preserve"> </v>
      </c>
      <c r="C92" s="156" t="str">
        <v xml:space="preserve"> </v>
      </c>
      <c r="D92" s="156" t="str">
        <v xml:space="preserve"> </v>
      </c>
      <c r="E92" s="156" t="str">
        <v xml:space="preserve"> </v>
      </c>
      <c r="F92" s="156" t="str">
        <v xml:space="preserve"> </v>
      </c>
      <c r="G92" s="156" t="str">
        <v xml:space="preserve"> </v>
      </c>
      <c r="H92" s="156" t="str">
        <v xml:space="preserve"> </v>
      </c>
      <c r="I92" s="156" t="str">
        <v xml:space="preserve"> </v>
      </c>
      <c r="J92" s="156" t="str">
        <v xml:space="preserve"> </v>
      </c>
      <c r="K92" s="156" t="str">
        <v xml:space="preserve"> </v>
      </c>
      <c r="L92" s="156" t="str">
        <v xml:space="preserve"> </v>
      </c>
      <c r="M92" s="156" t="str">
        <v xml:space="preserve"> </v>
      </c>
      <c r="N92" s="156" t="str">
        <v xml:space="preserve"> </v>
      </c>
      <c r="O92" s="156" t="str">
        <v xml:space="preserve"> </v>
      </c>
      <c r="P92" s="156" t="str">
        <v xml:space="preserve"> </v>
      </c>
      <c r="Q92" s="156" t="str">
        <v xml:space="preserve"> </v>
      </c>
      <c r="R92" s="156" t="str">
        <v xml:space="preserve"> </v>
      </c>
      <c r="S92" s="158" t="str">
        <v xml:space="preserve"> </v>
      </c>
      <c r="T92" s="156" t="str">
        <v xml:space="preserve"> </v>
      </c>
      <c r="U92" s="158" t="str">
        <v xml:space="preserve"> </v>
      </c>
      <c r="V92" s="156" t="str">
        <v xml:space="preserve"> </v>
      </c>
      <c r="W92" s="156" t="str">
        <v xml:space="preserve"> </v>
      </c>
      <c r="X92" s="156" t="str">
        <v xml:space="preserve"> </v>
      </c>
    </row>
    <row r="93" spans="1:24" x14ac:dyDescent="0.25">
      <c r="A93" s="129" t="e">
        <v>#N/A</v>
      </c>
      <c r="B93" s="156" t="str">
        <v xml:space="preserve"> </v>
      </c>
      <c r="C93" s="156" t="str">
        <v xml:space="preserve"> </v>
      </c>
      <c r="D93" s="156" t="str">
        <v xml:space="preserve"> </v>
      </c>
      <c r="E93" s="156" t="str">
        <v xml:space="preserve"> </v>
      </c>
      <c r="F93" s="156" t="str">
        <v xml:space="preserve"> </v>
      </c>
      <c r="G93" s="156" t="str">
        <v xml:space="preserve"> </v>
      </c>
      <c r="H93" s="156" t="str">
        <v xml:space="preserve"> </v>
      </c>
      <c r="I93" s="156" t="str">
        <v xml:space="preserve"> </v>
      </c>
      <c r="J93" s="156" t="str">
        <v xml:space="preserve"> </v>
      </c>
      <c r="K93" s="156" t="str">
        <v xml:space="preserve"> </v>
      </c>
      <c r="L93" s="156" t="str">
        <v xml:space="preserve"> </v>
      </c>
      <c r="M93" s="156" t="str">
        <v xml:space="preserve"> </v>
      </c>
      <c r="N93" s="156" t="str">
        <v xml:space="preserve"> </v>
      </c>
      <c r="O93" s="156" t="str">
        <v xml:space="preserve"> </v>
      </c>
      <c r="P93" s="156" t="str">
        <v xml:space="preserve"> </v>
      </c>
      <c r="Q93" s="156" t="str">
        <v xml:space="preserve"> </v>
      </c>
      <c r="R93" s="156" t="str">
        <v xml:space="preserve"> </v>
      </c>
      <c r="S93" s="158" t="str">
        <v xml:space="preserve"> </v>
      </c>
      <c r="T93" s="156" t="str">
        <v xml:space="preserve"> </v>
      </c>
      <c r="U93" s="158" t="str">
        <v xml:space="preserve"> </v>
      </c>
      <c r="V93" s="156" t="str">
        <v xml:space="preserve"> </v>
      </c>
      <c r="W93" s="156" t="str">
        <v xml:space="preserve"> </v>
      </c>
      <c r="X93" s="156" t="str">
        <v xml:space="preserve"> </v>
      </c>
    </row>
    <row r="94" spans="1:24" x14ac:dyDescent="0.25">
      <c r="A94" s="129" t="e">
        <v>#N/A</v>
      </c>
      <c r="B94" s="156" t="str">
        <v xml:space="preserve"> </v>
      </c>
      <c r="C94" s="156" t="str">
        <v xml:space="preserve"> </v>
      </c>
      <c r="D94" s="156" t="str">
        <v xml:space="preserve"> </v>
      </c>
      <c r="E94" s="156" t="str">
        <v xml:space="preserve"> </v>
      </c>
      <c r="F94" s="156" t="str">
        <v xml:space="preserve"> </v>
      </c>
      <c r="G94" s="156" t="str">
        <v xml:space="preserve"> </v>
      </c>
      <c r="H94" s="156" t="str">
        <v xml:space="preserve"> </v>
      </c>
      <c r="I94" s="156" t="str">
        <v xml:space="preserve"> </v>
      </c>
      <c r="J94" s="156" t="str">
        <v xml:space="preserve"> </v>
      </c>
      <c r="K94" s="156" t="str">
        <v xml:space="preserve"> </v>
      </c>
      <c r="L94" s="156" t="str">
        <v xml:space="preserve"> </v>
      </c>
      <c r="M94" s="156" t="str">
        <v xml:space="preserve"> </v>
      </c>
      <c r="N94" s="156" t="str">
        <v xml:space="preserve"> </v>
      </c>
      <c r="O94" s="156" t="str">
        <v xml:space="preserve"> </v>
      </c>
      <c r="P94" s="156" t="str">
        <v xml:space="preserve"> </v>
      </c>
      <c r="Q94" s="156" t="str">
        <v xml:space="preserve"> </v>
      </c>
      <c r="R94" s="156" t="str">
        <v xml:space="preserve"> </v>
      </c>
      <c r="S94" s="158" t="str">
        <v xml:space="preserve"> </v>
      </c>
      <c r="T94" s="156" t="str">
        <v xml:space="preserve"> </v>
      </c>
      <c r="U94" s="158" t="str">
        <v xml:space="preserve"> </v>
      </c>
      <c r="V94" s="156" t="str">
        <v xml:space="preserve"> </v>
      </c>
      <c r="W94" s="156" t="str">
        <v xml:space="preserve"> </v>
      </c>
      <c r="X94" s="156" t="str">
        <v xml:space="preserve"> </v>
      </c>
    </row>
    <row r="95" spans="1:24" x14ac:dyDescent="0.25">
      <c r="A95" s="129" t="e">
        <v>#N/A</v>
      </c>
      <c r="B95" s="156" t="str">
        <v xml:space="preserve"> </v>
      </c>
      <c r="C95" s="156" t="str">
        <v xml:space="preserve"> </v>
      </c>
      <c r="D95" s="156" t="str">
        <v xml:space="preserve"> </v>
      </c>
      <c r="E95" s="156" t="str">
        <v xml:space="preserve"> </v>
      </c>
      <c r="F95" s="156" t="str">
        <v xml:space="preserve"> </v>
      </c>
      <c r="G95" s="156" t="str">
        <v xml:space="preserve"> </v>
      </c>
      <c r="H95" s="156" t="str">
        <v xml:space="preserve"> </v>
      </c>
      <c r="I95" s="156" t="str">
        <v xml:space="preserve"> </v>
      </c>
      <c r="J95" s="156" t="str">
        <v xml:space="preserve"> </v>
      </c>
      <c r="K95" s="156" t="str">
        <v xml:space="preserve"> </v>
      </c>
      <c r="L95" s="156" t="str">
        <v xml:space="preserve"> </v>
      </c>
      <c r="M95" s="156" t="str">
        <v xml:space="preserve"> </v>
      </c>
      <c r="N95" s="156" t="str">
        <v xml:space="preserve"> </v>
      </c>
      <c r="O95" s="156" t="str">
        <v xml:space="preserve"> </v>
      </c>
      <c r="P95" s="156" t="str">
        <v xml:space="preserve"> </v>
      </c>
      <c r="Q95" s="156" t="str">
        <v xml:space="preserve"> </v>
      </c>
      <c r="R95" s="156" t="str">
        <v xml:space="preserve"> </v>
      </c>
      <c r="S95" s="158" t="str">
        <v xml:space="preserve"> </v>
      </c>
      <c r="T95" s="156" t="str">
        <v xml:space="preserve"> </v>
      </c>
      <c r="U95" s="158" t="str">
        <v xml:space="preserve"> </v>
      </c>
      <c r="V95" s="156" t="str">
        <v xml:space="preserve"> </v>
      </c>
      <c r="W95" s="156" t="str">
        <v xml:space="preserve"> </v>
      </c>
      <c r="X95" s="156" t="str">
        <v xml:space="preserve"> </v>
      </c>
    </row>
    <row r="96" spans="1:24" x14ac:dyDescent="0.25">
      <c r="A96" s="129" t="e">
        <v>#N/A</v>
      </c>
      <c r="B96" s="156" t="str">
        <v xml:space="preserve"> </v>
      </c>
      <c r="C96" s="156" t="str">
        <v xml:space="preserve"> </v>
      </c>
      <c r="D96" s="156" t="str">
        <v xml:space="preserve"> </v>
      </c>
      <c r="E96" s="156" t="str">
        <v xml:space="preserve"> </v>
      </c>
      <c r="F96" s="156" t="str">
        <v xml:space="preserve"> </v>
      </c>
      <c r="G96" s="156" t="str">
        <v xml:space="preserve"> </v>
      </c>
      <c r="H96" s="156" t="str">
        <v xml:space="preserve"> </v>
      </c>
      <c r="I96" s="156" t="str">
        <v xml:space="preserve"> </v>
      </c>
      <c r="J96" s="156" t="str">
        <v xml:space="preserve"> </v>
      </c>
      <c r="K96" s="156" t="str">
        <v xml:space="preserve"> </v>
      </c>
      <c r="L96" s="156" t="str">
        <v xml:space="preserve"> </v>
      </c>
      <c r="M96" s="156" t="str">
        <v xml:space="preserve"> </v>
      </c>
      <c r="N96" s="156" t="str">
        <v xml:space="preserve"> </v>
      </c>
      <c r="O96" s="156" t="str">
        <v xml:space="preserve"> </v>
      </c>
      <c r="P96" s="156" t="str">
        <v xml:space="preserve"> </v>
      </c>
      <c r="Q96" s="156" t="str">
        <v xml:space="preserve"> </v>
      </c>
      <c r="R96" s="156" t="str">
        <v xml:space="preserve"> </v>
      </c>
      <c r="S96" s="158" t="str">
        <v xml:space="preserve"> </v>
      </c>
      <c r="T96" s="156" t="str">
        <v xml:space="preserve"> </v>
      </c>
      <c r="U96" s="158" t="str">
        <v xml:space="preserve"> </v>
      </c>
      <c r="V96" s="156" t="str">
        <v xml:space="preserve"> </v>
      </c>
      <c r="W96" s="156" t="str">
        <v xml:space="preserve"> </v>
      </c>
      <c r="X96" s="156" t="str">
        <v xml:space="preserve"> </v>
      </c>
    </row>
    <row r="97" spans="1:24" x14ac:dyDescent="0.25">
      <c r="A97" s="129" t="e">
        <v>#N/A</v>
      </c>
      <c r="B97" s="156" t="str">
        <v xml:space="preserve"> </v>
      </c>
      <c r="C97" s="156" t="str">
        <v xml:space="preserve"> </v>
      </c>
      <c r="D97" s="156" t="str">
        <v xml:space="preserve"> </v>
      </c>
      <c r="E97" s="156" t="str">
        <v xml:space="preserve"> </v>
      </c>
      <c r="F97" s="156" t="str">
        <v xml:space="preserve"> </v>
      </c>
      <c r="G97" s="156" t="str">
        <v xml:space="preserve"> </v>
      </c>
      <c r="H97" s="156" t="str">
        <v xml:space="preserve"> </v>
      </c>
      <c r="I97" s="156" t="str">
        <v xml:space="preserve"> </v>
      </c>
      <c r="J97" s="156" t="str">
        <v xml:space="preserve"> </v>
      </c>
      <c r="K97" s="156" t="str">
        <v xml:space="preserve"> </v>
      </c>
      <c r="L97" s="156" t="str">
        <v xml:space="preserve"> </v>
      </c>
      <c r="M97" s="156" t="str">
        <v xml:space="preserve"> </v>
      </c>
      <c r="N97" s="156" t="str">
        <v xml:space="preserve"> </v>
      </c>
      <c r="O97" s="156" t="str">
        <v xml:space="preserve"> </v>
      </c>
      <c r="P97" s="156" t="str">
        <v xml:space="preserve"> </v>
      </c>
      <c r="Q97" s="156" t="str">
        <v xml:space="preserve"> </v>
      </c>
      <c r="R97" s="156" t="str">
        <v xml:space="preserve"> </v>
      </c>
      <c r="S97" s="158" t="str">
        <v xml:space="preserve"> </v>
      </c>
      <c r="T97" s="156" t="str">
        <v xml:space="preserve"> </v>
      </c>
      <c r="U97" s="158" t="str">
        <v xml:space="preserve"> </v>
      </c>
      <c r="V97" s="156" t="str">
        <v xml:space="preserve"> </v>
      </c>
      <c r="W97" s="156" t="str">
        <v xml:space="preserve"> </v>
      </c>
      <c r="X97" s="156" t="str">
        <v xml:space="preserve"> </v>
      </c>
    </row>
    <row r="98" spans="1:24" x14ac:dyDescent="0.25">
      <c r="A98" s="129" t="e">
        <v>#N/A</v>
      </c>
      <c r="B98" s="156" t="str">
        <v xml:space="preserve"> </v>
      </c>
      <c r="C98" s="156" t="str">
        <v xml:space="preserve"> </v>
      </c>
      <c r="D98" s="156" t="str">
        <v xml:space="preserve"> </v>
      </c>
      <c r="E98" s="156" t="str">
        <v xml:space="preserve"> </v>
      </c>
      <c r="F98" s="156" t="str">
        <v xml:space="preserve"> </v>
      </c>
      <c r="G98" s="156" t="str">
        <v xml:space="preserve"> </v>
      </c>
      <c r="H98" s="156" t="str">
        <v xml:space="preserve"> </v>
      </c>
      <c r="I98" s="156" t="str">
        <v xml:space="preserve"> </v>
      </c>
      <c r="J98" s="156" t="str">
        <v xml:space="preserve"> </v>
      </c>
      <c r="K98" s="156" t="str">
        <v xml:space="preserve"> </v>
      </c>
      <c r="L98" s="156" t="str">
        <v xml:space="preserve"> </v>
      </c>
      <c r="M98" s="156" t="str">
        <v xml:space="preserve"> </v>
      </c>
      <c r="N98" s="156" t="str">
        <v xml:space="preserve"> </v>
      </c>
      <c r="O98" s="156" t="str">
        <v xml:space="preserve"> </v>
      </c>
      <c r="P98" s="156" t="str">
        <v xml:space="preserve"> </v>
      </c>
      <c r="Q98" s="156" t="str">
        <v xml:space="preserve"> </v>
      </c>
      <c r="R98" s="156" t="str">
        <v xml:space="preserve"> </v>
      </c>
      <c r="S98" s="158" t="str">
        <v xml:space="preserve"> </v>
      </c>
      <c r="T98" s="156" t="str">
        <v xml:space="preserve"> </v>
      </c>
      <c r="U98" s="158" t="str">
        <v xml:space="preserve"> </v>
      </c>
      <c r="V98" s="156" t="str">
        <v xml:space="preserve"> </v>
      </c>
      <c r="W98" s="156" t="str">
        <v xml:space="preserve"> </v>
      </c>
      <c r="X98" s="156" t="str">
        <v xml:space="preserve"> </v>
      </c>
    </row>
    <row r="99" spans="1:24" x14ac:dyDescent="0.25">
      <c r="A99" s="129" t="e">
        <v>#N/A</v>
      </c>
      <c r="B99" s="156" t="str">
        <v xml:space="preserve"> </v>
      </c>
      <c r="C99" s="156" t="str">
        <v xml:space="preserve"> </v>
      </c>
      <c r="D99" s="156" t="str">
        <v xml:space="preserve"> </v>
      </c>
      <c r="E99" s="156" t="str">
        <v xml:space="preserve"> </v>
      </c>
      <c r="F99" s="156" t="str">
        <v xml:space="preserve"> </v>
      </c>
      <c r="G99" s="156" t="str">
        <v xml:space="preserve"> </v>
      </c>
      <c r="H99" s="156" t="str">
        <v xml:space="preserve"> </v>
      </c>
      <c r="I99" s="156" t="str">
        <v xml:space="preserve"> </v>
      </c>
      <c r="J99" s="156" t="str">
        <v xml:space="preserve"> </v>
      </c>
      <c r="K99" s="156" t="str">
        <v xml:space="preserve"> </v>
      </c>
      <c r="L99" s="156" t="str">
        <v xml:space="preserve"> </v>
      </c>
      <c r="M99" s="156" t="str">
        <v xml:space="preserve"> </v>
      </c>
      <c r="N99" s="156" t="str">
        <v xml:space="preserve"> </v>
      </c>
      <c r="O99" s="156" t="str">
        <v xml:space="preserve"> </v>
      </c>
      <c r="P99" s="156" t="str">
        <v xml:space="preserve"> </v>
      </c>
      <c r="Q99" s="156" t="str">
        <v xml:space="preserve"> </v>
      </c>
      <c r="R99" s="156" t="str">
        <v xml:space="preserve"> </v>
      </c>
      <c r="S99" s="158" t="str">
        <v xml:space="preserve"> </v>
      </c>
      <c r="T99" s="156" t="str">
        <v xml:space="preserve"> </v>
      </c>
      <c r="U99" s="158" t="str">
        <v xml:space="preserve"> </v>
      </c>
      <c r="V99" s="156" t="str">
        <v xml:space="preserve"> </v>
      </c>
      <c r="W99" s="156" t="str">
        <v xml:space="preserve"> </v>
      </c>
      <c r="X99" s="156" t="str">
        <v xml:space="preserve"> </v>
      </c>
    </row>
    <row r="100" spans="1:24" x14ac:dyDescent="0.25">
      <c r="A100" s="129" t="e">
        <v>#N/A</v>
      </c>
      <c r="B100" s="156" t="str">
        <v xml:space="preserve"> </v>
      </c>
      <c r="C100" s="156" t="str">
        <v xml:space="preserve"> </v>
      </c>
      <c r="D100" s="156" t="str">
        <v xml:space="preserve"> </v>
      </c>
      <c r="E100" s="156" t="str">
        <v xml:space="preserve"> </v>
      </c>
      <c r="F100" s="156" t="str">
        <v xml:space="preserve"> </v>
      </c>
      <c r="G100" s="156" t="str">
        <v xml:space="preserve"> </v>
      </c>
      <c r="H100" s="156" t="str">
        <v xml:space="preserve"> </v>
      </c>
      <c r="I100" s="156" t="str">
        <v xml:space="preserve"> </v>
      </c>
      <c r="J100" s="156" t="str">
        <v xml:space="preserve"> </v>
      </c>
      <c r="K100" s="156" t="str">
        <v xml:space="preserve"> </v>
      </c>
      <c r="L100" s="156" t="str">
        <v xml:space="preserve"> </v>
      </c>
      <c r="M100" s="156" t="str">
        <v xml:space="preserve"> </v>
      </c>
      <c r="N100" s="156" t="str">
        <v xml:space="preserve"> </v>
      </c>
      <c r="O100" s="156" t="str">
        <v xml:space="preserve"> </v>
      </c>
      <c r="P100" s="156" t="str">
        <v xml:space="preserve"> </v>
      </c>
      <c r="Q100" s="156" t="str">
        <v xml:space="preserve"> </v>
      </c>
      <c r="R100" s="156" t="str">
        <v xml:space="preserve"> </v>
      </c>
      <c r="S100" s="158" t="str">
        <v xml:space="preserve"> </v>
      </c>
      <c r="T100" s="156" t="str">
        <v xml:space="preserve"> </v>
      </c>
      <c r="U100" s="158" t="str">
        <v xml:space="preserve"> </v>
      </c>
      <c r="V100" s="156" t="str">
        <v xml:space="preserve"> </v>
      </c>
      <c r="W100" s="156" t="str">
        <v xml:space="preserve"> </v>
      </c>
      <c r="X100" s="156" t="str">
        <v xml:space="preserve"> </v>
      </c>
    </row>
    <row r="101" spans="1:24" x14ac:dyDescent="0.25">
      <c r="A101" s="129" t="e">
        <v>#N/A</v>
      </c>
      <c r="B101" s="156" t="str">
        <v xml:space="preserve"> </v>
      </c>
      <c r="C101" s="156" t="str">
        <v xml:space="preserve"> </v>
      </c>
      <c r="D101" s="156" t="str">
        <v xml:space="preserve"> </v>
      </c>
      <c r="E101" s="156" t="str">
        <v xml:space="preserve"> </v>
      </c>
      <c r="F101" s="156" t="str">
        <v xml:space="preserve"> </v>
      </c>
      <c r="G101" s="156" t="str">
        <v xml:space="preserve"> </v>
      </c>
      <c r="H101" s="156" t="str">
        <v xml:space="preserve"> </v>
      </c>
      <c r="I101" s="156" t="str">
        <v xml:space="preserve"> </v>
      </c>
      <c r="J101" s="156" t="str">
        <v xml:space="preserve"> </v>
      </c>
      <c r="K101" s="156" t="str">
        <v xml:space="preserve"> </v>
      </c>
      <c r="L101" s="156" t="str">
        <v xml:space="preserve"> </v>
      </c>
      <c r="M101" s="156" t="str">
        <v xml:space="preserve"> </v>
      </c>
      <c r="N101" s="156" t="str">
        <v xml:space="preserve"> </v>
      </c>
      <c r="O101" s="156" t="str">
        <v xml:space="preserve"> </v>
      </c>
      <c r="P101" s="156" t="str">
        <v xml:space="preserve"> </v>
      </c>
      <c r="Q101" s="156" t="str">
        <v xml:space="preserve"> </v>
      </c>
      <c r="R101" s="156" t="str">
        <v xml:space="preserve"> </v>
      </c>
      <c r="S101" s="158" t="str">
        <v xml:space="preserve"> </v>
      </c>
      <c r="T101" s="156" t="str">
        <v xml:space="preserve"> </v>
      </c>
      <c r="U101" s="158" t="str">
        <v xml:space="preserve"> </v>
      </c>
      <c r="V101" s="156" t="str">
        <v xml:space="preserve"> </v>
      </c>
      <c r="W101" s="156" t="str">
        <v xml:space="preserve"> </v>
      </c>
      <c r="X101" s="156" t="str">
        <v xml:space="preserve"> </v>
      </c>
    </row>
    <row r="102" spans="1:24" x14ac:dyDescent="0.25">
      <c r="A102" s="129" t="e">
        <v>#N/A</v>
      </c>
      <c r="B102" s="156" t="str">
        <v xml:space="preserve"> </v>
      </c>
      <c r="C102" s="156" t="str">
        <v xml:space="preserve"> </v>
      </c>
      <c r="D102" s="156" t="str">
        <v xml:space="preserve"> </v>
      </c>
      <c r="E102" s="156" t="str">
        <v xml:space="preserve"> </v>
      </c>
      <c r="F102" s="156" t="str">
        <v xml:space="preserve"> </v>
      </c>
      <c r="G102" s="156" t="str">
        <v xml:space="preserve"> </v>
      </c>
      <c r="H102" s="156" t="str">
        <v xml:space="preserve"> </v>
      </c>
      <c r="I102" s="156" t="str">
        <v xml:space="preserve"> </v>
      </c>
      <c r="J102" s="156" t="str">
        <v xml:space="preserve"> </v>
      </c>
      <c r="K102" s="156" t="str">
        <v xml:space="preserve"> </v>
      </c>
      <c r="L102" s="156" t="str">
        <v xml:space="preserve"> </v>
      </c>
      <c r="M102" s="156" t="str">
        <v xml:space="preserve"> </v>
      </c>
      <c r="N102" s="156" t="str">
        <v xml:space="preserve"> </v>
      </c>
      <c r="O102" s="156" t="str">
        <v xml:space="preserve"> </v>
      </c>
      <c r="P102" s="156" t="str">
        <v xml:space="preserve"> </v>
      </c>
      <c r="Q102" s="156" t="str">
        <v xml:space="preserve"> </v>
      </c>
      <c r="R102" s="156" t="str">
        <v xml:space="preserve"> </v>
      </c>
      <c r="S102" s="158" t="str">
        <v xml:space="preserve"> </v>
      </c>
      <c r="T102" s="156" t="str">
        <v xml:space="preserve"> </v>
      </c>
      <c r="U102" s="158" t="str">
        <v xml:space="preserve"> </v>
      </c>
      <c r="V102" s="156" t="str">
        <v xml:space="preserve"> </v>
      </c>
      <c r="W102" s="156" t="str">
        <v xml:space="preserve"> </v>
      </c>
      <c r="X102" s="156" t="str">
        <v xml:space="preserve"> </v>
      </c>
    </row>
    <row r="103" spans="1:24" x14ac:dyDescent="0.25">
      <c r="A103" s="129" t="e">
        <v>#N/A</v>
      </c>
      <c r="B103" s="156" t="str">
        <v xml:space="preserve"> </v>
      </c>
      <c r="C103" s="156" t="str">
        <v xml:space="preserve"> </v>
      </c>
      <c r="D103" s="156" t="str">
        <v xml:space="preserve"> </v>
      </c>
      <c r="E103" s="156" t="str">
        <v xml:space="preserve"> </v>
      </c>
      <c r="F103" s="156" t="str">
        <v xml:space="preserve"> </v>
      </c>
      <c r="G103" s="156" t="str">
        <v xml:space="preserve"> </v>
      </c>
      <c r="H103" s="156" t="str">
        <v xml:space="preserve"> </v>
      </c>
      <c r="I103" s="156" t="str">
        <v xml:space="preserve"> </v>
      </c>
      <c r="J103" s="156" t="str">
        <v xml:space="preserve"> </v>
      </c>
      <c r="K103" s="156" t="str">
        <v xml:space="preserve"> </v>
      </c>
      <c r="L103" s="156" t="str">
        <v xml:space="preserve"> </v>
      </c>
      <c r="M103" s="156" t="str">
        <v xml:space="preserve"> </v>
      </c>
      <c r="N103" s="156" t="str">
        <v xml:space="preserve"> </v>
      </c>
      <c r="O103" s="156" t="str">
        <v xml:space="preserve"> </v>
      </c>
      <c r="P103" s="156" t="str">
        <v xml:space="preserve"> </v>
      </c>
      <c r="Q103" s="156" t="str">
        <v xml:space="preserve"> </v>
      </c>
      <c r="R103" s="156" t="str">
        <v xml:space="preserve"> </v>
      </c>
      <c r="S103" s="158" t="str">
        <v xml:space="preserve"> </v>
      </c>
      <c r="T103" s="156" t="str">
        <v xml:space="preserve"> </v>
      </c>
      <c r="U103" s="158" t="str">
        <v xml:space="preserve"> </v>
      </c>
      <c r="V103" s="156" t="str">
        <v xml:space="preserve"> </v>
      </c>
      <c r="W103" s="156" t="str">
        <v xml:space="preserve"> </v>
      </c>
      <c r="X103" s="156" t="str">
        <v xml:space="preserve"> </v>
      </c>
    </row>
    <row r="104" spans="1:24" x14ac:dyDescent="0.25">
      <c r="A104" s="129" t="e">
        <v>#N/A</v>
      </c>
      <c r="B104" s="156" t="str">
        <v xml:space="preserve"> </v>
      </c>
      <c r="C104" s="156" t="str">
        <v xml:space="preserve"> </v>
      </c>
      <c r="D104" s="156" t="str">
        <v xml:space="preserve"> </v>
      </c>
      <c r="E104" s="156" t="str">
        <v xml:space="preserve"> </v>
      </c>
      <c r="F104" s="156" t="str">
        <v xml:space="preserve"> </v>
      </c>
      <c r="G104" s="156" t="str">
        <v xml:space="preserve"> </v>
      </c>
      <c r="H104" s="156" t="str">
        <v xml:space="preserve"> </v>
      </c>
      <c r="I104" s="156" t="str">
        <v xml:space="preserve"> </v>
      </c>
      <c r="J104" s="156" t="str">
        <v xml:space="preserve"> </v>
      </c>
      <c r="K104" s="156" t="str">
        <v xml:space="preserve"> </v>
      </c>
      <c r="L104" s="156" t="str">
        <v xml:space="preserve"> </v>
      </c>
      <c r="M104" s="156" t="str">
        <v xml:space="preserve"> </v>
      </c>
      <c r="N104" s="156" t="str">
        <v xml:space="preserve"> </v>
      </c>
      <c r="O104" s="156" t="str">
        <v xml:space="preserve"> </v>
      </c>
      <c r="P104" s="156" t="str">
        <v xml:space="preserve"> </v>
      </c>
      <c r="Q104" s="156" t="str">
        <v xml:space="preserve"> </v>
      </c>
      <c r="R104" s="156" t="str">
        <v xml:space="preserve"> </v>
      </c>
      <c r="S104" s="158" t="str">
        <v xml:space="preserve"> </v>
      </c>
      <c r="T104" s="156" t="str">
        <v xml:space="preserve"> </v>
      </c>
      <c r="U104" s="158" t="str">
        <v xml:space="preserve"> </v>
      </c>
      <c r="V104" s="156" t="str">
        <v xml:space="preserve"> </v>
      </c>
      <c r="W104" s="156" t="str">
        <v xml:space="preserve"> </v>
      </c>
      <c r="X104" s="156" t="str">
        <v xml:space="preserve"> </v>
      </c>
    </row>
    <row r="105" spans="1:24" x14ac:dyDescent="0.25">
      <c r="A105" s="129" t="e">
        <v>#N/A</v>
      </c>
      <c r="B105" s="156" t="str">
        <v xml:space="preserve"> </v>
      </c>
      <c r="C105" s="156" t="str">
        <v xml:space="preserve"> </v>
      </c>
      <c r="D105" s="156" t="str">
        <v xml:space="preserve"> </v>
      </c>
      <c r="E105" s="156" t="str">
        <v xml:space="preserve"> </v>
      </c>
      <c r="F105" s="156" t="str">
        <v xml:space="preserve"> </v>
      </c>
      <c r="G105" s="156" t="str">
        <v xml:space="preserve"> </v>
      </c>
      <c r="H105" s="156" t="str">
        <v xml:space="preserve"> </v>
      </c>
      <c r="I105" s="156" t="str">
        <v xml:space="preserve"> </v>
      </c>
      <c r="J105" s="156" t="str">
        <v xml:space="preserve"> </v>
      </c>
      <c r="K105" s="156" t="str">
        <v xml:space="preserve"> </v>
      </c>
      <c r="L105" s="156" t="str">
        <v xml:space="preserve"> </v>
      </c>
      <c r="M105" s="156" t="str">
        <v xml:space="preserve"> </v>
      </c>
      <c r="N105" s="156" t="str">
        <v xml:space="preserve"> </v>
      </c>
      <c r="O105" s="156" t="str">
        <v xml:space="preserve"> </v>
      </c>
      <c r="P105" s="156" t="str">
        <v xml:space="preserve"> </v>
      </c>
      <c r="Q105" s="156" t="str">
        <v xml:space="preserve"> </v>
      </c>
      <c r="R105" s="156" t="str">
        <v xml:space="preserve"> </v>
      </c>
      <c r="S105" s="158" t="str">
        <v xml:space="preserve"> </v>
      </c>
      <c r="T105" s="156" t="str">
        <v xml:space="preserve"> </v>
      </c>
      <c r="U105" s="158" t="str">
        <v xml:space="preserve"> </v>
      </c>
      <c r="V105" s="156" t="str">
        <v xml:space="preserve"> </v>
      </c>
      <c r="W105" s="156" t="str">
        <v xml:space="preserve"> </v>
      </c>
      <c r="X105" s="156" t="str">
        <v xml:space="preserve"> </v>
      </c>
    </row>
    <row r="106" spans="1:24" x14ac:dyDescent="0.25">
      <c r="A106" s="129" t="e">
        <v>#N/A</v>
      </c>
      <c r="B106" s="156" t="str">
        <v xml:space="preserve"> </v>
      </c>
      <c r="C106" s="156" t="str">
        <v xml:space="preserve"> </v>
      </c>
      <c r="D106" s="156" t="str">
        <v xml:space="preserve"> </v>
      </c>
      <c r="E106" s="156" t="str">
        <v xml:space="preserve"> </v>
      </c>
      <c r="F106" s="156" t="str">
        <v xml:space="preserve"> </v>
      </c>
      <c r="G106" s="156" t="str">
        <v xml:space="preserve"> </v>
      </c>
      <c r="H106" s="156" t="str">
        <v xml:space="preserve"> </v>
      </c>
      <c r="I106" s="156" t="str">
        <v xml:space="preserve"> </v>
      </c>
      <c r="J106" s="156" t="str">
        <v xml:space="preserve"> </v>
      </c>
      <c r="K106" s="156" t="str">
        <v xml:space="preserve"> </v>
      </c>
      <c r="L106" s="156" t="str">
        <v xml:space="preserve"> </v>
      </c>
      <c r="M106" s="156" t="str">
        <v xml:space="preserve"> </v>
      </c>
      <c r="N106" s="156" t="str">
        <v xml:space="preserve"> </v>
      </c>
      <c r="O106" s="156" t="str">
        <v xml:space="preserve"> </v>
      </c>
      <c r="P106" s="156" t="str">
        <v xml:space="preserve"> </v>
      </c>
      <c r="Q106" s="156" t="str">
        <v xml:space="preserve"> </v>
      </c>
      <c r="R106" s="156" t="str">
        <v xml:space="preserve"> </v>
      </c>
      <c r="S106" s="158" t="str">
        <v xml:space="preserve"> </v>
      </c>
      <c r="T106" s="156" t="str">
        <v xml:space="preserve"> </v>
      </c>
      <c r="U106" s="158" t="str">
        <v xml:space="preserve"> </v>
      </c>
      <c r="V106" s="156" t="str">
        <v xml:space="preserve"> </v>
      </c>
      <c r="W106" s="156" t="str">
        <v xml:space="preserve"> </v>
      </c>
      <c r="X106" s="156" t="str">
        <v xml:space="preserve"> </v>
      </c>
    </row>
    <row r="107" spans="1:24" x14ac:dyDescent="0.25">
      <c r="A107" s="129" t="e">
        <v>#N/A</v>
      </c>
      <c r="B107" s="156" t="str">
        <v xml:space="preserve"> </v>
      </c>
      <c r="C107" s="156" t="str">
        <v xml:space="preserve"> </v>
      </c>
      <c r="D107" s="156" t="str">
        <v xml:space="preserve"> </v>
      </c>
      <c r="E107" s="156" t="str">
        <v xml:space="preserve"> </v>
      </c>
      <c r="F107" s="156" t="str">
        <v xml:space="preserve"> </v>
      </c>
      <c r="G107" s="156" t="str">
        <v xml:space="preserve"> </v>
      </c>
      <c r="H107" s="156" t="str">
        <v xml:space="preserve"> </v>
      </c>
      <c r="I107" s="156" t="str">
        <v xml:space="preserve"> </v>
      </c>
      <c r="J107" s="156" t="str">
        <v xml:space="preserve"> </v>
      </c>
      <c r="K107" s="156" t="str">
        <v xml:space="preserve"> </v>
      </c>
      <c r="L107" s="156" t="str">
        <v xml:space="preserve"> </v>
      </c>
      <c r="M107" s="156" t="str">
        <v xml:space="preserve"> </v>
      </c>
      <c r="N107" s="156" t="str">
        <v xml:space="preserve"> </v>
      </c>
      <c r="O107" s="156" t="str">
        <v xml:space="preserve"> </v>
      </c>
      <c r="P107" s="156" t="str">
        <v xml:space="preserve"> </v>
      </c>
      <c r="Q107" s="156" t="str">
        <v xml:space="preserve"> </v>
      </c>
      <c r="R107" s="156" t="str">
        <v xml:space="preserve"> </v>
      </c>
      <c r="S107" s="158" t="str">
        <v xml:space="preserve"> </v>
      </c>
      <c r="T107" s="156" t="str">
        <v xml:space="preserve"> </v>
      </c>
      <c r="U107" s="158" t="str">
        <v xml:space="preserve"> </v>
      </c>
      <c r="V107" s="156" t="str">
        <v xml:space="preserve"> </v>
      </c>
      <c r="W107" s="156" t="str">
        <v xml:space="preserve"> </v>
      </c>
      <c r="X107" s="156" t="str">
        <v xml:space="preserve"> </v>
      </c>
    </row>
    <row r="108" spans="1:24" x14ac:dyDescent="0.25">
      <c r="A108" s="129" t="e">
        <v>#N/A</v>
      </c>
      <c r="B108" s="156" t="str">
        <v xml:space="preserve"> </v>
      </c>
      <c r="C108" s="156" t="str">
        <v xml:space="preserve"> </v>
      </c>
      <c r="D108" s="156" t="str">
        <v xml:space="preserve"> </v>
      </c>
      <c r="E108" s="156" t="str">
        <v xml:space="preserve"> </v>
      </c>
      <c r="F108" s="156" t="str">
        <v xml:space="preserve"> </v>
      </c>
      <c r="G108" s="156" t="str">
        <v xml:space="preserve"> </v>
      </c>
      <c r="H108" s="156" t="str">
        <v xml:space="preserve"> </v>
      </c>
      <c r="I108" s="156" t="str">
        <v xml:space="preserve"> </v>
      </c>
      <c r="J108" s="156" t="str">
        <v xml:space="preserve"> </v>
      </c>
      <c r="K108" s="156" t="str">
        <v xml:space="preserve"> </v>
      </c>
      <c r="L108" s="156" t="str">
        <v xml:space="preserve"> </v>
      </c>
      <c r="M108" s="156" t="str">
        <v xml:space="preserve"> </v>
      </c>
      <c r="N108" s="156" t="str">
        <v xml:space="preserve"> </v>
      </c>
      <c r="O108" s="156" t="str">
        <v xml:space="preserve"> </v>
      </c>
      <c r="P108" s="156" t="str">
        <v xml:space="preserve"> </v>
      </c>
      <c r="Q108" s="156" t="str">
        <v xml:space="preserve"> </v>
      </c>
      <c r="R108" s="156" t="str">
        <v xml:space="preserve"> </v>
      </c>
      <c r="S108" s="158" t="str">
        <v xml:space="preserve"> </v>
      </c>
      <c r="T108" s="156" t="str">
        <v xml:space="preserve"> </v>
      </c>
      <c r="U108" s="158" t="str">
        <v xml:space="preserve"> </v>
      </c>
      <c r="V108" s="156" t="str">
        <v xml:space="preserve"> </v>
      </c>
      <c r="W108" s="156" t="str">
        <v xml:space="preserve"> </v>
      </c>
      <c r="X108" s="156" t="str">
        <v xml:space="preserve"> </v>
      </c>
    </row>
    <row r="109" spans="1:24" x14ac:dyDescent="0.25">
      <c r="A109" s="129" t="e">
        <v>#N/A</v>
      </c>
      <c r="B109" s="156" t="str">
        <v xml:space="preserve"> </v>
      </c>
      <c r="C109" s="156" t="str">
        <v xml:space="preserve"> </v>
      </c>
      <c r="D109" s="156" t="str">
        <v xml:space="preserve"> </v>
      </c>
      <c r="E109" s="156" t="str">
        <v xml:space="preserve"> </v>
      </c>
      <c r="F109" s="156" t="str">
        <v xml:space="preserve"> </v>
      </c>
      <c r="G109" s="156" t="str">
        <v xml:space="preserve"> </v>
      </c>
      <c r="H109" s="156" t="str">
        <v xml:space="preserve"> </v>
      </c>
      <c r="I109" s="156" t="str">
        <v xml:space="preserve"> </v>
      </c>
      <c r="J109" s="156" t="str">
        <v xml:space="preserve"> </v>
      </c>
      <c r="K109" s="156" t="str">
        <v xml:space="preserve"> </v>
      </c>
      <c r="L109" s="156" t="str">
        <v xml:space="preserve"> </v>
      </c>
      <c r="M109" s="156" t="str">
        <v xml:space="preserve"> </v>
      </c>
      <c r="N109" s="156" t="str">
        <v xml:space="preserve"> </v>
      </c>
      <c r="O109" s="156" t="str">
        <v xml:space="preserve"> </v>
      </c>
      <c r="P109" s="156" t="str">
        <v xml:space="preserve"> </v>
      </c>
      <c r="Q109" s="156" t="str">
        <v xml:space="preserve"> </v>
      </c>
      <c r="R109" s="156" t="str">
        <v xml:space="preserve"> </v>
      </c>
      <c r="S109" s="158" t="str">
        <v xml:space="preserve"> </v>
      </c>
      <c r="T109" s="156" t="str">
        <v xml:space="preserve"> </v>
      </c>
      <c r="U109" s="158" t="str">
        <v xml:space="preserve"> </v>
      </c>
      <c r="V109" s="156" t="str">
        <v xml:space="preserve"> </v>
      </c>
      <c r="W109" s="156" t="str">
        <v xml:space="preserve"> </v>
      </c>
      <c r="X109" s="156" t="str">
        <v xml:space="preserve"> </v>
      </c>
    </row>
    <row r="110" spans="1:24" x14ac:dyDescent="0.25">
      <c r="A110" s="129" t="e">
        <v>#N/A</v>
      </c>
      <c r="B110" s="156" t="str">
        <v xml:space="preserve"> </v>
      </c>
      <c r="C110" s="156" t="str">
        <v xml:space="preserve"> </v>
      </c>
      <c r="D110" s="156" t="str">
        <v xml:space="preserve"> </v>
      </c>
      <c r="E110" s="156" t="str">
        <v xml:space="preserve"> </v>
      </c>
      <c r="F110" s="156" t="str">
        <v xml:space="preserve"> </v>
      </c>
      <c r="G110" s="156" t="str">
        <v xml:space="preserve"> </v>
      </c>
      <c r="H110" s="156" t="str">
        <v xml:space="preserve"> </v>
      </c>
      <c r="I110" s="156" t="str">
        <v xml:space="preserve"> </v>
      </c>
      <c r="J110" s="156" t="str">
        <v xml:space="preserve"> </v>
      </c>
      <c r="K110" s="156" t="str">
        <v xml:space="preserve"> </v>
      </c>
      <c r="L110" s="156" t="str">
        <v xml:space="preserve"> </v>
      </c>
      <c r="M110" s="156" t="str">
        <v xml:space="preserve"> </v>
      </c>
      <c r="N110" s="156" t="str">
        <v xml:space="preserve"> </v>
      </c>
      <c r="O110" s="156" t="str">
        <v xml:space="preserve"> </v>
      </c>
      <c r="P110" s="156" t="str">
        <v xml:space="preserve"> </v>
      </c>
      <c r="Q110" s="156" t="str">
        <v xml:space="preserve"> </v>
      </c>
      <c r="R110" s="156" t="str">
        <v xml:space="preserve"> </v>
      </c>
      <c r="S110" s="158" t="str">
        <v xml:space="preserve"> </v>
      </c>
      <c r="T110" s="156" t="str">
        <v xml:space="preserve"> </v>
      </c>
      <c r="U110" s="158" t="str">
        <v xml:space="preserve"> </v>
      </c>
      <c r="V110" s="156" t="str">
        <v xml:space="preserve"> </v>
      </c>
      <c r="W110" s="156" t="str">
        <v xml:space="preserve"> </v>
      </c>
      <c r="X110" s="156" t="str">
        <v xml:space="preserve"> </v>
      </c>
    </row>
    <row r="111" spans="1:24" x14ac:dyDescent="0.25">
      <c r="A111" s="129" t="e">
        <v>#N/A</v>
      </c>
      <c r="B111" s="156" t="str">
        <v xml:space="preserve"> </v>
      </c>
      <c r="C111" s="156" t="str">
        <v xml:space="preserve"> </v>
      </c>
      <c r="D111" s="156" t="str">
        <v xml:space="preserve"> </v>
      </c>
      <c r="E111" s="156" t="str">
        <v xml:space="preserve"> </v>
      </c>
      <c r="F111" s="156" t="str">
        <v xml:space="preserve"> </v>
      </c>
      <c r="G111" s="156" t="str">
        <v xml:space="preserve"> </v>
      </c>
      <c r="H111" s="156" t="str">
        <v xml:space="preserve"> </v>
      </c>
      <c r="I111" s="156" t="str">
        <v xml:space="preserve"> </v>
      </c>
      <c r="J111" s="156" t="str">
        <v xml:space="preserve"> </v>
      </c>
      <c r="K111" s="156" t="str">
        <v xml:space="preserve"> </v>
      </c>
      <c r="L111" s="156" t="str">
        <v xml:space="preserve"> </v>
      </c>
      <c r="M111" s="156" t="str">
        <v xml:space="preserve"> </v>
      </c>
      <c r="N111" s="156" t="str">
        <v xml:space="preserve"> </v>
      </c>
      <c r="O111" s="156" t="str">
        <v xml:space="preserve"> </v>
      </c>
      <c r="P111" s="156" t="str">
        <v xml:space="preserve"> </v>
      </c>
      <c r="Q111" s="156" t="str">
        <v xml:space="preserve"> </v>
      </c>
      <c r="R111" s="156" t="str">
        <v xml:space="preserve"> </v>
      </c>
      <c r="S111" s="158" t="str">
        <v xml:space="preserve"> </v>
      </c>
      <c r="T111" s="156" t="str">
        <v xml:space="preserve"> </v>
      </c>
      <c r="U111" s="158" t="str">
        <v xml:space="preserve"> </v>
      </c>
      <c r="V111" s="156" t="str">
        <v xml:space="preserve"> </v>
      </c>
      <c r="W111" s="156" t="str">
        <v xml:space="preserve"> </v>
      </c>
      <c r="X111" s="156" t="str">
        <v xml:space="preserve"> </v>
      </c>
    </row>
    <row r="112" spans="1:24" x14ac:dyDescent="0.25">
      <c r="A112" s="129" t="e">
        <v>#N/A</v>
      </c>
      <c r="B112" s="156" t="str">
        <v xml:space="preserve"> </v>
      </c>
      <c r="C112" s="156" t="str">
        <v xml:space="preserve"> </v>
      </c>
      <c r="D112" s="156" t="str">
        <v xml:space="preserve"> </v>
      </c>
      <c r="E112" s="156" t="str">
        <v xml:space="preserve"> </v>
      </c>
      <c r="F112" s="156" t="str">
        <v xml:space="preserve"> </v>
      </c>
      <c r="G112" s="156" t="str">
        <v xml:space="preserve"> </v>
      </c>
      <c r="H112" s="156" t="str">
        <v xml:space="preserve"> </v>
      </c>
      <c r="I112" s="156" t="str">
        <v xml:space="preserve"> </v>
      </c>
      <c r="J112" s="156" t="str">
        <v xml:space="preserve"> </v>
      </c>
      <c r="K112" s="156" t="str">
        <v xml:space="preserve"> </v>
      </c>
      <c r="L112" s="156" t="str">
        <v xml:space="preserve"> </v>
      </c>
      <c r="M112" s="156" t="str">
        <v xml:space="preserve"> </v>
      </c>
      <c r="N112" s="156" t="str">
        <v xml:space="preserve"> </v>
      </c>
      <c r="O112" s="156" t="str">
        <v xml:space="preserve"> </v>
      </c>
      <c r="P112" s="156" t="str">
        <v xml:space="preserve"> </v>
      </c>
      <c r="Q112" s="156" t="str">
        <v xml:space="preserve"> </v>
      </c>
      <c r="R112" s="156" t="str">
        <v xml:space="preserve"> </v>
      </c>
      <c r="S112" s="158" t="str">
        <v xml:space="preserve"> </v>
      </c>
      <c r="T112" s="156" t="str">
        <v xml:space="preserve"> </v>
      </c>
      <c r="U112" s="158" t="str">
        <v xml:space="preserve"> </v>
      </c>
      <c r="V112" s="156" t="str">
        <v xml:space="preserve"> </v>
      </c>
      <c r="W112" s="156" t="str">
        <v xml:space="preserve"> </v>
      </c>
      <c r="X112" s="156" t="str">
        <v xml:space="preserve"> </v>
      </c>
    </row>
    <row r="113" spans="1:24" x14ac:dyDescent="0.25">
      <c r="A113" s="129" t="e">
        <v>#N/A</v>
      </c>
      <c r="B113" s="156" t="str">
        <v xml:space="preserve"> </v>
      </c>
      <c r="C113" s="156" t="str">
        <v xml:space="preserve"> </v>
      </c>
      <c r="D113" s="156" t="str">
        <v xml:space="preserve"> </v>
      </c>
      <c r="E113" s="156" t="str">
        <v xml:space="preserve"> </v>
      </c>
      <c r="F113" s="156" t="str">
        <v xml:space="preserve"> </v>
      </c>
      <c r="G113" s="156" t="str">
        <v xml:space="preserve"> </v>
      </c>
      <c r="H113" s="156" t="str">
        <v xml:space="preserve"> </v>
      </c>
      <c r="I113" s="156" t="str">
        <v xml:space="preserve"> </v>
      </c>
      <c r="J113" s="156" t="str">
        <v xml:space="preserve"> </v>
      </c>
      <c r="K113" s="156" t="str">
        <v xml:space="preserve"> </v>
      </c>
      <c r="L113" s="156" t="str">
        <v xml:space="preserve"> </v>
      </c>
      <c r="M113" s="156" t="str">
        <v xml:space="preserve"> </v>
      </c>
      <c r="N113" s="156" t="str">
        <v xml:space="preserve"> </v>
      </c>
      <c r="O113" s="156" t="str">
        <v xml:space="preserve"> </v>
      </c>
      <c r="P113" s="156" t="str">
        <v xml:space="preserve"> </v>
      </c>
      <c r="Q113" s="156" t="str">
        <v xml:space="preserve"> </v>
      </c>
      <c r="R113" s="156" t="str">
        <v xml:space="preserve"> </v>
      </c>
      <c r="S113" s="158" t="str">
        <v xml:space="preserve"> </v>
      </c>
      <c r="T113" s="156" t="str">
        <v xml:space="preserve"> </v>
      </c>
      <c r="U113" s="158" t="str">
        <v xml:space="preserve"> </v>
      </c>
      <c r="V113" s="156" t="str">
        <v xml:space="preserve"> </v>
      </c>
      <c r="W113" s="156" t="str">
        <v xml:space="preserve"> </v>
      </c>
      <c r="X113" s="156" t="str">
        <v xml:space="preserve"> </v>
      </c>
    </row>
    <row r="114" spans="1:24" x14ac:dyDescent="0.25">
      <c r="A114" s="129" t="e">
        <v>#N/A</v>
      </c>
      <c r="B114" s="156" t="str">
        <v xml:space="preserve"> </v>
      </c>
      <c r="C114" s="156" t="str">
        <v xml:space="preserve"> </v>
      </c>
      <c r="D114" s="156" t="str">
        <v xml:space="preserve"> </v>
      </c>
      <c r="E114" s="156" t="str">
        <v xml:space="preserve"> </v>
      </c>
      <c r="F114" s="156" t="str">
        <v xml:space="preserve"> </v>
      </c>
      <c r="G114" s="156" t="str">
        <v xml:space="preserve"> </v>
      </c>
      <c r="H114" s="156" t="str">
        <v xml:space="preserve"> </v>
      </c>
      <c r="I114" s="156" t="str">
        <v xml:space="preserve"> </v>
      </c>
      <c r="J114" s="156" t="str">
        <v xml:space="preserve"> </v>
      </c>
      <c r="K114" s="156" t="str">
        <v xml:space="preserve"> </v>
      </c>
      <c r="L114" s="156" t="str">
        <v xml:space="preserve"> </v>
      </c>
      <c r="M114" s="156" t="str">
        <v xml:space="preserve"> </v>
      </c>
      <c r="N114" s="156" t="str">
        <v xml:space="preserve"> </v>
      </c>
      <c r="O114" s="156" t="str">
        <v xml:space="preserve"> </v>
      </c>
      <c r="P114" s="156" t="str">
        <v xml:space="preserve"> </v>
      </c>
      <c r="Q114" s="156" t="str">
        <v xml:space="preserve"> </v>
      </c>
      <c r="R114" s="156" t="str">
        <v xml:space="preserve"> </v>
      </c>
      <c r="S114" s="158" t="str">
        <v xml:space="preserve"> </v>
      </c>
      <c r="T114" s="156" t="str">
        <v xml:space="preserve"> </v>
      </c>
      <c r="U114" s="158" t="str">
        <v xml:space="preserve"> </v>
      </c>
      <c r="V114" s="156" t="str">
        <v xml:space="preserve"> </v>
      </c>
      <c r="W114" s="156" t="str">
        <v xml:space="preserve"> </v>
      </c>
      <c r="X114" s="156" t="str">
        <v xml:space="preserve"> </v>
      </c>
    </row>
    <row r="115" spans="1:24" x14ac:dyDescent="0.25">
      <c r="A115" s="129" t="e">
        <v>#N/A</v>
      </c>
      <c r="B115" s="156" t="str">
        <v xml:space="preserve"> </v>
      </c>
      <c r="C115" s="156" t="str">
        <v xml:space="preserve"> </v>
      </c>
      <c r="D115" s="156" t="str">
        <v xml:space="preserve"> </v>
      </c>
      <c r="E115" s="156" t="str">
        <v xml:space="preserve"> </v>
      </c>
      <c r="F115" s="156" t="str">
        <v xml:space="preserve"> </v>
      </c>
      <c r="G115" s="156" t="str">
        <v xml:space="preserve"> </v>
      </c>
      <c r="H115" s="156" t="str">
        <v xml:space="preserve"> </v>
      </c>
      <c r="I115" s="156" t="str">
        <v xml:space="preserve"> </v>
      </c>
      <c r="J115" s="156" t="str">
        <v xml:space="preserve"> </v>
      </c>
      <c r="K115" s="156" t="str">
        <v xml:space="preserve"> </v>
      </c>
      <c r="L115" s="156" t="str">
        <v xml:space="preserve"> </v>
      </c>
      <c r="M115" s="156" t="str">
        <v xml:space="preserve"> </v>
      </c>
      <c r="N115" s="156" t="str">
        <v xml:space="preserve"> </v>
      </c>
      <c r="O115" s="156" t="str">
        <v xml:space="preserve"> </v>
      </c>
      <c r="P115" s="156" t="str">
        <v xml:space="preserve"> </v>
      </c>
      <c r="Q115" s="156" t="str">
        <v xml:space="preserve"> </v>
      </c>
      <c r="R115" s="156" t="str">
        <v xml:space="preserve"> </v>
      </c>
      <c r="S115" s="158" t="str">
        <v xml:space="preserve"> </v>
      </c>
      <c r="T115" s="156" t="str">
        <v xml:space="preserve"> </v>
      </c>
      <c r="U115" s="158" t="str">
        <v xml:space="preserve"> </v>
      </c>
      <c r="V115" s="156" t="str">
        <v xml:space="preserve"> </v>
      </c>
      <c r="W115" s="156" t="str">
        <v xml:space="preserve"> </v>
      </c>
      <c r="X115" s="156" t="str">
        <v xml:space="preserve"> </v>
      </c>
    </row>
    <row r="116" spans="1:24" x14ac:dyDescent="0.25">
      <c r="A116" s="129" t="e">
        <v>#N/A</v>
      </c>
      <c r="B116" s="156" t="str">
        <v xml:space="preserve"> </v>
      </c>
      <c r="C116" s="156" t="str">
        <v xml:space="preserve"> </v>
      </c>
      <c r="D116" s="156" t="str">
        <v xml:space="preserve"> </v>
      </c>
      <c r="E116" s="156" t="str">
        <v xml:space="preserve"> </v>
      </c>
      <c r="F116" s="156" t="str">
        <v xml:space="preserve"> </v>
      </c>
      <c r="G116" s="156" t="str">
        <v xml:space="preserve"> </v>
      </c>
      <c r="H116" s="156" t="str">
        <v xml:space="preserve"> </v>
      </c>
      <c r="I116" s="156" t="str">
        <v xml:space="preserve"> </v>
      </c>
      <c r="J116" s="156" t="str">
        <v xml:space="preserve"> </v>
      </c>
      <c r="K116" s="156" t="str">
        <v xml:space="preserve"> </v>
      </c>
      <c r="L116" s="156" t="str">
        <v xml:space="preserve"> </v>
      </c>
      <c r="M116" s="156" t="str">
        <v xml:space="preserve"> </v>
      </c>
      <c r="N116" s="156" t="str">
        <v xml:space="preserve"> </v>
      </c>
      <c r="O116" s="156" t="str">
        <v xml:space="preserve"> </v>
      </c>
      <c r="P116" s="156" t="str">
        <v xml:space="preserve"> </v>
      </c>
      <c r="Q116" s="156" t="str">
        <v xml:space="preserve"> </v>
      </c>
      <c r="R116" s="156" t="str">
        <v xml:space="preserve"> </v>
      </c>
      <c r="S116" s="158" t="str">
        <v xml:space="preserve"> </v>
      </c>
      <c r="T116" s="156" t="str">
        <v xml:space="preserve"> </v>
      </c>
      <c r="U116" s="158" t="str">
        <v xml:space="preserve"> </v>
      </c>
      <c r="V116" s="156" t="str">
        <v xml:space="preserve"> </v>
      </c>
      <c r="W116" s="156" t="str">
        <v xml:space="preserve"> </v>
      </c>
      <c r="X116" s="156" t="str">
        <v xml:space="preserve"> </v>
      </c>
    </row>
    <row r="117" spans="1:24" x14ac:dyDescent="0.25">
      <c r="A117" s="129" t="e">
        <v>#N/A</v>
      </c>
      <c r="B117" s="156" t="str">
        <v xml:space="preserve"> </v>
      </c>
      <c r="C117" s="156" t="str">
        <v xml:space="preserve"> </v>
      </c>
      <c r="D117" s="156" t="str">
        <v xml:space="preserve"> </v>
      </c>
      <c r="E117" s="156" t="str">
        <v xml:space="preserve"> </v>
      </c>
      <c r="F117" s="156" t="str">
        <v xml:space="preserve"> </v>
      </c>
      <c r="G117" s="156" t="str">
        <v xml:space="preserve"> </v>
      </c>
      <c r="H117" s="156" t="str">
        <v xml:space="preserve"> </v>
      </c>
      <c r="I117" s="156" t="str">
        <v xml:space="preserve"> </v>
      </c>
      <c r="J117" s="156" t="str">
        <v xml:space="preserve"> </v>
      </c>
      <c r="K117" s="156" t="str">
        <v xml:space="preserve"> </v>
      </c>
      <c r="L117" s="156" t="str">
        <v xml:space="preserve"> </v>
      </c>
      <c r="M117" s="156" t="str">
        <v xml:space="preserve"> </v>
      </c>
      <c r="N117" s="156" t="str">
        <v xml:space="preserve"> </v>
      </c>
      <c r="O117" s="156" t="str">
        <v xml:space="preserve"> </v>
      </c>
      <c r="P117" s="156" t="str">
        <v xml:space="preserve"> </v>
      </c>
      <c r="Q117" s="156" t="str">
        <v xml:space="preserve"> </v>
      </c>
      <c r="R117" s="156" t="str">
        <v xml:space="preserve"> </v>
      </c>
      <c r="S117" s="158" t="str">
        <v xml:space="preserve"> </v>
      </c>
      <c r="T117" s="156" t="str">
        <v xml:space="preserve"> </v>
      </c>
      <c r="U117" s="158" t="str">
        <v xml:space="preserve"> </v>
      </c>
      <c r="V117" s="156" t="str">
        <v xml:space="preserve"> </v>
      </c>
      <c r="W117" s="156" t="str">
        <v xml:space="preserve"> </v>
      </c>
      <c r="X117" s="156" t="str">
        <v xml:space="preserve"> </v>
      </c>
    </row>
  </sheetData>
  <sheetProtection sheet="1" objects="1" scenarios="1"/>
  <sortState ref="A9:X12">
    <sortCondition ref="A9:A12"/>
  </sortState>
  <mergeCells count="1">
    <mergeCell ref="E1:F1"/>
  </mergeCells>
  <conditionalFormatting sqref="A9:X117">
    <cfRule type="containsErrors" dxfId="3" priority="7">
      <formula>ISERROR(A9)</formula>
    </cfRule>
  </conditionalFormatting>
  <conditionalFormatting sqref="K6">
    <cfRule type="containsText" dxfId="2" priority="4" operator="containsText" text="Copy down the data corresponding to current velocity">
      <formula>NOT(ISERROR(SEARCH("Copy down the data corresponding to current velocity",K6)))</formula>
    </cfRule>
  </conditionalFormatting>
  <conditionalFormatting sqref="A9:X118">
    <cfRule type="notContainsBlanks" dxfId="1" priority="9">
      <formula>LEN(TRIM(A9))&gt;0</formula>
    </cfRule>
  </conditionalFormatting>
  <conditionalFormatting sqref="A9:A117">
    <cfRule type="containsErrors" dxfId="0" priority="1">
      <formula>ISERROR(A9)</formula>
    </cfRule>
  </conditionalFormatting>
  <hyperlinks>
    <hyperlink ref="E1" location="'G&amp;H'!A1" tooltip="Go back to G&amp;H tab" display="Go back to G&amp;H tab"/>
    <hyperlink ref="E1:F1" location="'G&amp;H'!A3" tooltip="Go back to G&amp;H tab" display="Go back to G&amp;H tab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Copydown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5" name="Button 4">
              <controlPr defaultSize="0" print="0" autoFill="0" autoPict="0" macro="[0]!_xludf.Undo">
                <anchor moveWithCells="1" sizeWithCells="1">
                  <from>
                    <xdr:col>6</xdr:col>
                    <xdr:colOff>0</xdr:colOff>
                    <xdr:row>6</xdr:row>
                    <xdr:rowOff>0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6" name="Button 5">
              <controlPr defaultSize="0" print="0" autoFill="0" autoPict="0" macro="[0]!ClearTable">
                <anchor moveWithCells="1" siz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7" name="Button 6">
              <controlPr defaultSize="0" print="0" autoFill="0" autoPict="0" macro="[0]!UpdateV">
                <anchor moveWithCells="1" sizeWithCells="1">
                  <from>
                    <xdr:col>7</xdr:col>
                    <xdr:colOff>495300</xdr:colOff>
                    <xdr:row>0</xdr:row>
                    <xdr:rowOff>57150</xdr:rowOff>
                  </from>
                  <to>
                    <xdr:col>8</xdr:col>
                    <xdr:colOff>600075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H122"/>
  <sheetViews>
    <sheetView topLeftCell="AZ1" zoomScale="55" zoomScaleNormal="55" workbookViewId="0">
      <selection activeCell="CH2" sqref="CH2"/>
    </sheetView>
  </sheetViews>
  <sheetFormatPr defaultRowHeight="15" x14ac:dyDescent="0.25"/>
  <cols>
    <col min="2" max="2" width="12.42578125" bestFit="1" customWidth="1"/>
    <col min="3" max="3" width="14.85546875" bestFit="1" customWidth="1"/>
    <col min="65" max="65" width="14.7109375" bestFit="1" customWidth="1"/>
  </cols>
  <sheetData>
    <row r="1" spans="2:86" ht="18.75" x14ac:dyDescent="0.35">
      <c r="AG1" s="142">
        <f ca="1">MAX(OFFSET(AG2,,,Results!D7,1))+2</f>
        <v>5</v>
      </c>
      <c r="AH1" s="143">
        <f ca="1">IFERROR(MAX(OFFSET(AI2,,,Results!D7,1)),1)</f>
        <v>20</v>
      </c>
      <c r="AI1" s="131" t="s">
        <v>160</v>
      </c>
      <c r="AJ1" s="131" t="s">
        <v>161</v>
      </c>
      <c r="AK1" s="131" t="s">
        <v>165</v>
      </c>
      <c r="AL1" s="131" t="s">
        <v>166</v>
      </c>
      <c r="AM1" s="131" t="s">
        <v>167</v>
      </c>
      <c r="AN1" s="131" t="s">
        <v>168</v>
      </c>
      <c r="AO1" s="131" t="s">
        <v>169</v>
      </c>
      <c r="AP1" s="131" t="s">
        <v>97</v>
      </c>
      <c r="AQ1" s="131" t="s">
        <v>162</v>
      </c>
      <c r="AR1" s="131" t="s">
        <v>182</v>
      </c>
      <c r="AS1" s="131" t="s">
        <v>170</v>
      </c>
      <c r="AT1" s="131" t="s">
        <v>171</v>
      </c>
      <c r="AU1" s="131" t="s">
        <v>172</v>
      </c>
      <c r="AV1" s="131" t="s">
        <v>163</v>
      </c>
      <c r="AW1" s="131" t="s">
        <v>164</v>
      </c>
      <c r="AX1" s="131" t="s">
        <v>173</v>
      </c>
      <c r="AY1" s="131" t="s">
        <v>174</v>
      </c>
      <c r="AZ1" s="131" t="s">
        <v>175</v>
      </c>
      <c r="BA1" s="131" t="s">
        <v>179</v>
      </c>
      <c r="BB1" s="131" t="s">
        <v>176</v>
      </c>
      <c r="BC1" s="131" t="s">
        <v>177</v>
      </c>
      <c r="BD1" s="131" t="s">
        <v>49</v>
      </c>
      <c r="BE1" s="131" t="s">
        <v>46</v>
      </c>
      <c r="BF1" s="131" t="s">
        <v>178</v>
      </c>
      <c r="BG1" s="130"/>
      <c r="BH1" s="144">
        <v>1</v>
      </c>
      <c r="BI1" s="130"/>
      <c r="BJ1" s="130"/>
      <c r="BK1" s="132">
        <v>1</v>
      </c>
      <c r="BL1" s="133">
        <v>2</v>
      </c>
      <c r="BM1" s="132">
        <v>3</v>
      </c>
      <c r="BN1" s="133">
        <v>4</v>
      </c>
      <c r="BO1" s="132">
        <v>5</v>
      </c>
      <c r="BP1" s="133">
        <v>6</v>
      </c>
      <c r="BQ1" s="132">
        <v>7</v>
      </c>
      <c r="BR1" s="133">
        <v>8</v>
      </c>
      <c r="BS1" s="132">
        <v>9</v>
      </c>
      <c r="BT1" s="133">
        <v>10</v>
      </c>
      <c r="BU1" s="132">
        <v>11</v>
      </c>
      <c r="BV1" s="133">
        <v>12</v>
      </c>
      <c r="BW1" s="132">
        <v>13</v>
      </c>
      <c r="BX1" s="133">
        <v>14</v>
      </c>
      <c r="BY1" s="132">
        <v>15</v>
      </c>
      <c r="BZ1" s="133">
        <v>16</v>
      </c>
      <c r="CA1" s="132">
        <v>17</v>
      </c>
      <c r="CB1" s="133">
        <v>18</v>
      </c>
      <c r="CC1" s="132">
        <v>19</v>
      </c>
      <c r="CD1" s="133">
        <v>20</v>
      </c>
      <c r="CE1" s="132">
        <v>21</v>
      </c>
      <c r="CF1" s="133">
        <v>22</v>
      </c>
      <c r="CG1" s="132">
        <v>23</v>
      </c>
      <c r="CH1" s="134">
        <v>24</v>
      </c>
    </row>
    <row r="2" spans="2:86" x14ac:dyDescent="0.25">
      <c r="V2" s="74"/>
      <c r="W2" s="74"/>
      <c r="X2" s="74"/>
      <c r="Y2" s="74"/>
      <c r="Z2" s="74">
        <v>0.85</v>
      </c>
      <c r="AA2" s="74"/>
      <c r="AB2" s="74"/>
      <c r="AC2" s="74"/>
      <c r="AD2" s="74" t="e">
        <f>IF('G&amp;H'!$A$63,AD3,NA())</f>
        <v>#N/A</v>
      </c>
      <c r="AE2" s="74"/>
      <c r="AG2" s="135">
        <f>_xlfn.RANK.EQ(AI2,$AI$2:$AI$110,1)</f>
        <v>1</v>
      </c>
      <c r="AH2" s="136">
        <v>1</v>
      </c>
      <c r="AI2" s="137">
        <v>17</v>
      </c>
      <c r="AJ2" s="138">
        <v>9.2352500000000006</v>
      </c>
      <c r="AK2" s="138">
        <v>2010299368.6868694</v>
      </c>
      <c r="AL2" s="138">
        <v>1.4061370507597857</v>
      </c>
      <c r="AM2" s="138">
        <v>-0.19096000000000002</v>
      </c>
      <c r="AN2" s="138">
        <v>1.2151770507597857</v>
      </c>
      <c r="AO2" s="138">
        <v>0.18338932766145985</v>
      </c>
      <c r="AP2" s="138" t="s">
        <v>190</v>
      </c>
      <c r="AQ2" s="138">
        <v>2.9333333333333371E-2</v>
      </c>
      <c r="AR2" s="138">
        <v>1.3405189771703228</v>
      </c>
      <c r="AS2" s="138">
        <v>3.4665820749624547</v>
      </c>
      <c r="AT2" s="138">
        <v>-7.2033363999504099</v>
      </c>
      <c r="AU2" s="138">
        <v>0</v>
      </c>
      <c r="AV2" s="138">
        <v>0</v>
      </c>
      <c r="AW2" s="138">
        <v>0.11036696804033228</v>
      </c>
      <c r="AX2" s="138" t="s">
        <v>191</v>
      </c>
      <c r="AY2" s="138">
        <v>0.04</v>
      </c>
      <c r="AZ2" s="138">
        <v>7.0000000000000007E-2</v>
      </c>
      <c r="BA2" s="138" t="s">
        <v>191</v>
      </c>
      <c r="BB2" s="138">
        <v>578.74658739068877</v>
      </c>
      <c r="BC2" s="138" t="s">
        <v>191</v>
      </c>
      <c r="BD2" s="138">
        <v>19.050609523240396</v>
      </c>
      <c r="BE2" s="138">
        <v>33.33856666567069</v>
      </c>
      <c r="BF2" s="138" t="s">
        <v>191</v>
      </c>
      <c r="BG2" s="136" t="b">
        <f>ISNUMBER(AI2)</f>
        <v>1</v>
      </c>
      <c r="BH2" s="136">
        <f>ROW()</f>
        <v>2</v>
      </c>
      <c r="BI2" s="136">
        <v>1</v>
      </c>
      <c r="BJ2" s="136">
        <f t="shared" ref="BJ2:BJ3" si="0">IFERROR(VLOOKUP(BI2,$AG$2:$AH$110,2,FALSE),"NA")</f>
        <v>1</v>
      </c>
      <c r="BK2" s="136">
        <f t="shared" ref="BK2:BZ17" si="1">IF(VLOOKUP($BJ2,$AH$2:$BF$111,1+BK$1,FALSE)="(NA)",NA(),VLOOKUP($BJ2,$AH$2:$BF$111,1+BK$1,FALSE))</f>
        <v>17</v>
      </c>
      <c r="BL2" s="136">
        <f t="shared" si="1"/>
        <v>9.2352500000000006</v>
      </c>
      <c r="BM2" s="136">
        <f t="shared" si="1"/>
        <v>2010299368.6868694</v>
      </c>
      <c r="BN2" s="136">
        <f t="shared" si="1"/>
        <v>1.4061370507597857</v>
      </c>
      <c r="BO2" s="136">
        <f t="shared" si="1"/>
        <v>-0.19096000000000002</v>
      </c>
      <c r="BP2" s="136">
        <f t="shared" si="1"/>
        <v>1.2151770507597857</v>
      </c>
      <c r="BQ2" s="136">
        <f t="shared" si="1"/>
        <v>0.18338932766145985</v>
      </c>
      <c r="BR2" s="136" t="str">
        <f t="shared" si="1"/>
        <v>(Not available)</v>
      </c>
      <c r="BS2" s="136">
        <f t="shared" si="1"/>
        <v>2.9333333333333371E-2</v>
      </c>
      <c r="BT2" s="136">
        <f t="shared" si="1"/>
        <v>1.3405189771703228</v>
      </c>
      <c r="BU2" s="136">
        <f t="shared" si="1"/>
        <v>3.4665820749624547</v>
      </c>
      <c r="BV2" s="136">
        <f t="shared" si="1"/>
        <v>-7.2033363999504099</v>
      </c>
      <c r="BW2" s="136">
        <f t="shared" si="1"/>
        <v>0</v>
      </c>
      <c r="BX2" s="136">
        <f t="shared" si="1"/>
        <v>0</v>
      </c>
      <c r="BY2" s="136">
        <f t="shared" si="1"/>
        <v>0.11036696804033228</v>
      </c>
      <c r="BZ2" s="136" t="e">
        <f t="shared" si="1"/>
        <v>#N/A</v>
      </c>
      <c r="CA2" s="136">
        <f t="shared" ref="CA2:CH17" si="2">IF(VLOOKUP($BJ2,$AH$2:$BF$111,1+CA$1,FALSE)="(NA)",NA(),VLOOKUP($BJ2,$AH$2:$BF$111,1+CA$1,FALSE))</f>
        <v>0.04</v>
      </c>
      <c r="CB2" s="136">
        <f t="shared" si="2"/>
        <v>7.0000000000000007E-2</v>
      </c>
      <c r="CC2" s="136" t="e">
        <f t="shared" si="2"/>
        <v>#N/A</v>
      </c>
      <c r="CD2" s="136">
        <f t="shared" si="2"/>
        <v>578.74658739068877</v>
      </c>
      <c r="CE2" s="136" t="e">
        <f t="shared" si="2"/>
        <v>#N/A</v>
      </c>
      <c r="CF2" s="136">
        <f t="shared" si="2"/>
        <v>19.050609523240396</v>
      </c>
      <c r="CG2" s="136">
        <f t="shared" si="2"/>
        <v>33.33856666567069</v>
      </c>
      <c r="CH2" s="136" t="e">
        <f t="shared" si="2"/>
        <v>#N/A</v>
      </c>
    </row>
    <row r="3" spans="2:86" x14ac:dyDescent="0.25">
      <c r="B3" s="75"/>
      <c r="C3" s="75"/>
      <c r="D3" s="75"/>
      <c r="E3" s="75"/>
      <c r="F3" s="75"/>
      <c r="G3" s="75"/>
      <c r="H3" s="75"/>
      <c r="V3" s="74"/>
      <c r="W3" s="74"/>
      <c r="X3" s="74"/>
      <c r="Y3" s="74"/>
      <c r="Z3" s="74">
        <v>0.113</v>
      </c>
      <c r="AA3" s="74">
        <v>0</v>
      </c>
      <c r="AB3" s="74" t="e">
        <f>IF(OR('G&amp;H'!$C$67=$Z2,'G&amp;H'!$C$68=$Z2),Z3,NA())</f>
        <v>#N/A</v>
      </c>
      <c r="AC3" s="74" t="e">
        <f>IF(OR('G&amp;H'!$C$67=$Z2,'G&amp;H'!$C$68=$Z2),AA3,NA())</f>
        <v>#N/A</v>
      </c>
      <c r="AD3" s="74" t="e">
        <f>IF('G&amp;H'!$A$63,AD4,NA())</f>
        <v>#N/A</v>
      </c>
      <c r="AE3" s="74"/>
      <c r="AG3" s="135">
        <f t="shared" ref="AG3:AG66" si="3">_xlfn.RANK.EQ(AI3,$AI$2:$AI$110,1)</f>
        <v>3</v>
      </c>
      <c r="AH3" s="136">
        <v>2</v>
      </c>
      <c r="AI3" s="137">
        <v>20</v>
      </c>
      <c r="AJ3" s="138">
        <v>10.865</v>
      </c>
      <c r="AK3" s="138">
        <v>2365058080.8080812</v>
      </c>
      <c r="AL3" s="138">
        <v>1.3793473037987007</v>
      </c>
      <c r="AM3" s="138">
        <v>-0.19096000000000002</v>
      </c>
      <c r="AN3" s="138">
        <v>1.1883873037987007</v>
      </c>
      <c r="AO3" s="138">
        <v>0.21575215018995275</v>
      </c>
      <c r="AP3" s="138">
        <v>0.52076167940022255</v>
      </c>
      <c r="AQ3" s="138">
        <v>2.9333333333333371E-2</v>
      </c>
      <c r="AR3" s="138">
        <v>-5.8450296395652579E-2</v>
      </c>
      <c r="AS3" s="138">
        <v>-0.15115246647915759</v>
      </c>
      <c r="AT3" s="138">
        <v>-3.5856018585087974</v>
      </c>
      <c r="AU3" s="138">
        <v>0</v>
      </c>
      <c r="AV3" s="138">
        <v>0</v>
      </c>
      <c r="AW3" s="138">
        <v>4.8259092117490798E-2</v>
      </c>
      <c r="AX3" s="138">
        <v>0.59835410485104668</v>
      </c>
      <c r="AY3" s="138">
        <v>0.04</v>
      </c>
      <c r="AZ3" s="138">
        <v>7.0000000000000007E-2</v>
      </c>
      <c r="BA3" s="138">
        <v>1.8967414086497476</v>
      </c>
      <c r="BB3" s="138">
        <v>783.37378847908315</v>
      </c>
      <c r="BC3" s="138">
        <v>394.42942588738168</v>
      </c>
      <c r="BD3" s="138">
        <v>26.367625637702968</v>
      </c>
      <c r="BE3" s="138">
        <v>46.14334486598019</v>
      </c>
      <c r="BF3" s="138">
        <v>1250.3141848701482</v>
      </c>
      <c r="BG3" s="136" t="b">
        <f t="shared" ref="BG3:BG66" si="4">ISNUMBER(AI3)</f>
        <v>1</v>
      </c>
      <c r="BH3" s="136">
        <f>ROW()</f>
        <v>3</v>
      </c>
      <c r="BI3" s="136">
        <v>2</v>
      </c>
      <c r="BJ3" s="136">
        <f t="shared" si="0"/>
        <v>3</v>
      </c>
      <c r="BK3" s="136">
        <f t="shared" si="1"/>
        <v>18</v>
      </c>
      <c r="BL3" s="136">
        <f t="shared" si="1"/>
        <v>9.7785000000000011</v>
      </c>
      <c r="BM3" s="136">
        <f t="shared" si="1"/>
        <v>2128552272.7272732</v>
      </c>
      <c r="BN3" s="136">
        <f t="shared" si="1"/>
        <v>1.3966267233533478</v>
      </c>
      <c r="BO3" s="136">
        <f t="shared" si="1"/>
        <v>-0.19096000000000002</v>
      </c>
      <c r="BP3" s="136">
        <f t="shared" si="1"/>
        <v>1.2056667233533478</v>
      </c>
      <c r="BQ3" s="136">
        <f t="shared" si="1"/>
        <v>0.19417693517095749</v>
      </c>
      <c r="BR3" s="136">
        <f t="shared" si="1"/>
        <v>0.48559032669879998</v>
      </c>
      <c r="BS3" s="136">
        <f t="shared" si="1"/>
        <v>2.9333333333333371E-2</v>
      </c>
      <c r="BT3" s="136">
        <f t="shared" si="1"/>
        <v>0.87419588598166476</v>
      </c>
      <c r="BU3" s="136">
        <f t="shared" si="1"/>
        <v>2.2606705611485851</v>
      </c>
      <c r="BV3" s="136">
        <f t="shared" si="1"/>
        <v>-5.9974248861365407</v>
      </c>
      <c r="BW3" s="136">
        <f t="shared" si="1"/>
        <v>0</v>
      </c>
      <c r="BX3" s="136">
        <f t="shared" si="1"/>
        <v>0</v>
      </c>
      <c r="BY3" s="136">
        <f t="shared" si="1"/>
        <v>0.10073490031662363</v>
      </c>
      <c r="BZ3" s="136">
        <f t="shared" si="1"/>
        <v>0.61565856034875699</v>
      </c>
      <c r="CA3" s="136">
        <f t="shared" si="2"/>
        <v>0.04</v>
      </c>
      <c r="CB3" s="136">
        <f t="shared" si="2"/>
        <v>7.0000000000000007E-2</v>
      </c>
      <c r="CC3" s="136">
        <f t="shared" si="2"/>
        <v>1.9313252837021049</v>
      </c>
      <c r="CD3" s="136">
        <f t="shared" si="2"/>
        <v>643.75901830564567</v>
      </c>
      <c r="CE3" s="136">
        <f t="shared" si="2"/>
        <v>328.72745240844455</v>
      </c>
      <c r="CF3" s="136">
        <f t="shared" si="2"/>
        <v>21.357776766539409</v>
      </c>
      <c r="CG3" s="136">
        <f t="shared" si="2"/>
        <v>37.376109341443964</v>
      </c>
      <c r="CH3" s="136">
        <f t="shared" si="2"/>
        <v>1031.2203568220737</v>
      </c>
    </row>
    <row r="4" spans="2:86" ht="18.75" x14ac:dyDescent="0.3">
      <c r="B4" s="75"/>
      <c r="C4" s="76" t="str">
        <f>"(From graphs)"</f>
        <v>(From graphs)</v>
      </c>
      <c r="D4" s="75"/>
      <c r="E4" s="75"/>
      <c r="F4" s="75"/>
      <c r="G4" s="75"/>
      <c r="H4" s="75"/>
      <c r="I4">
        <v>15</v>
      </c>
      <c r="Q4" s="77" t="s">
        <v>146</v>
      </c>
      <c r="R4" s="78"/>
      <c r="S4" s="78"/>
      <c r="T4" s="79"/>
      <c r="V4" s="74"/>
      <c r="W4" s="74"/>
      <c r="X4" s="74"/>
      <c r="Y4" s="74"/>
      <c r="Z4" s="74">
        <v>0.2034</v>
      </c>
      <c r="AA4" s="74">
        <v>0.57099999999999995</v>
      </c>
      <c r="AB4" s="74" t="e">
        <f>IF(OR('G&amp;H'!$C$67=$Z2,'G&amp;H'!$C$68=$Z2),Z4,NA())</f>
        <v>#N/A</v>
      </c>
      <c r="AC4" s="74" t="e">
        <f>IF(OR('G&amp;H'!$C$67=$Z2,'G&amp;H'!$C$68=$Z2),AA4,NA())</f>
        <v>#N/A</v>
      </c>
      <c r="AD4" s="80" t="e">
        <f>IF(OR('G&amp;H'!$C$67=$Z2,'G&amp;H'!$C$68=$Z2),AA4/(Z4-Z3)*('G&amp;H'!Fn-Z3),NA())</f>
        <v>#N/A</v>
      </c>
      <c r="AE4" s="74"/>
      <c r="AG4" s="135">
        <f t="shared" si="3"/>
        <v>2</v>
      </c>
      <c r="AH4" s="136">
        <v>3</v>
      </c>
      <c r="AI4" s="137">
        <v>18</v>
      </c>
      <c r="AJ4" s="138">
        <v>9.7785000000000011</v>
      </c>
      <c r="AK4" s="138">
        <v>2128552272.7272732</v>
      </c>
      <c r="AL4" s="138">
        <v>1.3966267233533478</v>
      </c>
      <c r="AM4" s="138">
        <v>-0.19096000000000002</v>
      </c>
      <c r="AN4" s="138">
        <v>1.2056667233533478</v>
      </c>
      <c r="AO4" s="138">
        <v>0.19417693517095749</v>
      </c>
      <c r="AP4" s="138">
        <v>0.48559032669879998</v>
      </c>
      <c r="AQ4" s="138">
        <v>2.9333333333333371E-2</v>
      </c>
      <c r="AR4" s="138">
        <v>0.87419588598166476</v>
      </c>
      <c r="AS4" s="138">
        <v>2.2606705611485851</v>
      </c>
      <c r="AT4" s="138">
        <v>-5.9974248861365407</v>
      </c>
      <c r="AU4" s="138">
        <v>0</v>
      </c>
      <c r="AV4" s="138">
        <v>0</v>
      </c>
      <c r="AW4" s="138">
        <v>0.10073490031662363</v>
      </c>
      <c r="AX4" s="138">
        <v>0.61565856034875699</v>
      </c>
      <c r="AY4" s="138">
        <v>0.04</v>
      </c>
      <c r="AZ4" s="138">
        <v>7.0000000000000007E-2</v>
      </c>
      <c r="BA4" s="138">
        <v>1.9313252837021049</v>
      </c>
      <c r="BB4" s="138">
        <v>643.75901830564567</v>
      </c>
      <c r="BC4" s="138">
        <v>328.72745240844455</v>
      </c>
      <c r="BD4" s="138">
        <v>21.357776766539409</v>
      </c>
      <c r="BE4" s="138">
        <v>37.376109341443964</v>
      </c>
      <c r="BF4" s="138">
        <v>1031.2203568220737</v>
      </c>
      <c r="BG4" s="136" t="b">
        <f t="shared" si="4"/>
        <v>1</v>
      </c>
      <c r="BH4" s="136">
        <f>ROW()</f>
        <v>4</v>
      </c>
      <c r="BI4" s="136">
        <v>3</v>
      </c>
      <c r="BJ4" s="136">
        <f>IFERROR(VLOOKUP(BI4,$AG$2:$AH$110,2,FALSE),"NA")</f>
        <v>2</v>
      </c>
      <c r="BK4" s="136">
        <f>IF(VLOOKUP($BJ4,$AH$2:$BF$111,1+BK$1,FALSE)="(NA)",NA(),VLOOKUP($BJ4,$AH$2:$BF$111,1+BK$1,FALSE))</f>
        <v>20</v>
      </c>
      <c r="BL4" s="136">
        <f t="shared" si="1"/>
        <v>10.865</v>
      </c>
      <c r="BM4" s="136">
        <f t="shared" si="1"/>
        <v>2365058080.8080812</v>
      </c>
      <c r="BN4" s="136">
        <f t="shared" si="1"/>
        <v>1.3793473037987007</v>
      </c>
      <c r="BO4" s="136">
        <f t="shared" si="1"/>
        <v>-0.19096000000000002</v>
      </c>
      <c r="BP4" s="136">
        <f t="shared" si="1"/>
        <v>1.1883873037987007</v>
      </c>
      <c r="BQ4" s="136">
        <f t="shared" si="1"/>
        <v>0.21575215018995275</v>
      </c>
      <c r="BR4" s="136">
        <f t="shared" si="1"/>
        <v>0.52076167940022255</v>
      </c>
      <c r="BS4" s="136">
        <f t="shared" si="1"/>
        <v>2.9333333333333371E-2</v>
      </c>
      <c r="BT4" s="136">
        <f t="shared" si="1"/>
        <v>-5.8450296395652579E-2</v>
      </c>
      <c r="BU4" s="136">
        <f t="shared" si="1"/>
        <v>-0.15115246647915759</v>
      </c>
      <c r="BV4" s="136">
        <f t="shared" si="1"/>
        <v>-3.5856018585087974</v>
      </c>
      <c r="BW4" s="136">
        <f t="shared" si="1"/>
        <v>0</v>
      </c>
      <c r="BX4" s="136">
        <f t="shared" si="1"/>
        <v>0</v>
      </c>
      <c r="BY4" s="136">
        <f t="shared" si="1"/>
        <v>4.8259092117490798E-2</v>
      </c>
      <c r="BZ4" s="136">
        <f t="shared" si="1"/>
        <v>0.59835410485104668</v>
      </c>
      <c r="CA4" s="136">
        <f t="shared" si="2"/>
        <v>0.04</v>
      </c>
      <c r="CB4" s="136">
        <f t="shared" si="2"/>
        <v>7.0000000000000007E-2</v>
      </c>
      <c r="CC4" s="136">
        <f t="shared" si="2"/>
        <v>1.8967414086497476</v>
      </c>
      <c r="CD4" s="136">
        <f t="shared" si="2"/>
        <v>783.37378847908315</v>
      </c>
      <c r="CE4" s="136">
        <f t="shared" si="2"/>
        <v>394.42942588738168</v>
      </c>
      <c r="CF4" s="136">
        <f t="shared" si="2"/>
        <v>26.367625637702968</v>
      </c>
      <c r="CG4" s="136">
        <f t="shared" si="2"/>
        <v>46.14334486598019</v>
      </c>
      <c r="CH4" s="136">
        <f t="shared" si="2"/>
        <v>1250.3141848701482</v>
      </c>
    </row>
    <row r="5" spans="2:86" x14ac:dyDescent="0.25">
      <c r="B5" s="75"/>
      <c r="C5" s="76" t="str">
        <f>"(By empirical procedure)"</f>
        <v>(By empirical procedure)</v>
      </c>
      <c r="D5" s="75"/>
      <c r="E5" s="75"/>
      <c r="F5" s="75"/>
      <c r="G5" s="75"/>
      <c r="H5" s="75"/>
      <c r="Q5" s="81" t="s">
        <v>147</v>
      </c>
      <c r="R5" s="82" t="str">
        <f>IF(ISNUMBER([0]!V),"",Tools1!Q5)</f>
        <v/>
      </c>
      <c r="S5" s="82">
        <f>IF(ISNUMBER([0]!V),1,0)</f>
        <v>1</v>
      </c>
      <c r="T5" s="83"/>
      <c r="V5" s="74"/>
      <c r="W5" s="74"/>
      <c r="X5" s="74"/>
      <c r="Y5" s="74"/>
      <c r="Z5" s="74"/>
      <c r="AA5" s="74"/>
      <c r="AB5" s="74"/>
      <c r="AC5" s="74"/>
      <c r="AD5" s="74"/>
      <c r="AE5" s="74"/>
      <c r="AG5" s="135" t="e">
        <f t="shared" si="3"/>
        <v>#N/A</v>
      </c>
      <c r="AH5" s="136">
        <v>4</v>
      </c>
      <c r="AI5" s="137"/>
      <c r="AJ5" s="138"/>
      <c r="AK5" s="138"/>
      <c r="AL5" s="138"/>
      <c r="AM5" s="138"/>
      <c r="AN5" s="138"/>
      <c r="AO5" s="138"/>
      <c r="AP5" s="138"/>
      <c r="AQ5" s="138"/>
      <c r="AR5" s="138"/>
      <c r="AS5" s="138"/>
      <c r="AT5" s="138"/>
      <c r="AU5" s="138"/>
      <c r="AV5" s="138"/>
      <c r="AW5" s="138"/>
      <c r="AX5" s="138"/>
      <c r="AY5" s="138"/>
      <c r="AZ5" s="138"/>
      <c r="BA5" s="138"/>
      <c r="BB5" s="138"/>
      <c r="BC5" s="138"/>
      <c r="BD5" s="138"/>
      <c r="BE5" s="138"/>
      <c r="BF5" s="138"/>
      <c r="BG5" s="136" t="b">
        <f t="shared" si="4"/>
        <v>0</v>
      </c>
      <c r="BH5" s="136">
        <f>ROW()</f>
        <v>5</v>
      </c>
      <c r="BI5" s="136">
        <v>4</v>
      </c>
      <c r="BJ5" s="136" t="str">
        <f t="shared" ref="BJ5:BJ68" si="5">IFERROR(VLOOKUP(BI5,$AG$2:$AH$110,2,FALSE),"NA")</f>
        <v>NA</v>
      </c>
      <c r="BK5" s="136" t="e">
        <f t="shared" ref="BK5:BZ20" si="6">IF(VLOOKUP($BJ5,$AH$2:$BF$111,1+BK$1,FALSE)="(NA)",NA(),VLOOKUP($BJ5,$AH$2:$BF$111,1+BK$1,FALSE))</f>
        <v>#N/A</v>
      </c>
      <c r="BL5" s="136" t="str">
        <f t="shared" si="1"/>
        <v xml:space="preserve"> </v>
      </c>
      <c r="BM5" s="136" t="str">
        <f t="shared" si="1"/>
        <v xml:space="preserve"> </v>
      </c>
      <c r="BN5" s="136" t="str">
        <f t="shared" si="1"/>
        <v xml:space="preserve"> </v>
      </c>
      <c r="BO5" s="136" t="str">
        <f t="shared" si="1"/>
        <v xml:space="preserve"> </v>
      </c>
      <c r="BP5" s="136" t="str">
        <f t="shared" si="1"/>
        <v xml:space="preserve"> </v>
      </c>
      <c r="BQ5" s="136" t="str">
        <f t="shared" si="1"/>
        <v xml:space="preserve"> </v>
      </c>
      <c r="BR5" s="136" t="str">
        <f t="shared" si="1"/>
        <v xml:space="preserve"> </v>
      </c>
      <c r="BS5" s="136" t="str">
        <f t="shared" si="1"/>
        <v xml:space="preserve"> </v>
      </c>
      <c r="BT5" s="136" t="str">
        <f t="shared" si="1"/>
        <v xml:space="preserve"> </v>
      </c>
      <c r="BU5" s="136" t="str">
        <f t="shared" si="1"/>
        <v xml:space="preserve"> </v>
      </c>
      <c r="BV5" s="136" t="str">
        <f t="shared" si="1"/>
        <v xml:space="preserve"> </v>
      </c>
      <c r="BW5" s="136" t="str">
        <f t="shared" si="1"/>
        <v xml:space="preserve"> </v>
      </c>
      <c r="BX5" s="136" t="str">
        <f t="shared" si="1"/>
        <v xml:space="preserve"> </v>
      </c>
      <c r="BY5" s="136" t="str">
        <f t="shared" si="1"/>
        <v xml:space="preserve"> </v>
      </c>
      <c r="BZ5" s="136" t="str">
        <f t="shared" si="1"/>
        <v xml:space="preserve"> </v>
      </c>
      <c r="CA5" s="136" t="str">
        <f t="shared" si="2"/>
        <v xml:space="preserve"> </v>
      </c>
      <c r="CB5" s="136" t="str">
        <f t="shared" si="2"/>
        <v xml:space="preserve"> </v>
      </c>
      <c r="CC5" s="136" t="str">
        <f t="shared" si="2"/>
        <v xml:space="preserve"> </v>
      </c>
      <c r="CD5" s="136" t="str">
        <f t="shared" si="2"/>
        <v xml:space="preserve"> </v>
      </c>
      <c r="CE5" s="136" t="str">
        <f t="shared" si="2"/>
        <v xml:space="preserve"> </v>
      </c>
      <c r="CF5" s="136" t="str">
        <f t="shared" si="2"/>
        <v xml:space="preserve"> </v>
      </c>
      <c r="CG5" s="136" t="str">
        <f t="shared" si="2"/>
        <v xml:space="preserve"> </v>
      </c>
      <c r="CH5" s="136" t="str">
        <f t="shared" si="2"/>
        <v xml:space="preserve"> </v>
      </c>
    </row>
    <row r="6" spans="2:86" x14ac:dyDescent="0.25">
      <c r="B6" s="75"/>
      <c r="C6" s="75"/>
      <c r="D6" s="75"/>
      <c r="E6" s="75"/>
      <c r="F6" s="75"/>
      <c r="G6" s="75"/>
      <c r="H6" s="75"/>
      <c r="Q6" s="81" t="s">
        <v>148</v>
      </c>
      <c r="R6" s="82" t="str">
        <f>IF(ISNUMBER([0]!h),"",Tools1!Q6)</f>
        <v>Shallow water depth</v>
      </c>
      <c r="S6" s="82">
        <f>IF(ISNUMBER([0]!h),1,0)</f>
        <v>0</v>
      </c>
      <c r="T6" s="83"/>
      <c r="V6" s="74"/>
      <c r="W6" s="74"/>
      <c r="X6" s="74"/>
      <c r="Y6" s="74"/>
      <c r="Z6" s="74">
        <v>0.8</v>
      </c>
      <c r="AA6" s="74"/>
      <c r="AB6" s="74"/>
      <c r="AC6" s="74"/>
      <c r="AD6" s="74" t="e">
        <f>IF('G&amp;H'!$A$63,AD7,NA())</f>
        <v>#N/A</v>
      </c>
      <c r="AE6" s="74"/>
      <c r="AG6" s="135" t="e">
        <f t="shared" si="3"/>
        <v>#N/A</v>
      </c>
      <c r="AH6" s="136">
        <v>5</v>
      </c>
      <c r="AI6" s="137"/>
      <c r="AJ6" s="138"/>
      <c r="AK6" s="138"/>
      <c r="AL6" s="138"/>
      <c r="AM6" s="138"/>
      <c r="AN6" s="138"/>
      <c r="AO6" s="138"/>
      <c r="AP6" s="138"/>
      <c r="AQ6" s="138"/>
      <c r="AR6" s="138"/>
      <c r="AS6" s="138"/>
      <c r="AT6" s="138"/>
      <c r="AU6" s="138"/>
      <c r="AV6" s="138"/>
      <c r="AW6" s="138"/>
      <c r="AX6" s="138"/>
      <c r="AY6" s="138"/>
      <c r="AZ6" s="138"/>
      <c r="BA6" s="138"/>
      <c r="BB6" s="138"/>
      <c r="BC6" s="138"/>
      <c r="BD6" s="138"/>
      <c r="BE6" s="138"/>
      <c r="BF6" s="138"/>
      <c r="BG6" s="136" t="b">
        <f t="shared" si="4"/>
        <v>0</v>
      </c>
      <c r="BH6" s="136">
        <f>ROW()</f>
        <v>6</v>
      </c>
      <c r="BI6" s="136">
        <v>5</v>
      </c>
      <c r="BJ6" s="136" t="str">
        <f t="shared" si="5"/>
        <v>NA</v>
      </c>
      <c r="BK6" s="136" t="e">
        <f t="shared" si="6"/>
        <v>#N/A</v>
      </c>
      <c r="BL6" s="136" t="str">
        <f t="shared" si="1"/>
        <v xml:space="preserve"> </v>
      </c>
      <c r="BM6" s="136" t="str">
        <f t="shared" si="1"/>
        <v xml:space="preserve"> </v>
      </c>
      <c r="BN6" s="136" t="str">
        <f t="shared" si="1"/>
        <v xml:space="preserve"> </v>
      </c>
      <c r="BO6" s="136" t="str">
        <f t="shared" si="1"/>
        <v xml:space="preserve"> </v>
      </c>
      <c r="BP6" s="136" t="str">
        <f t="shared" si="1"/>
        <v xml:space="preserve"> </v>
      </c>
      <c r="BQ6" s="136" t="str">
        <f t="shared" si="1"/>
        <v xml:space="preserve"> </v>
      </c>
      <c r="BR6" s="136" t="str">
        <f t="shared" si="1"/>
        <v xml:space="preserve"> </v>
      </c>
      <c r="BS6" s="136" t="str">
        <f t="shared" si="1"/>
        <v xml:space="preserve"> </v>
      </c>
      <c r="BT6" s="136" t="str">
        <f t="shared" si="1"/>
        <v xml:space="preserve"> </v>
      </c>
      <c r="BU6" s="136" t="str">
        <f t="shared" si="1"/>
        <v xml:space="preserve"> </v>
      </c>
      <c r="BV6" s="136" t="str">
        <f t="shared" si="1"/>
        <v xml:space="preserve"> </v>
      </c>
      <c r="BW6" s="136" t="str">
        <f t="shared" si="1"/>
        <v xml:space="preserve"> </v>
      </c>
      <c r="BX6" s="136" t="str">
        <f t="shared" si="1"/>
        <v xml:space="preserve"> </v>
      </c>
      <c r="BY6" s="136" t="str">
        <f t="shared" si="1"/>
        <v xml:space="preserve"> </v>
      </c>
      <c r="BZ6" s="136" t="str">
        <f t="shared" si="1"/>
        <v xml:space="preserve"> </v>
      </c>
      <c r="CA6" s="136" t="str">
        <f t="shared" si="2"/>
        <v xml:space="preserve"> </v>
      </c>
      <c r="CB6" s="136" t="str">
        <f t="shared" si="2"/>
        <v xml:space="preserve"> </v>
      </c>
      <c r="CC6" s="136" t="str">
        <f t="shared" si="2"/>
        <v xml:space="preserve"> </v>
      </c>
      <c r="CD6" s="136" t="str">
        <f t="shared" si="2"/>
        <v xml:space="preserve"> </v>
      </c>
      <c r="CE6" s="136" t="str">
        <f t="shared" si="2"/>
        <v xml:space="preserve"> </v>
      </c>
      <c r="CF6" s="136" t="str">
        <f t="shared" si="2"/>
        <v xml:space="preserve"> </v>
      </c>
      <c r="CG6" s="136" t="str">
        <f t="shared" si="2"/>
        <v xml:space="preserve"> </v>
      </c>
      <c r="CH6" s="136" t="str">
        <f t="shared" si="2"/>
        <v xml:space="preserve"> </v>
      </c>
    </row>
    <row r="7" spans="2:86" x14ac:dyDescent="0.25">
      <c r="B7" s="75"/>
      <c r="C7" s="75"/>
      <c r="D7" s="76">
        <v>3</v>
      </c>
      <c r="E7" s="76">
        <v>0.1</v>
      </c>
      <c r="F7" s="76">
        <f>'G&amp;H'!C39</f>
        <v>0.19417693517095749</v>
      </c>
      <c r="G7" s="76">
        <f>F7</f>
        <v>0.19417693517095749</v>
      </c>
      <c r="H7" s="75"/>
      <c r="Q7" s="81"/>
      <c r="R7" s="82"/>
      <c r="S7" s="82"/>
      <c r="T7" s="83"/>
      <c r="V7" s="74"/>
      <c r="W7" s="74"/>
      <c r="X7" s="74"/>
      <c r="Y7" s="74"/>
      <c r="Z7" s="74">
        <v>0.15720000000000001</v>
      </c>
      <c r="AA7" s="74">
        <v>0</v>
      </c>
      <c r="AB7" s="74" t="e">
        <f>IF(OR('G&amp;H'!$C$67=$Z6,'G&amp;H'!$C$68=$Z6),Z7,NA())</f>
        <v>#N/A</v>
      </c>
      <c r="AC7" s="74" t="e">
        <f>IF(OR('G&amp;H'!$C$67=$Z6,'G&amp;H'!$C$68=$Z6),AA7,NA())</f>
        <v>#N/A</v>
      </c>
      <c r="AD7" s="74" t="e">
        <f>IF('G&amp;H'!$A$63,AD8,NA())</f>
        <v>#N/A</v>
      </c>
      <c r="AE7" s="74"/>
      <c r="AG7" s="135" t="e">
        <f t="shared" si="3"/>
        <v>#N/A</v>
      </c>
      <c r="AH7" s="136">
        <v>6</v>
      </c>
      <c r="AI7" s="138"/>
      <c r="AJ7" s="138"/>
      <c r="AK7" s="138"/>
      <c r="AL7" s="138"/>
      <c r="AM7" s="138"/>
      <c r="AN7" s="138"/>
      <c r="AO7" s="138"/>
      <c r="AP7" s="138"/>
      <c r="AQ7" s="138"/>
      <c r="AR7" s="138"/>
      <c r="AS7" s="138"/>
      <c r="AT7" s="138"/>
      <c r="AU7" s="138"/>
      <c r="AV7" s="138"/>
      <c r="AW7" s="138"/>
      <c r="AX7" s="138"/>
      <c r="AY7" s="138"/>
      <c r="AZ7" s="138"/>
      <c r="BA7" s="138"/>
      <c r="BB7" s="138"/>
      <c r="BC7" s="138"/>
      <c r="BD7" s="138"/>
      <c r="BE7" s="138"/>
      <c r="BF7" s="138"/>
      <c r="BG7" s="136" t="b">
        <f t="shared" si="4"/>
        <v>0</v>
      </c>
      <c r="BH7" s="136">
        <f>ROW()</f>
        <v>7</v>
      </c>
      <c r="BI7" s="136">
        <v>6</v>
      </c>
      <c r="BJ7" s="136" t="str">
        <f t="shared" si="5"/>
        <v>NA</v>
      </c>
      <c r="BK7" s="136" t="e">
        <f t="shared" si="6"/>
        <v>#N/A</v>
      </c>
      <c r="BL7" s="136" t="str">
        <f t="shared" si="1"/>
        <v xml:space="preserve"> </v>
      </c>
      <c r="BM7" s="136" t="str">
        <f t="shared" si="1"/>
        <v xml:space="preserve"> </v>
      </c>
      <c r="BN7" s="136" t="str">
        <f t="shared" si="1"/>
        <v xml:space="preserve"> </v>
      </c>
      <c r="BO7" s="136" t="str">
        <f t="shared" si="1"/>
        <v xml:space="preserve"> </v>
      </c>
      <c r="BP7" s="136" t="str">
        <f t="shared" si="1"/>
        <v xml:space="preserve"> </v>
      </c>
      <c r="BQ7" s="136" t="str">
        <f t="shared" si="1"/>
        <v xml:space="preserve"> </v>
      </c>
      <c r="BR7" s="136" t="str">
        <f t="shared" si="1"/>
        <v xml:space="preserve"> </v>
      </c>
      <c r="BS7" s="136" t="str">
        <f t="shared" si="1"/>
        <v xml:space="preserve"> </v>
      </c>
      <c r="BT7" s="136" t="str">
        <f t="shared" si="1"/>
        <v xml:space="preserve"> </v>
      </c>
      <c r="BU7" s="136" t="str">
        <f t="shared" si="1"/>
        <v xml:space="preserve"> </v>
      </c>
      <c r="BV7" s="136" t="str">
        <f t="shared" si="1"/>
        <v xml:space="preserve"> </v>
      </c>
      <c r="BW7" s="136" t="str">
        <f t="shared" si="1"/>
        <v xml:space="preserve"> </v>
      </c>
      <c r="BX7" s="136" t="str">
        <f t="shared" si="1"/>
        <v xml:space="preserve"> </v>
      </c>
      <c r="BY7" s="136" t="str">
        <f t="shared" si="1"/>
        <v xml:space="preserve"> </v>
      </c>
      <c r="BZ7" s="136" t="str">
        <f t="shared" si="1"/>
        <v xml:space="preserve"> </v>
      </c>
      <c r="CA7" s="136" t="str">
        <f t="shared" si="2"/>
        <v xml:space="preserve"> </v>
      </c>
      <c r="CB7" s="136" t="str">
        <f t="shared" si="2"/>
        <v xml:space="preserve"> </v>
      </c>
      <c r="CC7" s="136" t="str">
        <f t="shared" si="2"/>
        <v xml:space="preserve"> </v>
      </c>
      <c r="CD7" s="136" t="str">
        <f t="shared" si="2"/>
        <v xml:space="preserve"> </v>
      </c>
      <c r="CE7" s="136" t="str">
        <f t="shared" si="2"/>
        <v xml:space="preserve"> </v>
      </c>
      <c r="CF7" s="136" t="str">
        <f t="shared" si="2"/>
        <v xml:space="preserve"> </v>
      </c>
      <c r="CG7" s="136" t="str">
        <f t="shared" si="2"/>
        <v xml:space="preserve"> </v>
      </c>
      <c r="CH7" s="136" t="str">
        <f t="shared" si="2"/>
        <v xml:space="preserve"> </v>
      </c>
    </row>
    <row r="8" spans="2:86" x14ac:dyDescent="0.25">
      <c r="B8" s="75"/>
      <c r="C8" s="75"/>
      <c r="D8" s="76">
        <v>-3</v>
      </c>
      <c r="E8" s="76">
        <f>'G&amp;H'!C59</f>
        <v>0.87419588598166476</v>
      </c>
      <c r="F8" s="76">
        <f>E8</f>
        <v>0.87419588598166476</v>
      </c>
      <c r="G8" s="76">
        <v>-3</v>
      </c>
      <c r="H8" s="75"/>
      <c r="Q8" s="84"/>
      <c r="R8" s="85" t="s">
        <v>149</v>
      </c>
      <c r="S8" s="86" t="str">
        <f>IF(S5+S6=2,"",IF(S5+S6=1,CONCATENATE("Enter ",R5,R6),IF(S5+S6=0,CONCATENATE("Enter ",Q5," and ",Q6),"")))</f>
        <v>Enter Shallow water depth</v>
      </c>
      <c r="T8" s="87" t="str">
        <f>IF(ISNUMBER(AMID),"","Midship area not available")</f>
        <v/>
      </c>
      <c r="V8" s="74"/>
      <c r="W8" s="74"/>
      <c r="X8" s="74"/>
      <c r="Y8" s="74"/>
      <c r="Z8" s="74">
        <v>0.24759999999999999</v>
      </c>
      <c r="AA8" s="74">
        <v>0.55100000000000005</v>
      </c>
      <c r="AB8" s="74" t="e">
        <f>IF(OR('G&amp;H'!$C$67=$Z6,'G&amp;H'!$C$68=$Z6),Z8,NA())</f>
        <v>#N/A</v>
      </c>
      <c r="AC8" s="74" t="e">
        <f>IF(OR('G&amp;H'!$C$67=$Z6,'G&amp;H'!$C$68=$Z6),AA8,NA())</f>
        <v>#N/A</v>
      </c>
      <c r="AD8" s="80" t="e">
        <f>IF(OR('G&amp;H'!$C$67=$Z6,'G&amp;H'!$C$68=$Z6),AA8/(Z8-Z7)*('G&amp;H'!Fn-Z7),NA())</f>
        <v>#N/A</v>
      </c>
      <c r="AE8" s="74"/>
      <c r="AG8" s="135" t="e">
        <f t="shared" si="3"/>
        <v>#N/A</v>
      </c>
      <c r="AH8" s="136">
        <v>7</v>
      </c>
      <c r="AI8" s="138"/>
      <c r="AJ8" s="138"/>
      <c r="AK8" s="138"/>
      <c r="AL8" s="138"/>
      <c r="AM8" s="138"/>
      <c r="AN8" s="138"/>
      <c r="AO8" s="138"/>
      <c r="AP8" s="138"/>
      <c r="AQ8" s="138"/>
      <c r="AR8" s="138"/>
      <c r="AS8" s="138"/>
      <c r="AT8" s="138"/>
      <c r="AU8" s="138"/>
      <c r="AV8" s="138"/>
      <c r="AW8" s="138"/>
      <c r="AX8" s="138"/>
      <c r="AY8" s="138"/>
      <c r="AZ8" s="138"/>
      <c r="BA8" s="138"/>
      <c r="BB8" s="138"/>
      <c r="BC8" s="138"/>
      <c r="BD8" s="138"/>
      <c r="BE8" s="138"/>
      <c r="BF8" s="138"/>
      <c r="BG8" s="136" t="b">
        <f t="shared" si="4"/>
        <v>0</v>
      </c>
      <c r="BH8" s="136">
        <f>ROW()</f>
        <v>8</v>
      </c>
      <c r="BI8" s="136">
        <v>7</v>
      </c>
      <c r="BJ8" s="136" t="str">
        <f t="shared" si="5"/>
        <v>NA</v>
      </c>
      <c r="BK8" s="136" t="e">
        <f t="shared" si="6"/>
        <v>#N/A</v>
      </c>
      <c r="BL8" s="136" t="str">
        <f t="shared" si="1"/>
        <v xml:space="preserve"> </v>
      </c>
      <c r="BM8" s="136" t="str">
        <f t="shared" si="1"/>
        <v xml:space="preserve"> </v>
      </c>
      <c r="BN8" s="136" t="str">
        <f t="shared" si="1"/>
        <v xml:space="preserve"> </v>
      </c>
      <c r="BO8" s="136" t="str">
        <f t="shared" si="1"/>
        <v xml:space="preserve"> </v>
      </c>
      <c r="BP8" s="136" t="str">
        <f t="shared" si="1"/>
        <v xml:space="preserve"> </v>
      </c>
      <c r="BQ8" s="136" t="str">
        <f t="shared" si="1"/>
        <v xml:space="preserve"> </v>
      </c>
      <c r="BR8" s="136" t="str">
        <f t="shared" si="1"/>
        <v xml:space="preserve"> </v>
      </c>
      <c r="BS8" s="136" t="str">
        <f t="shared" si="1"/>
        <v xml:space="preserve"> </v>
      </c>
      <c r="BT8" s="136" t="str">
        <f t="shared" si="1"/>
        <v xml:space="preserve"> </v>
      </c>
      <c r="BU8" s="136" t="str">
        <f t="shared" si="1"/>
        <v xml:space="preserve"> </v>
      </c>
      <c r="BV8" s="136" t="str">
        <f t="shared" si="1"/>
        <v xml:space="preserve"> </v>
      </c>
      <c r="BW8" s="136" t="str">
        <f t="shared" si="1"/>
        <v xml:space="preserve"> </v>
      </c>
      <c r="BX8" s="136" t="str">
        <f t="shared" si="1"/>
        <v xml:space="preserve"> </v>
      </c>
      <c r="BY8" s="136" t="str">
        <f t="shared" si="1"/>
        <v xml:space="preserve"> </v>
      </c>
      <c r="BZ8" s="136" t="str">
        <f t="shared" si="1"/>
        <v xml:space="preserve"> </v>
      </c>
      <c r="CA8" s="136" t="str">
        <f t="shared" si="2"/>
        <v xml:space="preserve"> </v>
      </c>
      <c r="CB8" s="136" t="str">
        <f t="shared" si="2"/>
        <v xml:space="preserve"> </v>
      </c>
      <c r="CC8" s="136" t="str">
        <f t="shared" si="2"/>
        <v xml:space="preserve"> </v>
      </c>
      <c r="CD8" s="136" t="str">
        <f t="shared" si="2"/>
        <v xml:space="preserve"> </v>
      </c>
      <c r="CE8" s="136" t="str">
        <f t="shared" si="2"/>
        <v xml:space="preserve"> </v>
      </c>
      <c r="CF8" s="136" t="str">
        <f t="shared" si="2"/>
        <v xml:space="preserve"> </v>
      </c>
      <c r="CG8" s="136" t="str">
        <f t="shared" si="2"/>
        <v xml:space="preserve"> </v>
      </c>
      <c r="CH8" s="136" t="str">
        <f t="shared" si="2"/>
        <v xml:space="preserve"> </v>
      </c>
    </row>
    <row r="9" spans="2:86" x14ac:dyDescent="0.25">
      <c r="B9" s="75"/>
      <c r="C9" s="75"/>
      <c r="D9" s="76">
        <v>0.08</v>
      </c>
      <c r="E9" s="76">
        <v>0.105</v>
      </c>
      <c r="F9" s="76">
        <f>0.145</f>
        <v>0.14499999999999999</v>
      </c>
      <c r="G9" s="75"/>
      <c r="H9" s="75"/>
      <c r="M9">
        <v>4</v>
      </c>
      <c r="N9" s="88">
        <v>1</v>
      </c>
      <c r="V9" s="74"/>
      <c r="W9" s="74"/>
      <c r="X9" s="74"/>
      <c r="Y9" s="74"/>
      <c r="Z9" s="74"/>
      <c r="AA9" s="74"/>
      <c r="AB9" s="74"/>
      <c r="AC9" s="74"/>
      <c r="AD9" s="74"/>
      <c r="AE9" s="74"/>
      <c r="AG9" s="135" t="e">
        <f t="shared" si="3"/>
        <v>#N/A</v>
      </c>
      <c r="AH9" s="136">
        <v>8</v>
      </c>
      <c r="AI9" s="138"/>
      <c r="AJ9" s="138"/>
      <c r="AK9" s="138"/>
      <c r="AL9" s="138"/>
      <c r="AM9" s="138"/>
      <c r="AN9" s="138"/>
      <c r="AO9" s="138"/>
      <c r="AP9" s="138"/>
      <c r="AQ9" s="138"/>
      <c r="AR9" s="138"/>
      <c r="AS9" s="138"/>
      <c r="AT9" s="138"/>
      <c r="AU9" s="138"/>
      <c r="AV9" s="138"/>
      <c r="AW9" s="138"/>
      <c r="AX9" s="138"/>
      <c r="AY9" s="138"/>
      <c r="AZ9" s="138"/>
      <c r="BA9" s="138"/>
      <c r="BB9" s="138"/>
      <c r="BC9" s="138"/>
      <c r="BD9" s="138"/>
      <c r="BE9" s="138"/>
      <c r="BF9" s="138"/>
      <c r="BG9" s="136" t="b">
        <f t="shared" si="4"/>
        <v>0</v>
      </c>
      <c r="BH9" s="136">
        <f>ROW()</f>
        <v>9</v>
      </c>
      <c r="BI9" s="136">
        <v>8</v>
      </c>
      <c r="BJ9" s="136" t="str">
        <f t="shared" si="5"/>
        <v>NA</v>
      </c>
      <c r="BK9" s="136" t="e">
        <f t="shared" si="6"/>
        <v>#N/A</v>
      </c>
      <c r="BL9" s="136" t="str">
        <f t="shared" si="1"/>
        <v xml:space="preserve"> </v>
      </c>
      <c r="BM9" s="136" t="str">
        <f t="shared" si="1"/>
        <v xml:space="preserve"> </v>
      </c>
      <c r="BN9" s="136" t="str">
        <f t="shared" si="1"/>
        <v xml:space="preserve"> </v>
      </c>
      <c r="BO9" s="136" t="str">
        <f t="shared" si="1"/>
        <v xml:space="preserve"> </v>
      </c>
      <c r="BP9" s="136" t="str">
        <f t="shared" si="1"/>
        <v xml:space="preserve"> </v>
      </c>
      <c r="BQ9" s="136" t="str">
        <f t="shared" si="1"/>
        <v xml:space="preserve"> </v>
      </c>
      <c r="BR9" s="136" t="str">
        <f t="shared" si="1"/>
        <v xml:space="preserve"> </v>
      </c>
      <c r="BS9" s="136" t="str">
        <f t="shared" si="1"/>
        <v xml:space="preserve"> </v>
      </c>
      <c r="BT9" s="136" t="str">
        <f t="shared" si="1"/>
        <v xml:space="preserve"> </v>
      </c>
      <c r="BU9" s="136" t="str">
        <f t="shared" si="1"/>
        <v xml:space="preserve"> </v>
      </c>
      <c r="BV9" s="136" t="str">
        <f t="shared" si="1"/>
        <v xml:space="preserve"> </v>
      </c>
      <c r="BW9" s="136" t="str">
        <f t="shared" si="1"/>
        <v xml:space="preserve"> </v>
      </c>
      <c r="BX9" s="136" t="str">
        <f t="shared" si="1"/>
        <v xml:space="preserve"> </v>
      </c>
      <c r="BY9" s="136" t="str">
        <f t="shared" si="1"/>
        <v xml:space="preserve"> </v>
      </c>
      <c r="BZ9" s="136" t="str">
        <f t="shared" si="1"/>
        <v xml:space="preserve"> </v>
      </c>
      <c r="CA9" s="136" t="str">
        <f t="shared" si="2"/>
        <v xml:space="preserve"> </v>
      </c>
      <c r="CB9" s="136" t="str">
        <f t="shared" si="2"/>
        <v xml:space="preserve"> </v>
      </c>
      <c r="CC9" s="136" t="str">
        <f t="shared" si="2"/>
        <v xml:space="preserve"> </v>
      </c>
      <c r="CD9" s="136" t="str">
        <f t="shared" si="2"/>
        <v xml:space="preserve"> </v>
      </c>
      <c r="CE9" s="136" t="str">
        <f t="shared" si="2"/>
        <v xml:space="preserve"> </v>
      </c>
      <c r="CF9" s="136" t="str">
        <f t="shared" si="2"/>
        <v xml:space="preserve"> </v>
      </c>
      <c r="CG9" s="136" t="str">
        <f t="shared" si="2"/>
        <v xml:space="preserve"> </v>
      </c>
      <c r="CH9" s="136" t="str">
        <f t="shared" si="2"/>
        <v xml:space="preserve"> </v>
      </c>
    </row>
    <row r="10" spans="2:86" x14ac:dyDescent="0.25">
      <c r="B10" s="75"/>
      <c r="C10" s="75"/>
      <c r="D10" s="76">
        <f>LCB/LBP*100</f>
        <v>-1.4449939385104233</v>
      </c>
      <c r="E10" s="76">
        <f>D10</f>
        <v>-1.4449939385104233</v>
      </c>
      <c r="F10" s="76">
        <v>0.2838</v>
      </c>
      <c r="G10" s="75"/>
      <c r="H10" s="75"/>
      <c r="M10">
        <v>4.5</v>
      </c>
      <c r="N10" s="88">
        <v>1</v>
      </c>
      <c r="V10" s="74"/>
      <c r="W10" s="74"/>
      <c r="X10" s="74"/>
      <c r="Y10" s="74"/>
      <c r="Z10" s="74">
        <v>0.75</v>
      </c>
      <c r="AA10" s="74"/>
      <c r="AB10" s="74"/>
      <c r="AC10" s="74"/>
      <c r="AD10" s="74" t="e">
        <f>IF('G&amp;H'!$A$63,AD11,NA())</f>
        <v>#N/A</v>
      </c>
      <c r="AE10" s="74"/>
      <c r="AG10" s="135" t="e">
        <f t="shared" si="3"/>
        <v>#N/A</v>
      </c>
      <c r="AH10" s="136">
        <v>9</v>
      </c>
      <c r="AI10" s="138"/>
      <c r="AJ10" s="138"/>
      <c r="AK10" s="138"/>
      <c r="AL10" s="138"/>
      <c r="AM10" s="138"/>
      <c r="AN10" s="138"/>
      <c r="AO10" s="138"/>
      <c r="AP10" s="138"/>
      <c r="AQ10" s="138"/>
      <c r="AR10" s="138"/>
      <c r="AS10" s="138"/>
      <c r="AT10" s="138"/>
      <c r="AU10" s="138"/>
      <c r="AV10" s="138"/>
      <c r="AW10" s="138"/>
      <c r="AX10" s="138"/>
      <c r="AY10" s="138"/>
      <c r="AZ10" s="138"/>
      <c r="BA10" s="138"/>
      <c r="BB10" s="138"/>
      <c r="BC10" s="138"/>
      <c r="BD10" s="138"/>
      <c r="BE10" s="138"/>
      <c r="BF10" s="138"/>
      <c r="BG10" s="136" t="b">
        <f t="shared" si="4"/>
        <v>0</v>
      </c>
      <c r="BH10" s="136">
        <f>ROW()</f>
        <v>10</v>
      </c>
      <c r="BI10" s="136">
        <v>9</v>
      </c>
      <c r="BJ10" s="136" t="str">
        <f t="shared" si="5"/>
        <v>NA</v>
      </c>
      <c r="BK10" s="136" t="e">
        <f t="shared" si="6"/>
        <v>#N/A</v>
      </c>
      <c r="BL10" s="136" t="str">
        <f t="shared" si="1"/>
        <v xml:space="preserve"> </v>
      </c>
      <c r="BM10" s="136" t="str">
        <f t="shared" si="1"/>
        <v xml:space="preserve"> </v>
      </c>
      <c r="BN10" s="136" t="str">
        <f t="shared" si="1"/>
        <v xml:space="preserve"> </v>
      </c>
      <c r="BO10" s="136" t="str">
        <f t="shared" si="1"/>
        <v xml:space="preserve"> </v>
      </c>
      <c r="BP10" s="136" t="str">
        <f t="shared" si="1"/>
        <v xml:space="preserve"> </v>
      </c>
      <c r="BQ10" s="136" t="str">
        <f t="shared" si="1"/>
        <v xml:space="preserve"> </v>
      </c>
      <c r="BR10" s="136" t="str">
        <f t="shared" si="1"/>
        <v xml:space="preserve"> </v>
      </c>
      <c r="BS10" s="136" t="str">
        <f t="shared" si="1"/>
        <v xml:space="preserve"> </v>
      </c>
      <c r="BT10" s="136" t="str">
        <f t="shared" si="1"/>
        <v xml:space="preserve"> </v>
      </c>
      <c r="BU10" s="136" t="str">
        <f t="shared" si="1"/>
        <v xml:space="preserve"> </v>
      </c>
      <c r="BV10" s="136" t="str">
        <f t="shared" si="1"/>
        <v xml:space="preserve"> </v>
      </c>
      <c r="BW10" s="136" t="str">
        <f t="shared" si="1"/>
        <v xml:space="preserve"> </v>
      </c>
      <c r="BX10" s="136" t="str">
        <f t="shared" si="1"/>
        <v xml:space="preserve"> </v>
      </c>
      <c r="BY10" s="136" t="str">
        <f t="shared" si="1"/>
        <v xml:space="preserve"> </v>
      </c>
      <c r="BZ10" s="136" t="str">
        <f t="shared" si="1"/>
        <v xml:space="preserve"> </v>
      </c>
      <c r="CA10" s="136" t="str">
        <f t="shared" si="2"/>
        <v xml:space="preserve"> </v>
      </c>
      <c r="CB10" s="136" t="str">
        <f t="shared" si="2"/>
        <v xml:space="preserve"> </v>
      </c>
      <c r="CC10" s="136" t="str">
        <f t="shared" si="2"/>
        <v xml:space="preserve"> </v>
      </c>
      <c r="CD10" s="136" t="str">
        <f t="shared" si="2"/>
        <v xml:space="preserve"> </v>
      </c>
      <c r="CE10" s="136" t="str">
        <f t="shared" si="2"/>
        <v xml:space="preserve"> </v>
      </c>
      <c r="CF10" s="136" t="str">
        <f t="shared" si="2"/>
        <v xml:space="preserve"> </v>
      </c>
      <c r="CG10" s="136" t="str">
        <f t="shared" si="2"/>
        <v xml:space="preserve"> </v>
      </c>
      <c r="CH10" s="136" t="str">
        <f t="shared" si="2"/>
        <v xml:space="preserve"> </v>
      </c>
    </row>
    <row r="11" spans="2:86" x14ac:dyDescent="0.25">
      <c r="B11" s="75"/>
      <c r="C11" s="75"/>
      <c r="D11" s="75"/>
      <c r="E11" s="75"/>
      <c r="F11" s="75"/>
      <c r="G11" s="75"/>
      <c r="H11" s="75"/>
      <c r="M11">
        <v>5</v>
      </c>
      <c r="N11" s="88">
        <v>1</v>
      </c>
      <c r="V11" s="74"/>
      <c r="W11" s="74"/>
      <c r="X11" s="74"/>
      <c r="Y11" s="74"/>
      <c r="Z11" s="74">
        <v>0.17774999999999999</v>
      </c>
      <c r="AA11" s="74">
        <v>0</v>
      </c>
      <c r="AB11" s="74" t="e">
        <f>IF(OR('G&amp;H'!$C$67=$Z10,'G&amp;H'!$C$68=$Z10),Z11,NA())</f>
        <v>#N/A</v>
      </c>
      <c r="AC11" s="74" t="e">
        <f>IF(OR('G&amp;H'!$C$67=$Z10,'G&amp;H'!$C$68=$Z10),AA11,NA())</f>
        <v>#N/A</v>
      </c>
      <c r="AD11" s="74" t="e">
        <f>IF('G&amp;H'!$A$63,AD12,NA())</f>
        <v>#N/A</v>
      </c>
      <c r="AE11" s="74"/>
      <c r="AG11" s="135" t="e">
        <f t="shared" si="3"/>
        <v>#N/A</v>
      </c>
      <c r="AH11" s="136">
        <v>10</v>
      </c>
      <c r="AI11" s="138"/>
      <c r="AJ11" s="138"/>
      <c r="AK11" s="138"/>
      <c r="AL11" s="138"/>
      <c r="AM11" s="138"/>
      <c r="AN11" s="138"/>
      <c r="AO11" s="138"/>
      <c r="AP11" s="138"/>
      <c r="AQ11" s="138"/>
      <c r="AR11" s="138"/>
      <c r="AS11" s="138"/>
      <c r="AT11" s="138"/>
      <c r="AU11" s="138"/>
      <c r="AV11" s="138"/>
      <c r="AW11" s="138"/>
      <c r="AX11" s="138"/>
      <c r="AY11" s="138"/>
      <c r="AZ11" s="138"/>
      <c r="BA11" s="138"/>
      <c r="BB11" s="138"/>
      <c r="BC11" s="138"/>
      <c r="BD11" s="138"/>
      <c r="BE11" s="138"/>
      <c r="BF11" s="138"/>
      <c r="BG11" s="136" t="b">
        <f t="shared" si="4"/>
        <v>0</v>
      </c>
      <c r="BH11" s="136">
        <f>ROW()</f>
        <v>11</v>
      </c>
      <c r="BI11" s="136">
        <v>10</v>
      </c>
      <c r="BJ11" s="136" t="str">
        <f t="shared" si="5"/>
        <v>NA</v>
      </c>
      <c r="BK11" s="136" t="e">
        <f t="shared" si="6"/>
        <v>#N/A</v>
      </c>
      <c r="BL11" s="136" t="str">
        <f t="shared" si="1"/>
        <v xml:space="preserve"> </v>
      </c>
      <c r="BM11" s="136" t="str">
        <f t="shared" si="1"/>
        <v xml:space="preserve"> </v>
      </c>
      <c r="BN11" s="136" t="str">
        <f t="shared" si="1"/>
        <v xml:space="preserve"> </v>
      </c>
      <c r="BO11" s="136" t="str">
        <f t="shared" si="1"/>
        <v xml:space="preserve"> </v>
      </c>
      <c r="BP11" s="136" t="str">
        <f t="shared" si="1"/>
        <v xml:space="preserve"> </v>
      </c>
      <c r="BQ11" s="136" t="str">
        <f t="shared" si="1"/>
        <v xml:space="preserve"> </v>
      </c>
      <c r="BR11" s="136" t="str">
        <f t="shared" si="1"/>
        <v xml:space="preserve"> </v>
      </c>
      <c r="BS11" s="136" t="str">
        <f t="shared" si="1"/>
        <v xml:space="preserve"> </v>
      </c>
      <c r="BT11" s="136" t="str">
        <f t="shared" si="1"/>
        <v xml:space="preserve"> </v>
      </c>
      <c r="BU11" s="136" t="str">
        <f t="shared" si="1"/>
        <v xml:space="preserve"> </v>
      </c>
      <c r="BV11" s="136" t="str">
        <f t="shared" si="1"/>
        <v xml:space="preserve"> </v>
      </c>
      <c r="BW11" s="136" t="str">
        <f t="shared" si="1"/>
        <v xml:space="preserve"> </v>
      </c>
      <c r="BX11" s="136" t="str">
        <f t="shared" si="1"/>
        <v xml:space="preserve"> </v>
      </c>
      <c r="BY11" s="136" t="str">
        <f t="shared" si="1"/>
        <v xml:space="preserve"> </v>
      </c>
      <c r="BZ11" s="136" t="str">
        <f t="shared" si="1"/>
        <v xml:space="preserve"> </v>
      </c>
      <c r="CA11" s="136" t="str">
        <f t="shared" si="2"/>
        <v xml:space="preserve"> </v>
      </c>
      <c r="CB11" s="136" t="str">
        <f t="shared" si="2"/>
        <v xml:space="preserve"> </v>
      </c>
      <c r="CC11" s="136" t="str">
        <f t="shared" si="2"/>
        <v xml:space="preserve"> </v>
      </c>
      <c r="CD11" s="136" t="str">
        <f t="shared" si="2"/>
        <v xml:space="preserve"> </v>
      </c>
      <c r="CE11" s="136" t="str">
        <f t="shared" si="2"/>
        <v xml:space="preserve"> </v>
      </c>
      <c r="CF11" s="136" t="str">
        <f t="shared" si="2"/>
        <v xml:space="preserve"> </v>
      </c>
      <c r="CG11" s="136" t="str">
        <f t="shared" si="2"/>
        <v xml:space="preserve"> </v>
      </c>
      <c r="CH11" s="136" t="str">
        <f t="shared" si="2"/>
        <v xml:space="preserve"> </v>
      </c>
    </row>
    <row r="12" spans="2:86" x14ac:dyDescent="0.25">
      <c r="B12" s="75"/>
      <c r="C12" s="75"/>
      <c r="D12" s="75"/>
      <c r="E12" s="75"/>
      <c r="F12" s="75"/>
      <c r="G12" s="75"/>
      <c r="H12" s="75"/>
      <c r="M12">
        <v>5.5</v>
      </c>
      <c r="N12" s="88">
        <v>1</v>
      </c>
      <c r="V12" s="74"/>
      <c r="W12" s="74"/>
      <c r="X12" s="74"/>
      <c r="Y12" s="74"/>
      <c r="Z12" s="74">
        <v>0.28000000000000003</v>
      </c>
      <c r="AA12" s="74">
        <v>0.51</v>
      </c>
      <c r="AB12" s="74" t="e">
        <f>IF(OR('G&amp;H'!$C$67=$Z10,'G&amp;H'!$C$68=$Z10),Z12,NA())</f>
        <v>#N/A</v>
      </c>
      <c r="AC12" s="74" t="e">
        <f>IF(OR('G&amp;H'!$C$67=$Z10,'G&amp;H'!$C$68=$Z10),AA12,NA())</f>
        <v>#N/A</v>
      </c>
      <c r="AD12" s="80" t="e">
        <f>IF(OR('G&amp;H'!$C$67=$Z10,'G&amp;H'!$C$68=$Z10),AA12/(Z12-Z11)*('G&amp;H'!Fn-Z11),NA())</f>
        <v>#N/A</v>
      </c>
      <c r="AE12" s="74"/>
      <c r="AG12" s="135" t="e">
        <f t="shared" si="3"/>
        <v>#N/A</v>
      </c>
      <c r="AH12" s="136">
        <v>11</v>
      </c>
      <c r="AI12" s="138"/>
      <c r="AJ12" s="138"/>
      <c r="AK12" s="138"/>
      <c r="AL12" s="138"/>
      <c r="AM12" s="138"/>
      <c r="AN12" s="138"/>
      <c r="AO12" s="138"/>
      <c r="AP12" s="138"/>
      <c r="AQ12" s="138"/>
      <c r="AR12" s="138"/>
      <c r="AS12" s="138"/>
      <c r="AT12" s="138"/>
      <c r="AU12" s="138"/>
      <c r="AV12" s="138"/>
      <c r="AW12" s="138"/>
      <c r="AX12" s="138"/>
      <c r="AY12" s="138"/>
      <c r="AZ12" s="138"/>
      <c r="BA12" s="138"/>
      <c r="BB12" s="138"/>
      <c r="BC12" s="138"/>
      <c r="BD12" s="138"/>
      <c r="BE12" s="138"/>
      <c r="BF12" s="138"/>
      <c r="BG12" s="136" t="b">
        <f t="shared" si="4"/>
        <v>0</v>
      </c>
      <c r="BH12" s="136">
        <f>ROW()</f>
        <v>12</v>
      </c>
      <c r="BI12" s="136">
        <v>11</v>
      </c>
      <c r="BJ12" s="136" t="str">
        <f t="shared" si="5"/>
        <v>NA</v>
      </c>
      <c r="BK12" s="136" t="e">
        <f t="shared" si="6"/>
        <v>#N/A</v>
      </c>
      <c r="BL12" s="136" t="str">
        <f t="shared" si="1"/>
        <v xml:space="preserve"> </v>
      </c>
      <c r="BM12" s="136" t="str">
        <f t="shared" si="1"/>
        <v xml:space="preserve"> </v>
      </c>
      <c r="BN12" s="136" t="str">
        <f t="shared" si="1"/>
        <v xml:space="preserve"> </v>
      </c>
      <c r="BO12" s="136" t="str">
        <f t="shared" si="1"/>
        <v xml:space="preserve"> </v>
      </c>
      <c r="BP12" s="136" t="str">
        <f t="shared" si="1"/>
        <v xml:space="preserve"> </v>
      </c>
      <c r="BQ12" s="136" t="str">
        <f t="shared" si="1"/>
        <v xml:space="preserve"> </v>
      </c>
      <c r="BR12" s="136" t="str">
        <f t="shared" si="1"/>
        <v xml:space="preserve"> </v>
      </c>
      <c r="BS12" s="136" t="str">
        <f t="shared" si="1"/>
        <v xml:space="preserve"> </v>
      </c>
      <c r="BT12" s="136" t="str">
        <f t="shared" si="1"/>
        <v xml:space="preserve"> </v>
      </c>
      <c r="BU12" s="136" t="str">
        <f t="shared" si="1"/>
        <v xml:space="preserve"> </v>
      </c>
      <c r="BV12" s="136" t="str">
        <f t="shared" si="1"/>
        <v xml:space="preserve"> </v>
      </c>
      <c r="BW12" s="136" t="str">
        <f t="shared" si="1"/>
        <v xml:space="preserve"> </v>
      </c>
      <c r="BX12" s="136" t="str">
        <f t="shared" si="1"/>
        <v xml:space="preserve"> </v>
      </c>
      <c r="BY12" s="136" t="str">
        <f t="shared" si="1"/>
        <v xml:space="preserve"> </v>
      </c>
      <c r="BZ12" s="136" t="str">
        <f t="shared" si="1"/>
        <v xml:space="preserve"> </v>
      </c>
      <c r="CA12" s="136" t="str">
        <f t="shared" si="2"/>
        <v xml:space="preserve"> </v>
      </c>
      <c r="CB12" s="136" t="str">
        <f t="shared" si="2"/>
        <v xml:space="preserve"> </v>
      </c>
      <c r="CC12" s="136" t="str">
        <f t="shared" si="2"/>
        <v xml:space="preserve"> </v>
      </c>
      <c r="CD12" s="136" t="str">
        <f t="shared" si="2"/>
        <v xml:space="preserve"> </v>
      </c>
      <c r="CE12" s="136" t="str">
        <f t="shared" si="2"/>
        <v xml:space="preserve"> </v>
      </c>
      <c r="CF12" s="136" t="str">
        <f t="shared" si="2"/>
        <v xml:space="preserve"> </v>
      </c>
      <c r="CG12" s="136" t="str">
        <f t="shared" si="2"/>
        <v xml:space="preserve"> </v>
      </c>
      <c r="CH12" s="136" t="str">
        <f t="shared" si="2"/>
        <v xml:space="preserve"> </v>
      </c>
    </row>
    <row r="13" spans="2:86" ht="19.5" x14ac:dyDescent="0.35">
      <c r="B13" s="75"/>
      <c r="C13" s="89" t="s">
        <v>150</v>
      </c>
      <c r="D13" s="90" t="s">
        <v>151</v>
      </c>
      <c r="E13" s="75"/>
      <c r="F13" s="75"/>
      <c r="G13" s="75"/>
      <c r="H13" s="75"/>
      <c r="M13">
        <v>6</v>
      </c>
      <c r="N13" s="88">
        <v>1</v>
      </c>
      <c r="O13" s="77" t="s">
        <v>152</v>
      </c>
      <c r="P13" s="78"/>
      <c r="Q13" s="78"/>
      <c r="R13" s="78"/>
      <c r="S13" s="78"/>
      <c r="T13" s="79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G13" s="135" t="e">
        <f t="shared" si="3"/>
        <v>#N/A</v>
      </c>
      <c r="AH13" s="136">
        <v>12</v>
      </c>
      <c r="AI13" s="138"/>
      <c r="AJ13" s="138"/>
      <c r="AK13" s="138"/>
      <c r="AL13" s="138"/>
      <c r="AM13" s="138"/>
      <c r="AN13" s="138"/>
      <c r="AO13" s="138"/>
      <c r="AP13" s="138"/>
      <c r="AQ13" s="138"/>
      <c r="AR13" s="138"/>
      <c r="AS13" s="138"/>
      <c r="AT13" s="138"/>
      <c r="AU13" s="138"/>
      <c r="AV13" s="138"/>
      <c r="AW13" s="138"/>
      <c r="AX13" s="138"/>
      <c r="AY13" s="138"/>
      <c r="AZ13" s="138"/>
      <c r="BA13" s="138"/>
      <c r="BB13" s="138"/>
      <c r="BC13" s="138"/>
      <c r="BD13" s="138"/>
      <c r="BE13" s="138"/>
      <c r="BF13" s="138"/>
      <c r="BG13" s="136" t="b">
        <f t="shared" si="4"/>
        <v>0</v>
      </c>
      <c r="BH13" s="136">
        <f>ROW()</f>
        <v>13</v>
      </c>
      <c r="BI13" s="136">
        <v>12</v>
      </c>
      <c r="BJ13" s="136" t="str">
        <f t="shared" si="5"/>
        <v>NA</v>
      </c>
      <c r="BK13" s="136" t="e">
        <f t="shared" si="6"/>
        <v>#N/A</v>
      </c>
      <c r="BL13" s="136" t="str">
        <f t="shared" si="1"/>
        <v xml:space="preserve"> </v>
      </c>
      <c r="BM13" s="136" t="str">
        <f t="shared" si="1"/>
        <v xml:space="preserve"> </v>
      </c>
      <c r="BN13" s="136" t="str">
        <f t="shared" si="1"/>
        <v xml:space="preserve"> </v>
      </c>
      <c r="BO13" s="136" t="str">
        <f t="shared" si="1"/>
        <v xml:space="preserve"> </v>
      </c>
      <c r="BP13" s="136" t="str">
        <f t="shared" si="1"/>
        <v xml:space="preserve"> </v>
      </c>
      <c r="BQ13" s="136" t="str">
        <f t="shared" si="1"/>
        <v xml:space="preserve"> </v>
      </c>
      <c r="BR13" s="136" t="str">
        <f t="shared" si="1"/>
        <v xml:space="preserve"> </v>
      </c>
      <c r="BS13" s="136" t="str">
        <f t="shared" si="1"/>
        <v xml:space="preserve"> </v>
      </c>
      <c r="BT13" s="136" t="str">
        <f t="shared" si="1"/>
        <v xml:space="preserve"> </v>
      </c>
      <c r="BU13" s="136" t="str">
        <f t="shared" si="1"/>
        <v xml:space="preserve"> </v>
      </c>
      <c r="BV13" s="136" t="str">
        <f t="shared" si="1"/>
        <v xml:space="preserve"> </v>
      </c>
      <c r="BW13" s="136" t="str">
        <f t="shared" si="1"/>
        <v xml:space="preserve"> </v>
      </c>
      <c r="BX13" s="136" t="str">
        <f t="shared" si="1"/>
        <v xml:space="preserve"> </v>
      </c>
      <c r="BY13" s="136" t="str">
        <f t="shared" si="1"/>
        <v xml:space="preserve"> </v>
      </c>
      <c r="BZ13" s="136" t="str">
        <f t="shared" si="1"/>
        <v xml:space="preserve"> </v>
      </c>
      <c r="CA13" s="136" t="str">
        <f t="shared" si="2"/>
        <v xml:space="preserve"> </v>
      </c>
      <c r="CB13" s="136" t="str">
        <f t="shared" si="2"/>
        <v xml:space="preserve"> </v>
      </c>
      <c r="CC13" s="136" t="str">
        <f t="shared" si="2"/>
        <v xml:space="preserve"> </v>
      </c>
      <c r="CD13" s="136" t="str">
        <f t="shared" si="2"/>
        <v xml:space="preserve"> </v>
      </c>
      <c r="CE13" s="136" t="str">
        <f t="shared" si="2"/>
        <v xml:space="preserve"> </v>
      </c>
      <c r="CF13" s="136" t="str">
        <f t="shared" si="2"/>
        <v xml:space="preserve"> </v>
      </c>
      <c r="CG13" s="136" t="str">
        <f t="shared" si="2"/>
        <v xml:space="preserve"> </v>
      </c>
      <c r="CH13" s="136" t="str">
        <f t="shared" si="2"/>
        <v xml:space="preserve"> </v>
      </c>
    </row>
    <row r="14" spans="2:86" x14ac:dyDescent="0.25">
      <c r="B14" s="75"/>
      <c r="C14" s="75"/>
      <c r="D14" s="75"/>
      <c r="E14" s="75"/>
      <c r="F14" s="75"/>
      <c r="G14" s="75"/>
      <c r="H14" s="75"/>
      <c r="M14">
        <v>6.5</v>
      </c>
      <c r="N14" s="88">
        <v>1</v>
      </c>
      <c r="O14" s="81"/>
      <c r="P14" s="82"/>
      <c r="Q14" s="82"/>
      <c r="R14" s="82"/>
      <c r="S14" s="82"/>
      <c r="T14" s="83"/>
      <c r="V14" s="74"/>
      <c r="W14" s="74"/>
      <c r="X14" s="74"/>
      <c r="Y14" s="74"/>
      <c r="Z14" s="74">
        <v>0.7</v>
      </c>
      <c r="AA14" s="74"/>
      <c r="AB14" s="74"/>
      <c r="AC14" s="74"/>
      <c r="AD14" s="74" t="e">
        <f>IF('G&amp;H'!$A$63,AD15,NA())</f>
        <v>#N/A</v>
      </c>
      <c r="AE14" s="74"/>
      <c r="AG14" s="135" t="e">
        <f t="shared" si="3"/>
        <v>#N/A</v>
      </c>
      <c r="AH14" s="136">
        <v>13</v>
      </c>
      <c r="AI14" s="138"/>
      <c r="AJ14" s="138"/>
      <c r="AK14" s="138"/>
      <c r="AL14" s="138"/>
      <c r="AM14" s="138"/>
      <c r="AN14" s="138"/>
      <c r="AO14" s="138"/>
      <c r="AP14" s="138"/>
      <c r="AQ14" s="138"/>
      <c r="AR14" s="138"/>
      <c r="AS14" s="138"/>
      <c r="AT14" s="138"/>
      <c r="AU14" s="138"/>
      <c r="AV14" s="138"/>
      <c r="AW14" s="138"/>
      <c r="AX14" s="138"/>
      <c r="AY14" s="138"/>
      <c r="AZ14" s="138"/>
      <c r="BA14" s="138"/>
      <c r="BB14" s="138"/>
      <c r="BC14" s="138"/>
      <c r="BD14" s="138"/>
      <c r="BE14" s="138"/>
      <c r="BF14" s="138"/>
      <c r="BG14" s="136" t="b">
        <f t="shared" si="4"/>
        <v>0</v>
      </c>
      <c r="BH14" s="136">
        <f>ROW()</f>
        <v>14</v>
      </c>
      <c r="BI14" s="136">
        <v>13</v>
      </c>
      <c r="BJ14" s="136" t="str">
        <f t="shared" si="5"/>
        <v>NA</v>
      </c>
      <c r="BK14" s="136" t="e">
        <f t="shared" si="6"/>
        <v>#N/A</v>
      </c>
      <c r="BL14" s="136" t="str">
        <f t="shared" si="1"/>
        <v xml:space="preserve"> </v>
      </c>
      <c r="BM14" s="136" t="str">
        <f t="shared" si="1"/>
        <v xml:space="preserve"> </v>
      </c>
      <c r="BN14" s="136" t="str">
        <f t="shared" si="1"/>
        <v xml:space="preserve"> </v>
      </c>
      <c r="BO14" s="136" t="str">
        <f t="shared" si="1"/>
        <v xml:space="preserve"> </v>
      </c>
      <c r="BP14" s="136" t="str">
        <f t="shared" si="1"/>
        <v xml:space="preserve"> </v>
      </c>
      <c r="BQ14" s="136" t="str">
        <f t="shared" si="1"/>
        <v xml:space="preserve"> </v>
      </c>
      <c r="BR14" s="136" t="str">
        <f t="shared" si="1"/>
        <v xml:space="preserve"> </v>
      </c>
      <c r="BS14" s="136" t="str">
        <f t="shared" si="1"/>
        <v xml:space="preserve"> </v>
      </c>
      <c r="BT14" s="136" t="str">
        <f t="shared" si="1"/>
        <v xml:space="preserve"> </v>
      </c>
      <c r="BU14" s="136" t="str">
        <f t="shared" si="1"/>
        <v xml:space="preserve"> </v>
      </c>
      <c r="BV14" s="136" t="str">
        <f t="shared" si="1"/>
        <v xml:space="preserve"> </v>
      </c>
      <c r="BW14" s="136" t="str">
        <f t="shared" si="1"/>
        <v xml:space="preserve"> </v>
      </c>
      <c r="BX14" s="136" t="str">
        <f t="shared" si="1"/>
        <v xml:space="preserve"> </v>
      </c>
      <c r="BY14" s="136" t="str">
        <f t="shared" si="1"/>
        <v xml:space="preserve"> </v>
      </c>
      <c r="BZ14" s="136" t="str">
        <f t="shared" si="1"/>
        <v xml:space="preserve"> </v>
      </c>
      <c r="CA14" s="136" t="str">
        <f t="shared" si="2"/>
        <v xml:space="preserve"> </v>
      </c>
      <c r="CB14" s="136" t="str">
        <f t="shared" si="2"/>
        <v xml:space="preserve"> </v>
      </c>
      <c r="CC14" s="136" t="str">
        <f t="shared" si="2"/>
        <v xml:space="preserve"> </v>
      </c>
      <c r="CD14" s="136" t="str">
        <f t="shared" si="2"/>
        <v xml:space="preserve"> </v>
      </c>
      <c r="CE14" s="136" t="str">
        <f t="shared" si="2"/>
        <v xml:space="preserve"> </v>
      </c>
      <c r="CF14" s="136" t="str">
        <f t="shared" si="2"/>
        <v xml:space="preserve"> </v>
      </c>
      <c r="CG14" s="136" t="str">
        <f t="shared" si="2"/>
        <v xml:space="preserve"> </v>
      </c>
      <c r="CH14" s="136" t="str">
        <f t="shared" si="2"/>
        <v xml:space="preserve"> </v>
      </c>
    </row>
    <row r="15" spans="2:86" x14ac:dyDescent="0.25">
      <c r="B15" s="75"/>
      <c r="C15" s="177" t="s">
        <v>153</v>
      </c>
      <c r="D15" s="178"/>
      <c r="E15" s="91">
        <v>14.5</v>
      </c>
      <c r="F15" s="75" t="s">
        <v>154</v>
      </c>
      <c r="G15" s="75"/>
      <c r="H15" s="75"/>
      <c r="M15">
        <v>7</v>
      </c>
      <c r="N15" s="88">
        <v>1</v>
      </c>
      <c r="O15" s="92">
        <v>2</v>
      </c>
      <c r="P15" s="93"/>
      <c r="Q15" s="93"/>
      <c r="R15" s="82"/>
      <c r="S15" s="82"/>
      <c r="T15" s="83"/>
      <c r="V15" s="74"/>
      <c r="W15" s="74"/>
      <c r="X15" s="74"/>
      <c r="Y15" s="74"/>
      <c r="Z15" s="74">
        <v>0.1948</v>
      </c>
      <c r="AA15" s="74">
        <v>0</v>
      </c>
      <c r="AB15" s="74">
        <f>IF(OR('G&amp;H'!$C$67=$Z14,'G&amp;H'!$C$68=$Z14),Z15,NA())</f>
        <v>0.1948</v>
      </c>
      <c r="AC15" s="74">
        <f>IF(OR('G&amp;H'!$C$67=$Z14,'G&amp;H'!$C$68=$Z14),AA15,NA())</f>
        <v>0</v>
      </c>
      <c r="AD15" s="74" t="e">
        <f>IF('G&amp;H'!$A$63,AD16,NA())</f>
        <v>#N/A</v>
      </c>
      <c r="AE15" s="74"/>
      <c r="AG15" s="135" t="e">
        <f t="shared" si="3"/>
        <v>#N/A</v>
      </c>
      <c r="AH15" s="136">
        <v>14</v>
      </c>
      <c r="AI15" s="138"/>
      <c r="AJ15" s="138"/>
      <c r="AK15" s="138"/>
      <c r="AL15" s="138"/>
      <c r="AM15" s="138"/>
      <c r="AN15" s="138"/>
      <c r="AO15" s="138"/>
      <c r="AP15" s="138"/>
      <c r="AQ15" s="138"/>
      <c r="AR15" s="138"/>
      <c r="AS15" s="138"/>
      <c r="AT15" s="138"/>
      <c r="AU15" s="138"/>
      <c r="AV15" s="138"/>
      <c r="AW15" s="138"/>
      <c r="AX15" s="138"/>
      <c r="AY15" s="138"/>
      <c r="AZ15" s="138"/>
      <c r="BA15" s="138"/>
      <c r="BB15" s="138"/>
      <c r="BC15" s="138"/>
      <c r="BD15" s="138"/>
      <c r="BE15" s="138"/>
      <c r="BF15" s="138"/>
      <c r="BG15" s="136" t="b">
        <f t="shared" si="4"/>
        <v>0</v>
      </c>
      <c r="BH15" s="136">
        <f>ROW()</f>
        <v>15</v>
      </c>
      <c r="BI15" s="136">
        <v>14</v>
      </c>
      <c r="BJ15" s="136" t="str">
        <f t="shared" si="5"/>
        <v>NA</v>
      </c>
      <c r="BK15" s="136" t="e">
        <f t="shared" si="6"/>
        <v>#N/A</v>
      </c>
      <c r="BL15" s="136" t="str">
        <f t="shared" si="1"/>
        <v xml:space="preserve"> </v>
      </c>
      <c r="BM15" s="136" t="str">
        <f t="shared" si="1"/>
        <v xml:space="preserve"> </v>
      </c>
      <c r="BN15" s="136" t="str">
        <f t="shared" si="1"/>
        <v xml:space="preserve"> </v>
      </c>
      <c r="BO15" s="136" t="str">
        <f t="shared" si="1"/>
        <v xml:space="preserve"> </v>
      </c>
      <c r="BP15" s="136" t="str">
        <f t="shared" si="1"/>
        <v xml:space="preserve"> </v>
      </c>
      <c r="BQ15" s="136" t="str">
        <f t="shared" si="1"/>
        <v xml:space="preserve"> </v>
      </c>
      <c r="BR15" s="136" t="str">
        <f t="shared" si="1"/>
        <v xml:space="preserve"> </v>
      </c>
      <c r="BS15" s="136" t="str">
        <f t="shared" si="1"/>
        <v xml:space="preserve"> </v>
      </c>
      <c r="BT15" s="136" t="str">
        <f t="shared" si="1"/>
        <v xml:space="preserve"> </v>
      </c>
      <c r="BU15" s="136" t="str">
        <f t="shared" si="1"/>
        <v xml:space="preserve"> </v>
      </c>
      <c r="BV15" s="136" t="str">
        <f t="shared" si="1"/>
        <v xml:space="preserve"> </v>
      </c>
      <c r="BW15" s="136" t="str">
        <f t="shared" si="1"/>
        <v xml:space="preserve"> </v>
      </c>
      <c r="BX15" s="136" t="str">
        <f t="shared" si="1"/>
        <v xml:space="preserve"> </v>
      </c>
      <c r="BY15" s="136" t="str">
        <f t="shared" si="1"/>
        <v xml:space="preserve"> </v>
      </c>
      <c r="BZ15" s="136" t="str">
        <f t="shared" si="1"/>
        <v xml:space="preserve"> </v>
      </c>
      <c r="CA15" s="136" t="str">
        <f t="shared" si="2"/>
        <v xml:space="preserve"> </v>
      </c>
      <c r="CB15" s="136" t="str">
        <f t="shared" si="2"/>
        <v xml:space="preserve"> </v>
      </c>
      <c r="CC15" s="136" t="str">
        <f t="shared" si="2"/>
        <v xml:space="preserve"> </v>
      </c>
      <c r="CD15" s="136" t="str">
        <f t="shared" si="2"/>
        <v xml:space="preserve"> </v>
      </c>
      <c r="CE15" s="136" t="str">
        <f t="shared" si="2"/>
        <v xml:space="preserve"> </v>
      </c>
      <c r="CF15" s="136" t="str">
        <f t="shared" si="2"/>
        <v xml:space="preserve"> </v>
      </c>
      <c r="CG15" s="136" t="str">
        <f t="shared" si="2"/>
        <v xml:space="preserve"> </v>
      </c>
      <c r="CH15" s="136" t="str">
        <f t="shared" si="2"/>
        <v xml:space="preserve"> </v>
      </c>
    </row>
    <row r="16" spans="2:86" x14ac:dyDescent="0.25">
      <c r="B16" s="75"/>
      <c r="C16" s="75"/>
      <c r="D16" s="75"/>
      <c r="E16" s="75"/>
      <c r="F16" s="75"/>
      <c r="G16" s="75"/>
      <c r="H16" s="75"/>
      <c r="M16">
        <v>7.5</v>
      </c>
      <c r="N16" s="88">
        <v>1</v>
      </c>
      <c r="O16" s="81"/>
      <c r="P16" s="82"/>
      <c r="Q16" s="82"/>
      <c r="R16" s="82"/>
      <c r="S16" s="82"/>
      <c r="T16" s="83"/>
      <c r="V16" s="74"/>
      <c r="W16" s="74"/>
      <c r="X16" s="74"/>
      <c r="Y16" s="74"/>
      <c r="Z16" s="74">
        <v>0.30130000000000001</v>
      </c>
      <c r="AA16" s="74">
        <v>0.47</v>
      </c>
      <c r="AB16" s="74">
        <f>IF(OR('G&amp;H'!$C$67=$Z14,'G&amp;H'!$C$68=$Z14),Z16,NA())</f>
        <v>0.30130000000000001</v>
      </c>
      <c r="AC16" s="74">
        <f>IF(OR('G&amp;H'!$C$67=$Z14,'G&amp;H'!$C$68=$Z14),AA16,NA())</f>
        <v>0.47</v>
      </c>
      <c r="AD16" s="80">
        <f>IF(OR('G&amp;H'!$C$67=$Z14,'G&amp;H'!$C$68=$Z14),AA16/(Z16-Z15)*('G&amp;H'!Fn-Z15),NA())</f>
        <v>-2.7496757713613013E-3</v>
      </c>
      <c r="AE16" s="74"/>
      <c r="AG16" s="135" t="e">
        <f t="shared" si="3"/>
        <v>#N/A</v>
      </c>
      <c r="AH16" s="136">
        <v>15</v>
      </c>
      <c r="AI16" s="138"/>
      <c r="AJ16" s="138"/>
      <c r="AK16" s="138"/>
      <c r="AL16" s="138"/>
      <c r="AM16" s="138"/>
      <c r="AN16" s="138"/>
      <c r="AO16" s="138"/>
      <c r="AP16" s="138"/>
      <c r="AQ16" s="138"/>
      <c r="AR16" s="138"/>
      <c r="AS16" s="138"/>
      <c r="AT16" s="138"/>
      <c r="AU16" s="138"/>
      <c r="AV16" s="138"/>
      <c r="AW16" s="138"/>
      <c r="AX16" s="138"/>
      <c r="AY16" s="138"/>
      <c r="AZ16" s="138"/>
      <c r="BA16" s="138"/>
      <c r="BB16" s="138"/>
      <c r="BC16" s="138"/>
      <c r="BD16" s="138"/>
      <c r="BE16" s="138"/>
      <c r="BF16" s="138"/>
      <c r="BG16" s="136" t="b">
        <f t="shared" si="4"/>
        <v>0</v>
      </c>
      <c r="BH16" s="136">
        <f>ROW()</f>
        <v>16</v>
      </c>
      <c r="BI16" s="136">
        <v>15</v>
      </c>
      <c r="BJ16" s="136" t="str">
        <f t="shared" si="5"/>
        <v>NA</v>
      </c>
      <c r="BK16" s="136" t="e">
        <f t="shared" si="6"/>
        <v>#N/A</v>
      </c>
      <c r="BL16" s="136" t="str">
        <f t="shared" si="1"/>
        <v xml:space="preserve"> </v>
      </c>
      <c r="BM16" s="136" t="str">
        <f t="shared" si="1"/>
        <v xml:space="preserve"> </v>
      </c>
      <c r="BN16" s="136" t="str">
        <f t="shared" si="1"/>
        <v xml:space="preserve"> </v>
      </c>
      <c r="BO16" s="136" t="str">
        <f t="shared" si="1"/>
        <v xml:space="preserve"> </v>
      </c>
      <c r="BP16" s="136" t="str">
        <f t="shared" si="1"/>
        <v xml:space="preserve"> </v>
      </c>
      <c r="BQ16" s="136" t="str">
        <f t="shared" si="1"/>
        <v xml:space="preserve"> </v>
      </c>
      <c r="BR16" s="136" t="str">
        <f t="shared" si="1"/>
        <v xml:space="preserve"> </v>
      </c>
      <c r="BS16" s="136" t="str">
        <f t="shared" si="1"/>
        <v xml:space="preserve"> </v>
      </c>
      <c r="BT16" s="136" t="str">
        <f t="shared" si="1"/>
        <v xml:space="preserve"> </v>
      </c>
      <c r="BU16" s="136" t="str">
        <f t="shared" si="1"/>
        <v xml:space="preserve"> </v>
      </c>
      <c r="BV16" s="136" t="str">
        <f t="shared" si="1"/>
        <v xml:space="preserve"> </v>
      </c>
      <c r="BW16" s="136" t="str">
        <f t="shared" si="1"/>
        <v xml:space="preserve"> </v>
      </c>
      <c r="BX16" s="136" t="str">
        <f t="shared" si="1"/>
        <v xml:space="preserve"> </v>
      </c>
      <c r="BY16" s="136" t="str">
        <f t="shared" si="1"/>
        <v xml:space="preserve"> </v>
      </c>
      <c r="BZ16" s="136" t="str">
        <f t="shared" si="1"/>
        <v xml:space="preserve"> </v>
      </c>
      <c r="CA16" s="136" t="str">
        <f t="shared" si="2"/>
        <v xml:space="preserve"> </v>
      </c>
      <c r="CB16" s="136" t="str">
        <f t="shared" si="2"/>
        <v xml:space="preserve"> </v>
      </c>
      <c r="CC16" s="136" t="str">
        <f t="shared" si="2"/>
        <v xml:space="preserve"> </v>
      </c>
      <c r="CD16" s="136" t="str">
        <f t="shared" si="2"/>
        <v xml:space="preserve"> </v>
      </c>
      <c r="CE16" s="136" t="str">
        <f t="shared" si="2"/>
        <v xml:space="preserve"> </v>
      </c>
      <c r="CF16" s="136" t="str">
        <f t="shared" si="2"/>
        <v xml:space="preserve"> </v>
      </c>
      <c r="CG16" s="136" t="str">
        <f t="shared" si="2"/>
        <v xml:space="preserve"> </v>
      </c>
      <c r="CH16" s="136" t="str">
        <f t="shared" si="2"/>
        <v xml:space="preserve"> </v>
      </c>
    </row>
    <row r="17" spans="1:86" x14ac:dyDescent="0.25">
      <c r="B17" s="75"/>
      <c r="C17" s="75"/>
      <c r="D17" s="75"/>
      <c r="E17" s="75"/>
      <c r="F17" s="75"/>
      <c r="G17" s="75"/>
      <c r="H17" s="75"/>
      <c r="M17">
        <v>8</v>
      </c>
      <c r="N17" s="88">
        <v>1</v>
      </c>
      <c r="O17" s="94">
        <v>1</v>
      </c>
      <c r="P17" s="95"/>
      <c r="Q17" s="95"/>
      <c r="R17" s="82"/>
      <c r="S17" s="82"/>
      <c r="T17" s="83"/>
      <c r="V17" s="74">
        <v>0.09</v>
      </c>
      <c r="W17" s="74"/>
      <c r="X17" s="74"/>
      <c r="Y17" s="74"/>
      <c r="Z17" s="74"/>
      <c r="AA17" s="74"/>
      <c r="AB17" s="74"/>
      <c r="AC17" s="74"/>
      <c r="AD17" s="74"/>
      <c r="AE17" s="74"/>
      <c r="AG17" s="135" t="e">
        <f t="shared" si="3"/>
        <v>#N/A</v>
      </c>
      <c r="AH17" s="136">
        <v>16</v>
      </c>
      <c r="AI17" s="138"/>
      <c r="AJ17" s="138"/>
      <c r="AK17" s="138"/>
      <c r="AL17" s="138"/>
      <c r="AM17" s="138"/>
      <c r="AN17" s="138"/>
      <c r="AO17" s="138"/>
      <c r="AP17" s="138"/>
      <c r="AQ17" s="138"/>
      <c r="AR17" s="138"/>
      <c r="AS17" s="138"/>
      <c r="AT17" s="138"/>
      <c r="AU17" s="138"/>
      <c r="AV17" s="138"/>
      <c r="AW17" s="138"/>
      <c r="AX17" s="138"/>
      <c r="AY17" s="138"/>
      <c r="AZ17" s="138"/>
      <c r="BA17" s="138"/>
      <c r="BB17" s="138"/>
      <c r="BC17" s="138"/>
      <c r="BD17" s="138"/>
      <c r="BE17" s="138"/>
      <c r="BF17" s="138"/>
      <c r="BG17" s="136" t="b">
        <f t="shared" si="4"/>
        <v>0</v>
      </c>
      <c r="BH17" s="136">
        <f>ROW()</f>
        <v>17</v>
      </c>
      <c r="BI17" s="136">
        <v>16</v>
      </c>
      <c r="BJ17" s="136" t="str">
        <f t="shared" si="5"/>
        <v>NA</v>
      </c>
      <c r="BK17" s="136" t="e">
        <f t="shared" si="6"/>
        <v>#N/A</v>
      </c>
      <c r="BL17" s="136" t="str">
        <f t="shared" si="1"/>
        <v xml:space="preserve"> </v>
      </c>
      <c r="BM17" s="136" t="str">
        <f t="shared" si="1"/>
        <v xml:space="preserve"> </v>
      </c>
      <c r="BN17" s="136" t="str">
        <f t="shared" si="1"/>
        <v xml:space="preserve"> </v>
      </c>
      <c r="BO17" s="136" t="str">
        <f t="shared" si="1"/>
        <v xml:space="preserve"> </v>
      </c>
      <c r="BP17" s="136" t="str">
        <f t="shared" si="1"/>
        <v xml:space="preserve"> </v>
      </c>
      <c r="BQ17" s="136" t="str">
        <f t="shared" si="1"/>
        <v xml:space="preserve"> </v>
      </c>
      <c r="BR17" s="136" t="str">
        <f t="shared" si="1"/>
        <v xml:space="preserve"> </v>
      </c>
      <c r="BS17" s="136" t="str">
        <f t="shared" si="1"/>
        <v xml:space="preserve"> </v>
      </c>
      <c r="BT17" s="136" t="str">
        <f t="shared" si="1"/>
        <v xml:space="preserve"> </v>
      </c>
      <c r="BU17" s="136" t="str">
        <f t="shared" si="1"/>
        <v xml:space="preserve"> </v>
      </c>
      <c r="BV17" s="136" t="str">
        <f t="shared" si="1"/>
        <v xml:space="preserve"> </v>
      </c>
      <c r="BW17" s="136" t="str">
        <f t="shared" si="1"/>
        <v xml:space="preserve"> </v>
      </c>
      <c r="BX17" s="136" t="str">
        <f t="shared" si="1"/>
        <v xml:space="preserve"> </v>
      </c>
      <c r="BY17" s="136" t="str">
        <f t="shared" si="1"/>
        <v xml:space="preserve"> </v>
      </c>
      <c r="BZ17" s="136" t="str">
        <f t="shared" si="1"/>
        <v xml:space="preserve"> </v>
      </c>
      <c r="CA17" s="136" t="str">
        <f t="shared" si="2"/>
        <v xml:space="preserve"> </v>
      </c>
      <c r="CB17" s="136" t="str">
        <f t="shared" si="2"/>
        <v xml:space="preserve"> </v>
      </c>
      <c r="CC17" s="136" t="str">
        <f t="shared" si="2"/>
        <v xml:space="preserve"> </v>
      </c>
      <c r="CD17" s="136" t="str">
        <f t="shared" si="2"/>
        <v xml:space="preserve"> </v>
      </c>
      <c r="CE17" s="136" t="str">
        <f t="shared" si="2"/>
        <v xml:space="preserve"> </v>
      </c>
      <c r="CF17" s="136" t="str">
        <f t="shared" si="2"/>
        <v xml:space="preserve"> </v>
      </c>
      <c r="CG17" s="136" t="str">
        <f t="shared" si="2"/>
        <v xml:space="preserve"> </v>
      </c>
      <c r="CH17" s="136" t="str">
        <f t="shared" si="2"/>
        <v xml:space="preserve"> </v>
      </c>
    </row>
    <row r="18" spans="1:86" x14ac:dyDescent="0.25">
      <c r="A18" s="96" t="s">
        <v>155</v>
      </c>
      <c r="B18" s="75"/>
      <c r="C18" s="75"/>
      <c r="E18" s="75"/>
      <c r="F18" s="75"/>
      <c r="G18" s="75"/>
      <c r="H18" s="75"/>
      <c r="O18" s="81"/>
      <c r="P18" s="82"/>
      <c r="Q18" s="82"/>
      <c r="R18" s="82"/>
      <c r="S18" s="82"/>
      <c r="T18" s="83"/>
      <c r="V18" s="74">
        <f>'G&amp;H'!Fn</f>
        <v>0.19417693517095749</v>
      </c>
      <c r="W18" s="74">
        <v>-0.2</v>
      </c>
      <c r="X18" s="74"/>
      <c r="Y18" s="74"/>
      <c r="Z18" s="74">
        <v>0.65</v>
      </c>
      <c r="AA18" s="74"/>
      <c r="AB18" s="74"/>
      <c r="AC18" s="74"/>
      <c r="AD18" s="74" t="e">
        <f>IF('G&amp;H'!$A$63,AD19,NA())</f>
        <v>#N/A</v>
      </c>
      <c r="AE18" s="74"/>
      <c r="AG18" s="135" t="e">
        <f t="shared" si="3"/>
        <v>#N/A</v>
      </c>
      <c r="AH18" s="136">
        <v>17</v>
      </c>
      <c r="AI18" s="138"/>
      <c r="AJ18" s="138"/>
      <c r="AK18" s="138"/>
      <c r="AL18" s="138"/>
      <c r="AM18" s="138"/>
      <c r="AN18" s="138"/>
      <c r="AO18" s="138"/>
      <c r="AP18" s="138"/>
      <c r="AQ18" s="138"/>
      <c r="AR18" s="138"/>
      <c r="AS18" s="138"/>
      <c r="AT18" s="138"/>
      <c r="AU18" s="138"/>
      <c r="AV18" s="138"/>
      <c r="AW18" s="138"/>
      <c r="AX18" s="138"/>
      <c r="AY18" s="138"/>
      <c r="AZ18" s="138"/>
      <c r="BA18" s="138"/>
      <c r="BB18" s="138"/>
      <c r="BC18" s="138"/>
      <c r="BD18" s="138"/>
      <c r="BE18" s="138"/>
      <c r="BF18" s="138"/>
      <c r="BG18" s="136" t="b">
        <f t="shared" si="4"/>
        <v>0</v>
      </c>
      <c r="BH18" s="136">
        <f>ROW()</f>
        <v>18</v>
      </c>
      <c r="BI18" s="136">
        <v>17</v>
      </c>
      <c r="BJ18" s="136" t="str">
        <f t="shared" si="5"/>
        <v>NA</v>
      </c>
      <c r="BK18" s="136" t="e">
        <f t="shared" si="6"/>
        <v>#N/A</v>
      </c>
      <c r="BL18" s="136" t="str">
        <f t="shared" si="6"/>
        <v xml:space="preserve"> </v>
      </c>
      <c r="BM18" s="136" t="str">
        <f t="shared" si="6"/>
        <v xml:space="preserve"> </v>
      </c>
      <c r="BN18" s="136" t="str">
        <f t="shared" si="6"/>
        <v xml:space="preserve"> </v>
      </c>
      <c r="BO18" s="136" t="str">
        <f t="shared" si="6"/>
        <v xml:space="preserve"> </v>
      </c>
      <c r="BP18" s="136" t="str">
        <f t="shared" si="6"/>
        <v xml:space="preserve"> </v>
      </c>
      <c r="BQ18" s="136" t="str">
        <f t="shared" si="6"/>
        <v xml:space="preserve"> </v>
      </c>
      <c r="BR18" s="136" t="str">
        <f t="shared" si="6"/>
        <v xml:space="preserve"> </v>
      </c>
      <c r="BS18" s="136" t="str">
        <f t="shared" si="6"/>
        <v xml:space="preserve"> </v>
      </c>
      <c r="BT18" s="136" t="str">
        <f t="shared" si="6"/>
        <v xml:space="preserve"> </v>
      </c>
      <c r="BU18" s="136" t="str">
        <f t="shared" si="6"/>
        <v xml:space="preserve"> </v>
      </c>
      <c r="BV18" s="136" t="str">
        <f t="shared" si="6"/>
        <v xml:space="preserve"> </v>
      </c>
      <c r="BW18" s="136" t="str">
        <f t="shared" si="6"/>
        <v xml:space="preserve"> </v>
      </c>
      <c r="BX18" s="136" t="str">
        <f t="shared" si="6"/>
        <v xml:space="preserve"> </v>
      </c>
      <c r="BY18" s="136" t="str">
        <f t="shared" si="6"/>
        <v xml:space="preserve"> </v>
      </c>
      <c r="BZ18" s="136" t="str">
        <f t="shared" si="6"/>
        <v xml:space="preserve"> </v>
      </c>
      <c r="CA18" s="136" t="str">
        <f t="shared" ref="CA18:CH33" si="7">IF(VLOOKUP($BJ18,$AH$2:$BF$111,1+CA$1,FALSE)="(NA)",NA(),VLOOKUP($BJ18,$AH$2:$BF$111,1+CA$1,FALSE))</f>
        <v xml:space="preserve"> </v>
      </c>
      <c r="CB18" s="136" t="str">
        <f t="shared" si="7"/>
        <v xml:space="preserve"> </v>
      </c>
      <c r="CC18" s="136" t="str">
        <f t="shared" si="7"/>
        <v xml:space="preserve"> </v>
      </c>
      <c r="CD18" s="136" t="str">
        <f t="shared" si="7"/>
        <v xml:space="preserve"> </v>
      </c>
      <c r="CE18" s="136" t="str">
        <f t="shared" si="7"/>
        <v xml:space="preserve"> </v>
      </c>
      <c r="CF18" s="136" t="str">
        <f t="shared" si="7"/>
        <v xml:space="preserve"> </v>
      </c>
      <c r="CG18" s="136" t="str">
        <f t="shared" si="7"/>
        <v xml:space="preserve"> </v>
      </c>
      <c r="CH18" s="136" t="str">
        <f t="shared" si="7"/>
        <v xml:space="preserve"> </v>
      </c>
    </row>
    <row r="19" spans="1:86" x14ac:dyDescent="0.25">
      <c r="A19" s="96" t="s">
        <v>156</v>
      </c>
      <c r="B19" s="75"/>
      <c r="C19" s="75"/>
      <c r="D19" s="75"/>
      <c r="E19" s="75"/>
      <c r="F19" s="75"/>
      <c r="G19" s="75"/>
      <c r="H19" s="75"/>
      <c r="O19" s="81"/>
      <c r="P19" s="82"/>
      <c r="Q19" s="82"/>
      <c r="R19" s="82"/>
      <c r="S19" s="82"/>
      <c r="T19" s="83"/>
      <c r="V19" s="74">
        <f>V18</f>
        <v>0.19417693517095749</v>
      </c>
      <c r="W19" s="74">
        <v>0.59</v>
      </c>
      <c r="X19" s="74"/>
      <c r="Y19" s="74"/>
      <c r="Z19" s="74">
        <v>0.20390000000000003</v>
      </c>
      <c r="AA19" s="74">
        <v>0</v>
      </c>
      <c r="AB19" s="74">
        <f>IF(OR('G&amp;H'!$C$67=$Z18,'G&amp;H'!$C$68=$Z18),Z19,NA())</f>
        <v>0.20390000000000003</v>
      </c>
      <c r="AC19" s="74">
        <f>IF(OR('G&amp;H'!$C$67=$Z18,'G&amp;H'!$C$68=$Z18),AA19,NA())</f>
        <v>0</v>
      </c>
      <c r="AD19" s="74" t="e">
        <f>IF('G&amp;H'!$A$63,AD20,NA())</f>
        <v>#N/A</v>
      </c>
      <c r="AE19" s="74"/>
      <c r="AG19" s="135" t="e">
        <f t="shared" si="3"/>
        <v>#N/A</v>
      </c>
      <c r="AH19" s="136">
        <v>18</v>
      </c>
      <c r="AI19" s="138"/>
      <c r="AJ19" s="138"/>
      <c r="AK19" s="138"/>
      <c r="AL19" s="138"/>
      <c r="AM19" s="138"/>
      <c r="AN19" s="138"/>
      <c r="AO19" s="138"/>
      <c r="AP19" s="138"/>
      <c r="AQ19" s="138"/>
      <c r="AR19" s="138"/>
      <c r="AS19" s="138"/>
      <c r="AT19" s="138"/>
      <c r="AU19" s="138"/>
      <c r="AV19" s="138"/>
      <c r="AW19" s="138"/>
      <c r="AX19" s="138"/>
      <c r="AY19" s="138"/>
      <c r="AZ19" s="138"/>
      <c r="BA19" s="138"/>
      <c r="BB19" s="138"/>
      <c r="BC19" s="138"/>
      <c r="BD19" s="138"/>
      <c r="BE19" s="138"/>
      <c r="BF19" s="138"/>
      <c r="BG19" s="136" t="b">
        <f t="shared" si="4"/>
        <v>0</v>
      </c>
      <c r="BH19" s="136">
        <f>ROW()</f>
        <v>19</v>
      </c>
      <c r="BI19" s="136">
        <v>18</v>
      </c>
      <c r="BJ19" s="136" t="str">
        <f t="shared" si="5"/>
        <v>NA</v>
      </c>
      <c r="BK19" s="136" t="e">
        <f t="shared" si="6"/>
        <v>#N/A</v>
      </c>
      <c r="BL19" s="136" t="str">
        <f t="shared" si="6"/>
        <v xml:space="preserve"> </v>
      </c>
      <c r="BM19" s="136" t="str">
        <f t="shared" si="6"/>
        <v xml:space="preserve"> </v>
      </c>
      <c r="BN19" s="136" t="str">
        <f t="shared" si="6"/>
        <v xml:space="preserve"> </v>
      </c>
      <c r="BO19" s="136" t="str">
        <f t="shared" si="6"/>
        <v xml:space="preserve"> </v>
      </c>
      <c r="BP19" s="136" t="str">
        <f t="shared" si="6"/>
        <v xml:space="preserve"> </v>
      </c>
      <c r="BQ19" s="136" t="str">
        <f t="shared" si="6"/>
        <v xml:space="preserve"> </v>
      </c>
      <c r="BR19" s="136" t="str">
        <f t="shared" si="6"/>
        <v xml:space="preserve"> </v>
      </c>
      <c r="BS19" s="136" t="str">
        <f t="shared" si="6"/>
        <v xml:space="preserve"> </v>
      </c>
      <c r="BT19" s="136" t="str">
        <f t="shared" si="6"/>
        <v xml:space="preserve"> </v>
      </c>
      <c r="BU19" s="136" t="str">
        <f t="shared" si="6"/>
        <v xml:space="preserve"> </v>
      </c>
      <c r="BV19" s="136" t="str">
        <f t="shared" si="6"/>
        <v xml:space="preserve"> </v>
      </c>
      <c r="BW19" s="136" t="str">
        <f t="shared" si="6"/>
        <v xml:space="preserve"> </v>
      </c>
      <c r="BX19" s="136" t="str">
        <f t="shared" si="6"/>
        <v xml:space="preserve"> </v>
      </c>
      <c r="BY19" s="136" t="str">
        <f t="shared" si="6"/>
        <v xml:space="preserve"> </v>
      </c>
      <c r="BZ19" s="136" t="str">
        <f t="shared" si="6"/>
        <v xml:space="preserve"> </v>
      </c>
      <c r="CA19" s="136" t="str">
        <f t="shared" si="7"/>
        <v xml:space="preserve"> </v>
      </c>
      <c r="CB19" s="136" t="str">
        <f t="shared" si="7"/>
        <v xml:space="preserve"> </v>
      </c>
      <c r="CC19" s="136" t="str">
        <f t="shared" si="7"/>
        <v xml:space="preserve"> </v>
      </c>
      <c r="CD19" s="136" t="str">
        <f t="shared" si="7"/>
        <v xml:space="preserve"> </v>
      </c>
      <c r="CE19" s="136" t="str">
        <f t="shared" si="7"/>
        <v xml:space="preserve"> </v>
      </c>
      <c r="CF19" s="136" t="str">
        <f t="shared" si="7"/>
        <v xml:space="preserve"> </v>
      </c>
      <c r="CG19" s="136" t="str">
        <f t="shared" si="7"/>
        <v xml:space="preserve"> </v>
      </c>
      <c r="CH19" s="136" t="str">
        <f t="shared" si="7"/>
        <v xml:space="preserve"> </v>
      </c>
    </row>
    <row r="20" spans="1:86" x14ac:dyDescent="0.25">
      <c r="A20" s="96" t="s">
        <v>157</v>
      </c>
      <c r="B20" s="75"/>
      <c r="C20" s="75"/>
      <c r="D20" s="75"/>
      <c r="E20" s="75"/>
      <c r="F20" s="75"/>
      <c r="G20" s="75"/>
      <c r="H20" s="75"/>
      <c r="O20" s="81"/>
      <c r="P20" s="82"/>
      <c r="Q20" s="82"/>
      <c r="R20" s="82"/>
      <c r="S20" s="82"/>
      <c r="T20" s="83"/>
      <c r="V20" s="74"/>
      <c r="W20" s="74"/>
      <c r="X20" s="74"/>
      <c r="Y20" s="74"/>
      <c r="Z20" s="74">
        <v>0.31180000000000002</v>
      </c>
      <c r="AA20" s="74">
        <v>0.42599999999999999</v>
      </c>
      <c r="AB20" s="74">
        <f>IF(OR('G&amp;H'!$C$67=$Z18,'G&amp;H'!$C$68=$Z18),Z20,NA())</f>
        <v>0.31180000000000002</v>
      </c>
      <c r="AC20" s="74">
        <f>IF(OR('G&amp;H'!$C$67=$Z18,'G&amp;H'!$C$68=$Z18),AA20,NA())</f>
        <v>0.42599999999999999</v>
      </c>
      <c r="AD20" s="80">
        <f>IF(OR('G&amp;H'!$C$67=$Z18,'G&amp;H'!$C$68=$Z18),AA20/(Z20-Z19)*('G&amp;H'!Fn-Z19),NA())</f>
        <v>-3.8387633152660972E-2</v>
      </c>
      <c r="AE20" s="74"/>
      <c r="AG20" s="135" t="e">
        <f t="shared" si="3"/>
        <v>#N/A</v>
      </c>
      <c r="AH20" s="136">
        <v>19</v>
      </c>
      <c r="AI20" s="138"/>
      <c r="AJ20" s="138"/>
      <c r="AK20" s="138"/>
      <c r="AL20" s="138"/>
      <c r="AM20" s="138"/>
      <c r="AN20" s="138"/>
      <c r="AO20" s="138"/>
      <c r="AP20" s="138"/>
      <c r="AQ20" s="138"/>
      <c r="AR20" s="138"/>
      <c r="AS20" s="138"/>
      <c r="AT20" s="138"/>
      <c r="AU20" s="138"/>
      <c r="AV20" s="138"/>
      <c r="AW20" s="138"/>
      <c r="AX20" s="138"/>
      <c r="AY20" s="138"/>
      <c r="AZ20" s="138"/>
      <c r="BA20" s="138"/>
      <c r="BB20" s="138"/>
      <c r="BC20" s="138"/>
      <c r="BD20" s="138"/>
      <c r="BE20" s="138"/>
      <c r="BF20" s="138"/>
      <c r="BG20" s="136" t="b">
        <f t="shared" si="4"/>
        <v>0</v>
      </c>
      <c r="BH20" s="136">
        <f>ROW()</f>
        <v>20</v>
      </c>
      <c r="BI20" s="136">
        <v>19</v>
      </c>
      <c r="BJ20" s="136" t="str">
        <f t="shared" si="5"/>
        <v>NA</v>
      </c>
      <c r="BK20" s="136" t="e">
        <f t="shared" si="6"/>
        <v>#N/A</v>
      </c>
      <c r="BL20" s="136" t="str">
        <f t="shared" si="6"/>
        <v xml:space="preserve"> </v>
      </c>
      <c r="BM20" s="136" t="str">
        <f t="shared" si="6"/>
        <v xml:space="preserve"> </v>
      </c>
      <c r="BN20" s="136" t="str">
        <f t="shared" si="6"/>
        <v xml:space="preserve"> </v>
      </c>
      <c r="BO20" s="136" t="str">
        <f t="shared" si="6"/>
        <v xml:space="preserve"> </v>
      </c>
      <c r="BP20" s="136" t="str">
        <f t="shared" si="6"/>
        <v xml:space="preserve"> </v>
      </c>
      <c r="BQ20" s="136" t="str">
        <f t="shared" si="6"/>
        <v xml:space="preserve"> </v>
      </c>
      <c r="BR20" s="136" t="str">
        <f t="shared" si="6"/>
        <v xml:space="preserve"> </v>
      </c>
      <c r="BS20" s="136" t="str">
        <f t="shared" si="6"/>
        <v xml:space="preserve"> </v>
      </c>
      <c r="BT20" s="136" t="str">
        <f t="shared" si="6"/>
        <v xml:space="preserve"> </v>
      </c>
      <c r="BU20" s="136" t="str">
        <f t="shared" si="6"/>
        <v xml:space="preserve"> </v>
      </c>
      <c r="BV20" s="136" t="str">
        <f t="shared" si="6"/>
        <v xml:space="preserve"> </v>
      </c>
      <c r="BW20" s="136" t="str">
        <f t="shared" si="6"/>
        <v xml:space="preserve"> </v>
      </c>
      <c r="BX20" s="136" t="str">
        <f t="shared" si="6"/>
        <v xml:space="preserve"> </v>
      </c>
      <c r="BY20" s="136" t="str">
        <f t="shared" si="6"/>
        <v xml:space="preserve"> </v>
      </c>
      <c r="BZ20" s="136" t="str">
        <f t="shared" si="6"/>
        <v xml:space="preserve"> </v>
      </c>
      <c r="CA20" s="136" t="str">
        <f t="shared" si="7"/>
        <v xml:space="preserve"> </v>
      </c>
      <c r="CB20" s="136" t="str">
        <f t="shared" si="7"/>
        <v xml:space="preserve"> </v>
      </c>
      <c r="CC20" s="136" t="str">
        <f t="shared" si="7"/>
        <v xml:space="preserve"> </v>
      </c>
      <c r="CD20" s="136" t="str">
        <f t="shared" si="7"/>
        <v xml:space="preserve"> </v>
      </c>
      <c r="CE20" s="136" t="str">
        <f t="shared" si="7"/>
        <v xml:space="preserve"> </v>
      </c>
      <c r="CF20" s="136" t="str">
        <f t="shared" si="7"/>
        <v xml:space="preserve"> </v>
      </c>
      <c r="CG20" s="136" t="str">
        <f t="shared" si="7"/>
        <v xml:space="preserve"> </v>
      </c>
      <c r="CH20" s="136" t="str">
        <f t="shared" si="7"/>
        <v xml:space="preserve"> </v>
      </c>
    </row>
    <row r="21" spans="1:86" x14ac:dyDescent="0.25">
      <c r="B21" s="75"/>
      <c r="C21" s="75"/>
      <c r="D21" s="75"/>
      <c r="E21" s="75"/>
      <c r="F21" s="75"/>
      <c r="G21" s="75"/>
      <c r="H21" s="75"/>
      <c r="I21" s="6" t="s">
        <v>2</v>
      </c>
      <c r="J21" s="7">
        <f>VLOOKUP(I21,'G&amp;H'!$B$3:$C$9,2,FALSE)</f>
        <v>258.60000000000002</v>
      </c>
      <c r="K21" s="8" t="s">
        <v>3</v>
      </c>
      <c r="O21">
        <f>'G&amp;H'!C43</f>
        <v>6</v>
      </c>
      <c r="P21">
        <f>(O21-3)/0.5</f>
        <v>6</v>
      </c>
      <c r="Q21" s="82"/>
      <c r="R21" s="82"/>
      <c r="S21" s="82"/>
      <c r="T21" s="83"/>
      <c r="V21" s="74"/>
      <c r="W21" s="74"/>
      <c r="X21" s="74"/>
      <c r="Y21" s="74"/>
      <c r="Z21" s="74"/>
      <c r="AA21" s="74"/>
      <c r="AB21" s="74"/>
      <c r="AC21" s="74"/>
      <c r="AD21" s="74"/>
      <c r="AE21" s="74"/>
      <c r="AG21" s="135" t="e">
        <f t="shared" si="3"/>
        <v>#N/A</v>
      </c>
      <c r="AH21" s="136">
        <v>20</v>
      </c>
      <c r="AI21" s="138"/>
      <c r="AJ21" s="138"/>
      <c r="AK21" s="138"/>
      <c r="AL21" s="138"/>
      <c r="AM21" s="138"/>
      <c r="AN21" s="138"/>
      <c r="AO21" s="138"/>
      <c r="AP21" s="138"/>
      <c r="AQ21" s="138"/>
      <c r="AR21" s="138"/>
      <c r="AS21" s="138"/>
      <c r="AT21" s="138"/>
      <c r="AU21" s="138"/>
      <c r="AV21" s="138"/>
      <c r="AW21" s="138"/>
      <c r="AX21" s="138"/>
      <c r="AY21" s="138"/>
      <c r="AZ21" s="138"/>
      <c r="BA21" s="138"/>
      <c r="BB21" s="138"/>
      <c r="BC21" s="138"/>
      <c r="BD21" s="138"/>
      <c r="BE21" s="138"/>
      <c r="BF21" s="138"/>
      <c r="BG21" s="136" t="b">
        <f t="shared" si="4"/>
        <v>0</v>
      </c>
      <c r="BH21" s="136">
        <f>ROW()</f>
        <v>21</v>
      </c>
      <c r="BI21" s="136">
        <v>20</v>
      </c>
      <c r="BJ21" s="136" t="str">
        <f t="shared" si="5"/>
        <v>NA</v>
      </c>
      <c r="BK21" s="136" t="e">
        <f t="shared" ref="BK21:BZ36" si="8">IF(VLOOKUP($BJ21,$AH$2:$BF$111,1+BK$1,FALSE)="(NA)",NA(),VLOOKUP($BJ21,$AH$2:$BF$111,1+BK$1,FALSE))</f>
        <v>#N/A</v>
      </c>
      <c r="BL21" s="136" t="str">
        <f t="shared" si="8"/>
        <v xml:space="preserve"> </v>
      </c>
      <c r="BM21" s="136" t="str">
        <f t="shared" si="8"/>
        <v xml:space="preserve"> </v>
      </c>
      <c r="BN21" s="136" t="str">
        <f t="shared" si="8"/>
        <v xml:space="preserve"> </v>
      </c>
      <c r="BO21" s="136" t="str">
        <f t="shared" si="8"/>
        <v xml:space="preserve"> </v>
      </c>
      <c r="BP21" s="136" t="str">
        <f t="shared" si="8"/>
        <v xml:space="preserve"> </v>
      </c>
      <c r="BQ21" s="136" t="str">
        <f t="shared" si="8"/>
        <v xml:space="preserve"> </v>
      </c>
      <c r="BR21" s="136" t="str">
        <f t="shared" si="8"/>
        <v xml:space="preserve"> </v>
      </c>
      <c r="BS21" s="136" t="str">
        <f t="shared" si="8"/>
        <v xml:space="preserve"> </v>
      </c>
      <c r="BT21" s="136" t="str">
        <f t="shared" si="8"/>
        <v xml:space="preserve"> </v>
      </c>
      <c r="BU21" s="136" t="str">
        <f t="shared" si="8"/>
        <v xml:space="preserve"> </v>
      </c>
      <c r="BV21" s="136" t="str">
        <f t="shared" si="8"/>
        <v xml:space="preserve"> </v>
      </c>
      <c r="BW21" s="136" t="str">
        <f t="shared" si="8"/>
        <v xml:space="preserve"> </v>
      </c>
      <c r="BX21" s="136" t="str">
        <f t="shared" si="8"/>
        <v xml:space="preserve"> </v>
      </c>
      <c r="BY21" s="136" t="str">
        <f t="shared" si="8"/>
        <v xml:space="preserve"> </v>
      </c>
      <c r="BZ21" s="136" t="str">
        <f t="shared" si="8"/>
        <v xml:space="preserve"> </v>
      </c>
      <c r="CA21" s="136" t="str">
        <f t="shared" si="7"/>
        <v xml:space="preserve"> </v>
      </c>
      <c r="CB21" s="136" t="str">
        <f t="shared" si="7"/>
        <v xml:space="preserve"> </v>
      </c>
      <c r="CC21" s="136" t="str">
        <f t="shared" si="7"/>
        <v xml:space="preserve"> </v>
      </c>
      <c r="CD21" s="136" t="str">
        <f t="shared" si="7"/>
        <v xml:space="preserve"> </v>
      </c>
      <c r="CE21" s="136" t="str">
        <f t="shared" si="7"/>
        <v xml:space="preserve"> </v>
      </c>
      <c r="CF21" s="136" t="str">
        <f t="shared" si="7"/>
        <v xml:space="preserve"> </v>
      </c>
      <c r="CG21" s="136" t="str">
        <f t="shared" si="7"/>
        <v xml:space="preserve"> </v>
      </c>
      <c r="CH21" s="136" t="str">
        <f t="shared" si="7"/>
        <v xml:space="preserve"> </v>
      </c>
    </row>
    <row r="22" spans="1:86" x14ac:dyDescent="0.25">
      <c r="B22" s="75"/>
      <c r="C22" s="75"/>
      <c r="I22" s="9" t="s">
        <v>4</v>
      </c>
      <c r="J22" s="7">
        <f>VLOOKUP(I22,'G&amp;H'!$B$3:$C$9,2,FALSE)</f>
        <v>32.200000000000003</v>
      </c>
      <c r="K22" s="9" t="s">
        <v>3</v>
      </c>
      <c r="O22">
        <f>'G&amp;H'!D43</f>
        <v>6.5</v>
      </c>
      <c r="P22">
        <f>(O22-3)/0.5</f>
        <v>7</v>
      </c>
      <c r="Q22" s="82"/>
      <c r="R22" s="82"/>
      <c r="S22" s="82"/>
      <c r="T22" s="83"/>
      <c r="V22" s="74" t="s">
        <v>158</v>
      </c>
      <c r="W22" s="74"/>
      <c r="X22" s="74"/>
      <c r="Y22" s="74"/>
      <c r="Z22" s="74">
        <v>0.6</v>
      </c>
      <c r="AA22" s="74"/>
      <c r="AB22" s="74"/>
      <c r="AC22" s="74"/>
      <c r="AD22" s="74" t="e">
        <f>IF('G&amp;H'!$A$63,AD23,NA())</f>
        <v>#N/A</v>
      </c>
      <c r="AE22" s="74"/>
      <c r="AG22" s="135" t="e">
        <f t="shared" si="3"/>
        <v>#N/A</v>
      </c>
      <c r="AH22" s="136">
        <v>21</v>
      </c>
      <c r="AI22" s="138"/>
      <c r="AJ22" s="138"/>
      <c r="AK22" s="138"/>
      <c r="AL22" s="138"/>
      <c r="AM22" s="138"/>
      <c r="AN22" s="138"/>
      <c r="AO22" s="138"/>
      <c r="AP22" s="138"/>
      <c r="AQ22" s="138"/>
      <c r="AR22" s="138"/>
      <c r="AS22" s="138"/>
      <c r="AT22" s="138"/>
      <c r="AU22" s="138"/>
      <c r="AV22" s="138"/>
      <c r="AW22" s="138"/>
      <c r="AX22" s="138"/>
      <c r="AY22" s="138"/>
      <c r="AZ22" s="138"/>
      <c r="BA22" s="138"/>
      <c r="BB22" s="138"/>
      <c r="BC22" s="138"/>
      <c r="BD22" s="138"/>
      <c r="BE22" s="138"/>
      <c r="BF22" s="138"/>
      <c r="BG22" s="136" t="b">
        <f t="shared" si="4"/>
        <v>0</v>
      </c>
      <c r="BH22" s="136">
        <f>ROW()</f>
        <v>22</v>
      </c>
      <c r="BI22" s="136">
        <v>21</v>
      </c>
      <c r="BJ22" s="136" t="str">
        <f t="shared" si="5"/>
        <v>NA</v>
      </c>
      <c r="BK22" s="136" t="e">
        <f t="shared" si="8"/>
        <v>#N/A</v>
      </c>
      <c r="BL22" s="136" t="str">
        <f t="shared" si="8"/>
        <v xml:space="preserve"> </v>
      </c>
      <c r="BM22" s="136" t="str">
        <f t="shared" si="8"/>
        <v xml:space="preserve"> </v>
      </c>
      <c r="BN22" s="136" t="str">
        <f t="shared" si="8"/>
        <v xml:space="preserve"> </v>
      </c>
      <c r="BO22" s="136" t="str">
        <f t="shared" si="8"/>
        <v xml:space="preserve"> </v>
      </c>
      <c r="BP22" s="136" t="str">
        <f t="shared" si="8"/>
        <v xml:space="preserve"> </v>
      </c>
      <c r="BQ22" s="136" t="str">
        <f t="shared" si="8"/>
        <v xml:space="preserve"> </v>
      </c>
      <c r="BR22" s="136" t="str">
        <f t="shared" si="8"/>
        <v xml:space="preserve"> </v>
      </c>
      <c r="BS22" s="136" t="str">
        <f t="shared" si="8"/>
        <v xml:space="preserve"> </v>
      </c>
      <c r="BT22" s="136" t="str">
        <f t="shared" si="8"/>
        <v xml:space="preserve"> </v>
      </c>
      <c r="BU22" s="136" t="str">
        <f t="shared" si="8"/>
        <v xml:space="preserve"> </v>
      </c>
      <c r="BV22" s="136" t="str">
        <f t="shared" si="8"/>
        <v xml:space="preserve"> </v>
      </c>
      <c r="BW22" s="136" t="str">
        <f t="shared" si="8"/>
        <v xml:space="preserve"> </v>
      </c>
      <c r="BX22" s="136" t="str">
        <f t="shared" si="8"/>
        <v xml:space="preserve"> </v>
      </c>
      <c r="BY22" s="136" t="str">
        <f t="shared" si="8"/>
        <v xml:space="preserve"> </v>
      </c>
      <c r="BZ22" s="136" t="str">
        <f t="shared" si="8"/>
        <v xml:space="preserve"> </v>
      </c>
      <c r="CA22" s="136" t="str">
        <f t="shared" si="7"/>
        <v xml:space="preserve"> </v>
      </c>
      <c r="CB22" s="136" t="str">
        <f t="shared" si="7"/>
        <v xml:space="preserve"> </v>
      </c>
      <c r="CC22" s="136" t="str">
        <f t="shared" si="7"/>
        <v xml:space="preserve"> </v>
      </c>
      <c r="CD22" s="136" t="str">
        <f t="shared" si="7"/>
        <v xml:space="preserve"> </v>
      </c>
      <c r="CE22" s="136" t="str">
        <f t="shared" si="7"/>
        <v xml:space="preserve"> </v>
      </c>
      <c r="CF22" s="136" t="str">
        <f t="shared" si="7"/>
        <v xml:space="preserve"> </v>
      </c>
      <c r="CG22" s="136" t="str">
        <f t="shared" si="7"/>
        <v xml:space="preserve"> </v>
      </c>
      <c r="CH22" s="136" t="str">
        <f t="shared" si="7"/>
        <v xml:space="preserve"> </v>
      </c>
    </row>
    <row r="23" spans="1:86" x14ac:dyDescent="0.25">
      <c r="A23">
        <v>1</v>
      </c>
      <c r="B23">
        <f>A23*0.54325</f>
        <v>0.54325000000000001</v>
      </c>
      <c r="C23" s="75">
        <f>B23*LBP/'G&amp;H'!$K$7</f>
        <v>118252904.04040407</v>
      </c>
      <c r="D23" s="75">
        <f>0.075/((LOG10(C23)-2)^2)+'G&amp;H'!$D$17/1000</f>
        <v>1.8427153128437496E-3</v>
      </c>
      <c r="E23">
        <f>D23*0.5*1.025*'G&amp;H'!$K$19*Tools1!B23^2</f>
        <v>3.0367517203704182</v>
      </c>
      <c r="I23" s="8" t="s">
        <v>6</v>
      </c>
      <c r="J23" s="7">
        <f>VLOOKUP(I23,'G&amp;H'!$B$3:$C$9,2,FALSE)</f>
        <v>12</v>
      </c>
      <c r="K23" s="8" t="s">
        <v>3</v>
      </c>
      <c r="O23" s="81"/>
      <c r="P23" s="82"/>
      <c r="Q23" s="82"/>
      <c r="R23" s="82"/>
      <c r="S23" s="82"/>
      <c r="T23" s="83"/>
      <c r="V23" s="74"/>
      <c r="W23" s="74"/>
      <c r="X23" s="74"/>
      <c r="Y23" s="74"/>
      <c r="Z23" s="74">
        <v>0.2082</v>
      </c>
      <c r="AA23" s="74">
        <v>0</v>
      </c>
      <c r="AB23" s="74" t="e">
        <f>IF(OR('G&amp;H'!$C$67=$Z22,'G&amp;H'!$C$68=$Z22),Z23,NA())</f>
        <v>#N/A</v>
      </c>
      <c r="AC23" s="74" t="e">
        <f>IF(OR('G&amp;H'!$C$67=$Z22,'G&amp;H'!$C$68=$Z22),AA23,NA())</f>
        <v>#N/A</v>
      </c>
      <c r="AD23" s="74" t="e">
        <f>IF('G&amp;H'!$A$63,AD24,NA())</f>
        <v>#N/A</v>
      </c>
      <c r="AE23" s="74"/>
      <c r="AG23" s="135" t="e">
        <f t="shared" si="3"/>
        <v>#N/A</v>
      </c>
      <c r="AH23" s="136">
        <v>22</v>
      </c>
      <c r="AI23" s="138"/>
      <c r="AJ23" s="138"/>
      <c r="AK23" s="138"/>
      <c r="AL23" s="138"/>
      <c r="AM23" s="138"/>
      <c r="AN23" s="138"/>
      <c r="AO23" s="138"/>
      <c r="AP23" s="138"/>
      <c r="AQ23" s="138"/>
      <c r="AR23" s="138"/>
      <c r="AS23" s="138"/>
      <c r="AT23" s="138"/>
      <c r="AU23" s="138"/>
      <c r="AV23" s="138"/>
      <c r="AW23" s="138"/>
      <c r="AX23" s="138"/>
      <c r="AY23" s="138"/>
      <c r="AZ23" s="138"/>
      <c r="BA23" s="138"/>
      <c r="BB23" s="138"/>
      <c r="BC23" s="138"/>
      <c r="BD23" s="138"/>
      <c r="BE23" s="138"/>
      <c r="BF23" s="138"/>
      <c r="BG23" s="136" t="b">
        <f t="shared" si="4"/>
        <v>0</v>
      </c>
      <c r="BH23" s="136">
        <f>ROW()</f>
        <v>23</v>
      </c>
      <c r="BI23" s="136">
        <v>22</v>
      </c>
      <c r="BJ23" s="136" t="str">
        <f t="shared" si="5"/>
        <v>NA</v>
      </c>
      <c r="BK23" s="136" t="e">
        <f t="shared" si="8"/>
        <v>#N/A</v>
      </c>
      <c r="BL23" s="136" t="str">
        <f t="shared" si="8"/>
        <v xml:space="preserve"> </v>
      </c>
      <c r="BM23" s="136" t="str">
        <f t="shared" si="8"/>
        <v xml:space="preserve"> </v>
      </c>
      <c r="BN23" s="136" t="str">
        <f t="shared" si="8"/>
        <v xml:space="preserve"> </v>
      </c>
      <c r="BO23" s="136" t="str">
        <f t="shared" si="8"/>
        <v xml:space="preserve"> </v>
      </c>
      <c r="BP23" s="136" t="str">
        <f t="shared" si="8"/>
        <v xml:space="preserve"> </v>
      </c>
      <c r="BQ23" s="136" t="str">
        <f t="shared" si="8"/>
        <v xml:space="preserve"> </v>
      </c>
      <c r="BR23" s="136" t="str">
        <f t="shared" si="8"/>
        <v xml:space="preserve"> </v>
      </c>
      <c r="BS23" s="136" t="str">
        <f t="shared" si="8"/>
        <v xml:space="preserve"> </v>
      </c>
      <c r="BT23" s="136" t="str">
        <f t="shared" si="8"/>
        <v xml:space="preserve"> </v>
      </c>
      <c r="BU23" s="136" t="str">
        <f t="shared" si="8"/>
        <v xml:space="preserve"> </v>
      </c>
      <c r="BV23" s="136" t="str">
        <f t="shared" si="8"/>
        <v xml:space="preserve"> </v>
      </c>
      <c r="BW23" s="136" t="str">
        <f t="shared" si="8"/>
        <v xml:space="preserve"> </v>
      </c>
      <c r="BX23" s="136" t="str">
        <f t="shared" si="8"/>
        <v xml:space="preserve"> </v>
      </c>
      <c r="BY23" s="136" t="str">
        <f t="shared" si="8"/>
        <v xml:space="preserve"> </v>
      </c>
      <c r="BZ23" s="136" t="str">
        <f t="shared" si="8"/>
        <v xml:space="preserve"> </v>
      </c>
      <c r="CA23" s="136" t="str">
        <f t="shared" si="7"/>
        <v xml:space="preserve"> </v>
      </c>
      <c r="CB23" s="136" t="str">
        <f t="shared" si="7"/>
        <v xml:space="preserve"> </v>
      </c>
      <c r="CC23" s="136" t="str">
        <f t="shared" si="7"/>
        <v xml:space="preserve"> </v>
      </c>
      <c r="CD23" s="136" t="str">
        <f t="shared" si="7"/>
        <v xml:space="preserve"> </v>
      </c>
      <c r="CE23" s="136" t="str">
        <f t="shared" si="7"/>
        <v xml:space="preserve"> </v>
      </c>
      <c r="CF23" s="136" t="str">
        <f t="shared" si="7"/>
        <v xml:space="preserve"> </v>
      </c>
      <c r="CG23" s="136" t="str">
        <f t="shared" si="7"/>
        <v xml:space="preserve"> </v>
      </c>
      <c r="CH23" s="136" t="str">
        <f t="shared" si="7"/>
        <v xml:space="preserve"> </v>
      </c>
    </row>
    <row r="24" spans="1:86" ht="18.75" x14ac:dyDescent="0.35">
      <c r="A24">
        <v>2</v>
      </c>
      <c r="B24">
        <f t="shared" ref="B24:B87" si="9">A24*0.54325</f>
        <v>1.0865</v>
      </c>
      <c r="C24" s="75">
        <f>B24*LBP/'G&amp;H'!$K$7</f>
        <v>236505808.08080813</v>
      </c>
      <c r="D24" s="75">
        <f>0.075/((LOG10(C24)-2)^2)+'G&amp;H'!$D$17/1000</f>
        <v>1.6551547914085037E-3</v>
      </c>
      <c r="E24">
        <f>D24*0.5*1.025*'G&amp;H'!$K$19*Tools1!B24^2</f>
        <v>10.910625478077442</v>
      </c>
      <c r="I24" s="9" t="s">
        <v>13</v>
      </c>
      <c r="J24" s="7">
        <f>VLOOKUP(I24,'G&amp;H'!$B$3:$C$9,2,FALSE)</f>
        <v>378.36666666666667</v>
      </c>
      <c r="K24" s="9" t="s">
        <v>14</v>
      </c>
      <c r="O24">
        <f>IF(AND(ISNUMBER(LBP),ISNUMBER(▼_)),1,2)</f>
        <v>1</v>
      </c>
      <c r="P24" s="82"/>
      <c r="Q24" s="82"/>
      <c r="R24" s="82"/>
      <c r="S24" s="82"/>
      <c r="T24" s="83"/>
      <c r="V24" s="74"/>
      <c r="W24" s="74"/>
      <c r="X24" s="74"/>
      <c r="Y24" s="74"/>
      <c r="Z24" s="74">
        <v>0.31590000000000001</v>
      </c>
      <c r="AA24" s="74">
        <v>0.41</v>
      </c>
      <c r="AB24" s="74" t="e">
        <f>IF(OR('G&amp;H'!$C$67=$Z22,'G&amp;H'!$C$68=$Z22),Z24,NA())</f>
        <v>#N/A</v>
      </c>
      <c r="AC24" s="74" t="e">
        <f>IF(OR('G&amp;H'!$C$67=$Z22,'G&amp;H'!$C$68=$Z22),AA24,NA())</f>
        <v>#N/A</v>
      </c>
      <c r="AD24" s="80" t="e">
        <f>IF(OR('G&amp;H'!$C$67=$Z22,'G&amp;H'!$C$68=$Z22),AA24/(Z24-Z23)*('G&amp;H'!Fn-Z23),NA())</f>
        <v>#N/A</v>
      </c>
      <c r="AE24" s="74"/>
      <c r="AG24" s="135" t="e">
        <f t="shared" si="3"/>
        <v>#N/A</v>
      </c>
      <c r="AH24" s="136">
        <v>23</v>
      </c>
      <c r="AI24" s="138"/>
      <c r="AJ24" s="138"/>
      <c r="AK24" s="138"/>
      <c r="AL24" s="138"/>
      <c r="AM24" s="138"/>
      <c r="AN24" s="138"/>
      <c r="AO24" s="138"/>
      <c r="AP24" s="138"/>
      <c r="AQ24" s="138"/>
      <c r="AR24" s="138"/>
      <c r="AS24" s="138"/>
      <c r="AT24" s="138"/>
      <c r="AU24" s="138"/>
      <c r="AV24" s="138"/>
      <c r="AW24" s="138"/>
      <c r="AX24" s="138"/>
      <c r="AY24" s="138"/>
      <c r="AZ24" s="138"/>
      <c r="BA24" s="138"/>
      <c r="BB24" s="138"/>
      <c r="BC24" s="138"/>
      <c r="BD24" s="138"/>
      <c r="BE24" s="138"/>
      <c r="BF24" s="138"/>
      <c r="BG24" s="136" t="b">
        <f t="shared" si="4"/>
        <v>0</v>
      </c>
      <c r="BH24" s="136">
        <f>ROW()</f>
        <v>24</v>
      </c>
      <c r="BI24" s="136">
        <v>23</v>
      </c>
      <c r="BJ24" s="136" t="str">
        <f t="shared" si="5"/>
        <v>NA</v>
      </c>
      <c r="BK24" s="136" t="e">
        <f t="shared" si="8"/>
        <v>#N/A</v>
      </c>
      <c r="BL24" s="136" t="str">
        <f t="shared" si="8"/>
        <v xml:space="preserve"> </v>
      </c>
      <c r="BM24" s="136" t="str">
        <f t="shared" si="8"/>
        <v xml:space="preserve"> </v>
      </c>
      <c r="BN24" s="136" t="str">
        <f t="shared" si="8"/>
        <v xml:space="preserve"> </v>
      </c>
      <c r="BO24" s="136" t="str">
        <f t="shared" si="8"/>
        <v xml:space="preserve"> </v>
      </c>
      <c r="BP24" s="136" t="str">
        <f t="shared" si="8"/>
        <v xml:space="preserve"> </v>
      </c>
      <c r="BQ24" s="136" t="str">
        <f t="shared" si="8"/>
        <v xml:space="preserve"> </v>
      </c>
      <c r="BR24" s="136" t="str">
        <f t="shared" si="8"/>
        <v xml:space="preserve"> </v>
      </c>
      <c r="BS24" s="136" t="str">
        <f t="shared" si="8"/>
        <v xml:space="preserve"> </v>
      </c>
      <c r="BT24" s="136" t="str">
        <f t="shared" si="8"/>
        <v xml:space="preserve"> </v>
      </c>
      <c r="BU24" s="136" t="str">
        <f t="shared" si="8"/>
        <v xml:space="preserve"> </v>
      </c>
      <c r="BV24" s="136" t="str">
        <f t="shared" si="8"/>
        <v xml:space="preserve"> </v>
      </c>
      <c r="BW24" s="136" t="str">
        <f t="shared" si="8"/>
        <v xml:space="preserve"> </v>
      </c>
      <c r="BX24" s="136" t="str">
        <f t="shared" si="8"/>
        <v xml:space="preserve"> </v>
      </c>
      <c r="BY24" s="136" t="str">
        <f t="shared" si="8"/>
        <v xml:space="preserve"> </v>
      </c>
      <c r="BZ24" s="136" t="str">
        <f t="shared" si="8"/>
        <v xml:space="preserve"> </v>
      </c>
      <c r="CA24" s="136" t="str">
        <f t="shared" si="7"/>
        <v xml:space="preserve"> </v>
      </c>
      <c r="CB24" s="136" t="str">
        <f t="shared" si="7"/>
        <v xml:space="preserve"> </v>
      </c>
      <c r="CC24" s="136" t="str">
        <f t="shared" si="7"/>
        <v xml:space="preserve"> </v>
      </c>
      <c r="CD24" s="136" t="str">
        <f t="shared" si="7"/>
        <v xml:space="preserve"> </v>
      </c>
      <c r="CE24" s="136" t="str">
        <f t="shared" si="7"/>
        <v xml:space="preserve"> </v>
      </c>
      <c r="CF24" s="136" t="str">
        <f t="shared" si="7"/>
        <v xml:space="preserve"> </v>
      </c>
      <c r="CG24" s="136" t="str">
        <f t="shared" si="7"/>
        <v xml:space="preserve"> </v>
      </c>
      <c r="CH24" s="136" t="str">
        <f t="shared" si="7"/>
        <v xml:space="preserve"> </v>
      </c>
    </row>
    <row r="25" spans="1:86" ht="18.75" x14ac:dyDescent="0.35">
      <c r="A25">
        <v>3</v>
      </c>
      <c r="B25">
        <f t="shared" si="9"/>
        <v>1.62975</v>
      </c>
      <c r="C25" s="75">
        <f>B25*LBP/'G&amp;H'!$K$7</f>
        <v>354758712.12121218</v>
      </c>
      <c r="D25" s="75">
        <f>0.075/((LOG10(C25)-2)^2)+'G&amp;H'!$D$17/1000</f>
        <v>1.5572256017827404E-3</v>
      </c>
      <c r="E25">
        <f>D25*0.5*1.025*'G&amp;H'!$K$19*Tools1!B25^2</f>
        <v>23.096442206955384</v>
      </c>
      <c r="I25" s="8" t="s">
        <v>17</v>
      </c>
      <c r="J25" s="7">
        <f>VLOOKUP(I25,'G&amp;H'!$B$3:$C$9,2,FALSE)</f>
        <v>45.169999999999995</v>
      </c>
      <c r="K25" s="8" t="s">
        <v>14</v>
      </c>
      <c r="O25" s="81"/>
      <c r="P25" s="82"/>
      <c r="Q25" s="82"/>
      <c r="R25" s="82"/>
      <c r="S25" s="82"/>
      <c r="T25" s="83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G25" s="135" t="e">
        <f t="shared" si="3"/>
        <v>#N/A</v>
      </c>
      <c r="AH25" s="136">
        <v>24</v>
      </c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  <c r="AU25" s="138"/>
      <c r="AV25" s="138"/>
      <c r="AW25" s="138"/>
      <c r="AX25" s="138"/>
      <c r="AY25" s="138"/>
      <c r="AZ25" s="138"/>
      <c r="BA25" s="138"/>
      <c r="BB25" s="138"/>
      <c r="BC25" s="138"/>
      <c r="BD25" s="138"/>
      <c r="BE25" s="138"/>
      <c r="BF25" s="138"/>
      <c r="BG25" s="136" t="b">
        <f t="shared" si="4"/>
        <v>0</v>
      </c>
      <c r="BH25" s="136">
        <f>ROW()</f>
        <v>25</v>
      </c>
      <c r="BI25" s="136">
        <v>24</v>
      </c>
      <c r="BJ25" s="136" t="str">
        <f t="shared" si="5"/>
        <v>NA</v>
      </c>
      <c r="BK25" s="136" t="e">
        <f t="shared" si="8"/>
        <v>#N/A</v>
      </c>
      <c r="BL25" s="136" t="str">
        <f t="shared" si="8"/>
        <v xml:space="preserve"> </v>
      </c>
      <c r="BM25" s="136" t="str">
        <f t="shared" si="8"/>
        <v xml:space="preserve"> </v>
      </c>
      <c r="BN25" s="136" t="str">
        <f t="shared" si="8"/>
        <v xml:space="preserve"> </v>
      </c>
      <c r="BO25" s="136" t="str">
        <f t="shared" si="8"/>
        <v xml:space="preserve"> </v>
      </c>
      <c r="BP25" s="136" t="str">
        <f t="shared" si="8"/>
        <v xml:space="preserve"> </v>
      </c>
      <c r="BQ25" s="136" t="str">
        <f t="shared" si="8"/>
        <v xml:space="preserve"> </v>
      </c>
      <c r="BR25" s="136" t="str">
        <f t="shared" si="8"/>
        <v xml:space="preserve"> </v>
      </c>
      <c r="BS25" s="136" t="str">
        <f t="shared" si="8"/>
        <v xml:space="preserve"> </v>
      </c>
      <c r="BT25" s="136" t="str">
        <f t="shared" si="8"/>
        <v xml:space="preserve"> </v>
      </c>
      <c r="BU25" s="136" t="str">
        <f t="shared" si="8"/>
        <v xml:space="preserve"> </v>
      </c>
      <c r="BV25" s="136" t="str">
        <f t="shared" si="8"/>
        <v xml:space="preserve"> </v>
      </c>
      <c r="BW25" s="136" t="str">
        <f t="shared" si="8"/>
        <v xml:space="preserve"> </v>
      </c>
      <c r="BX25" s="136" t="str">
        <f t="shared" si="8"/>
        <v xml:space="preserve"> </v>
      </c>
      <c r="BY25" s="136" t="str">
        <f t="shared" si="8"/>
        <v xml:space="preserve"> </v>
      </c>
      <c r="BZ25" s="136" t="str">
        <f t="shared" si="8"/>
        <v xml:space="preserve"> </v>
      </c>
      <c r="CA25" s="136" t="str">
        <f t="shared" si="7"/>
        <v xml:space="preserve"> </v>
      </c>
      <c r="CB25" s="136" t="str">
        <f t="shared" si="7"/>
        <v xml:space="preserve"> </v>
      </c>
      <c r="CC25" s="136" t="str">
        <f t="shared" si="7"/>
        <v xml:space="preserve"> </v>
      </c>
      <c r="CD25" s="136" t="str">
        <f t="shared" si="7"/>
        <v xml:space="preserve"> </v>
      </c>
      <c r="CE25" s="136" t="str">
        <f t="shared" si="7"/>
        <v xml:space="preserve"> </v>
      </c>
      <c r="CF25" s="136" t="str">
        <f t="shared" si="7"/>
        <v xml:space="preserve"> </v>
      </c>
      <c r="CG25" s="136" t="str">
        <f t="shared" si="7"/>
        <v xml:space="preserve"> </v>
      </c>
      <c r="CH25" s="136" t="str">
        <f t="shared" si="7"/>
        <v xml:space="preserve"> </v>
      </c>
    </row>
    <row r="26" spans="1:86" x14ac:dyDescent="0.25">
      <c r="A26">
        <v>4</v>
      </c>
      <c r="B26">
        <f t="shared" si="9"/>
        <v>2.173</v>
      </c>
      <c r="C26" s="75">
        <f>B26*LBP/'G&amp;H'!$K$7</f>
        <v>473011616.16161627</v>
      </c>
      <c r="D26" s="75">
        <f>0.075/((LOG10(C26)-2)^2)+'G&amp;H'!$D$17/1000</f>
        <v>1.492393804196376E-3</v>
      </c>
      <c r="E26">
        <f>D26*0.5*1.025*'G&amp;H'!$K$19*Tools1!B26^2</f>
        <v>39.350881133077422</v>
      </c>
      <c r="I26" s="9" t="s">
        <v>19</v>
      </c>
      <c r="J26" s="7">
        <f>VLOOKUP(I26,'G&amp;H'!$B$3:$C$9,2,FALSE)</f>
        <v>-3.7367543249879551</v>
      </c>
      <c r="K26" s="9" t="s">
        <v>3</v>
      </c>
      <c r="O26" s="145">
        <v>18</v>
      </c>
      <c r="P26" s="82" t="b">
        <f>ISNUMBER(O26)</f>
        <v>1</v>
      </c>
      <c r="Q26" s="82"/>
      <c r="R26" s="82"/>
      <c r="S26" s="82"/>
      <c r="T26" s="83"/>
      <c r="V26" s="74"/>
      <c r="W26" s="74" t="e">
        <f>'G&amp;H'!D69</f>
        <v>#N/A</v>
      </c>
      <c r="X26" s="74"/>
      <c r="Y26" s="74"/>
      <c r="Z26" s="74">
        <v>0.55000000000000004</v>
      </c>
      <c r="AA26" s="74"/>
      <c r="AB26" s="74"/>
      <c r="AC26" s="74"/>
      <c r="AD26" s="74" t="e">
        <f>IF('G&amp;H'!$A$63,AD27,NA())</f>
        <v>#N/A</v>
      </c>
      <c r="AE26" s="74"/>
      <c r="AG26" s="135" t="e">
        <f t="shared" si="3"/>
        <v>#N/A</v>
      </c>
      <c r="AH26" s="136">
        <v>25</v>
      </c>
      <c r="AI26" s="138"/>
      <c r="AJ26" s="138"/>
      <c r="AK26" s="138"/>
      <c r="AL26" s="138"/>
      <c r="AM26" s="138"/>
      <c r="AN26" s="138"/>
      <c r="AO26" s="138"/>
      <c r="AP26" s="138"/>
      <c r="AQ26" s="138"/>
      <c r="AR26" s="138"/>
      <c r="AS26" s="138"/>
      <c r="AT26" s="138"/>
      <c r="AU26" s="138"/>
      <c r="AV26" s="138"/>
      <c r="AW26" s="138"/>
      <c r="AX26" s="138"/>
      <c r="AY26" s="138"/>
      <c r="AZ26" s="138"/>
      <c r="BA26" s="138"/>
      <c r="BB26" s="138"/>
      <c r="BC26" s="138"/>
      <c r="BD26" s="138"/>
      <c r="BE26" s="138"/>
      <c r="BF26" s="138"/>
      <c r="BG26" s="136" t="b">
        <f t="shared" si="4"/>
        <v>0</v>
      </c>
      <c r="BH26" s="136">
        <f>ROW()</f>
        <v>26</v>
      </c>
      <c r="BI26" s="136">
        <v>25</v>
      </c>
      <c r="BJ26" s="136" t="str">
        <f t="shared" si="5"/>
        <v>NA</v>
      </c>
      <c r="BK26" s="136" t="e">
        <f t="shared" si="8"/>
        <v>#N/A</v>
      </c>
      <c r="BL26" s="136" t="str">
        <f t="shared" si="8"/>
        <v xml:space="preserve"> </v>
      </c>
      <c r="BM26" s="136" t="str">
        <f t="shared" si="8"/>
        <v xml:space="preserve"> </v>
      </c>
      <c r="BN26" s="136" t="str">
        <f t="shared" si="8"/>
        <v xml:space="preserve"> </v>
      </c>
      <c r="BO26" s="136" t="str">
        <f t="shared" si="8"/>
        <v xml:space="preserve"> </v>
      </c>
      <c r="BP26" s="136" t="str">
        <f t="shared" si="8"/>
        <v xml:space="preserve"> </v>
      </c>
      <c r="BQ26" s="136" t="str">
        <f t="shared" si="8"/>
        <v xml:space="preserve"> </v>
      </c>
      <c r="BR26" s="136" t="str">
        <f t="shared" si="8"/>
        <v xml:space="preserve"> </v>
      </c>
      <c r="BS26" s="136" t="str">
        <f t="shared" si="8"/>
        <v xml:space="preserve"> </v>
      </c>
      <c r="BT26" s="136" t="str">
        <f t="shared" si="8"/>
        <v xml:space="preserve"> </v>
      </c>
      <c r="BU26" s="136" t="str">
        <f t="shared" si="8"/>
        <v xml:space="preserve"> </v>
      </c>
      <c r="BV26" s="136" t="str">
        <f t="shared" si="8"/>
        <v xml:space="preserve"> </v>
      </c>
      <c r="BW26" s="136" t="str">
        <f t="shared" si="8"/>
        <v xml:space="preserve"> </v>
      </c>
      <c r="BX26" s="136" t="str">
        <f t="shared" si="8"/>
        <v xml:space="preserve"> </v>
      </c>
      <c r="BY26" s="136" t="str">
        <f t="shared" si="8"/>
        <v xml:space="preserve"> </v>
      </c>
      <c r="BZ26" s="136" t="str">
        <f t="shared" si="8"/>
        <v xml:space="preserve"> </v>
      </c>
      <c r="CA26" s="136" t="str">
        <f t="shared" si="7"/>
        <v xml:space="preserve"> </v>
      </c>
      <c r="CB26" s="136" t="str">
        <f t="shared" si="7"/>
        <v xml:space="preserve"> </v>
      </c>
      <c r="CC26" s="136" t="str">
        <f t="shared" si="7"/>
        <v xml:space="preserve"> </v>
      </c>
      <c r="CD26" s="136" t="str">
        <f t="shared" si="7"/>
        <v xml:space="preserve"> </v>
      </c>
      <c r="CE26" s="136" t="str">
        <f t="shared" si="7"/>
        <v xml:space="preserve"> </v>
      </c>
      <c r="CF26" s="136" t="str">
        <f t="shared" si="7"/>
        <v xml:space="preserve"> </v>
      </c>
      <c r="CG26" s="136" t="str">
        <f t="shared" si="7"/>
        <v xml:space="preserve"> </v>
      </c>
      <c r="CH26" s="136" t="str">
        <f t="shared" si="7"/>
        <v xml:space="preserve"> </v>
      </c>
    </row>
    <row r="27" spans="1:86" ht="17.25" x14ac:dyDescent="0.25">
      <c r="A27">
        <v>5</v>
      </c>
      <c r="B27">
        <f t="shared" si="9"/>
        <v>2.7162500000000001</v>
      </c>
      <c r="C27" s="75">
        <f>B27*LBP/'G&amp;H'!$K$7</f>
        <v>591264520.20202029</v>
      </c>
      <c r="D27" s="75">
        <f>0.075/((LOG10(C27)-2)^2)+'G&amp;H'!$D$17/1000</f>
        <v>1.4445580792062465E-3</v>
      </c>
      <c r="E27">
        <f>D27*0.5*1.025*'G&amp;H'!$K$19*Tools1!B27^2</f>
        <v>59.514947881921216</v>
      </c>
      <c r="I27" s="8" t="s">
        <v>20</v>
      </c>
      <c r="J27" s="7">
        <f>VLOOKUP(I27,'G&amp;H'!$B$3:$C$9,2,FALSE)</f>
        <v>64254.887933333339</v>
      </c>
      <c r="K27" s="8" t="s">
        <v>21</v>
      </c>
      <c r="O27" s="81"/>
      <c r="P27" s="82"/>
      <c r="Q27" s="82"/>
      <c r="R27" s="82"/>
      <c r="S27" s="82"/>
      <c r="T27" s="83"/>
      <c r="V27" s="74"/>
      <c r="W27" s="74" t="e">
        <f>W26</f>
        <v>#N/A</v>
      </c>
      <c r="X27" s="74"/>
      <c r="Y27" s="74"/>
      <c r="Z27" s="74">
        <v>0.21174999999999999</v>
      </c>
      <c r="AA27" s="74">
        <v>0</v>
      </c>
      <c r="AB27" s="74" t="e">
        <f>IF(OR('G&amp;H'!$C$67=$Z26,'G&amp;H'!$C$68=$Z26),Z27,NA())</f>
        <v>#N/A</v>
      </c>
      <c r="AC27" s="74" t="e">
        <f>IF(OR('G&amp;H'!$C$67=$Z26,'G&amp;H'!$C$68=$Z26),AA27,NA())</f>
        <v>#N/A</v>
      </c>
      <c r="AD27" s="74" t="e">
        <f>IF('G&amp;H'!$A$63,AD28,NA())</f>
        <v>#N/A</v>
      </c>
      <c r="AE27" s="74"/>
      <c r="AG27" s="135" t="e">
        <f t="shared" si="3"/>
        <v>#N/A</v>
      </c>
      <c r="AH27" s="136">
        <v>26</v>
      </c>
      <c r="AI27" s="138"/>
      <c r="AJ27" s="138"/>
      <c r="AK27" s="138"/>
      <c r="AL27" s="138"/>
      <c r="AM27" s="138"/>
      <c r="AN27" s="138"/>
      <c r="AO27" s="138"/>
      <c r="AP27" s="138"/>
      <c r="AQ27" s="138"/>
      <c r="AR27" s="138"/>
      <c r="AS27" s="138"/>
      <c r="AT27" s="138"/>
      <c r="AU27" s="138"/>
      <c r="AV27" s="138"/>
      <c r="AW27" s="138"/>
      <c r="AX27" s="138"/>
      <c r="AY27" s="138"/>
      <c r="AZ27" s="138"/>
      <c r="BA27" s="138"/>
      <c r="BB27" s="138"/>
      <c r="BC27" s="138"/>
      <c r="BD27" s="138"/>
      <c r="BE27" s="138"/>
      <c r="BF27" s="138"/>
      <c r="BG27" s="136" t="b">
        <f t="shared" si="4"/>
        <v>0</v>
      </c>
      <c r="BH27" s="136">
        <f>ROW()</f>
        <v>27</v>
      </c>
      <c r="BI27" s="136">
        <v>26</v>
      </c>
      <c r="BJ27" s="136" t="str">
        <f t="shared" si="5"/>
        <v>NA</v>
      </c>
      <c r="BK27" s="136" t="e">
        <f t="shared" si="8"/>
        <v>#N/A</v>
      </c>
      <c r="BL27" s="136" t="str">
        <f t="shared" si="8"/>
        <v xml:space="preserve"> </v>
      </c>
      <c r="BM27" s="136" t="str">
        <f t="shared" si="8"/>
        <v xml:space="preserve"> </v>
      </c>
      <c r="BN27" s="136" t="str">
        <f t="shared" si="8"/>
        <v xml:space="preserve"> </v>
      </c>
      <c r="BO27" s="136" t="str">
        <f t="shared" si="8"/>
        <v xml:space="preserve"> </v>
      </c>
      <c r="BP27" s="136" t="str">
        <f t="shared" si="8"/>
        <v xml:space="preserve"> </v>
      </c>
      <c r="BQ27" s="136" t="str">
        <f t="shared" si="8"/>
        <v xml:space="preserve"> </v>
      </c>
      <c r="BR27" s="136" t="str">
        <f t="shared" si="8"/>
        <v xml:space="preserve"> </v>
      </c>
      <c r="BS27" s="136" t="str">
        <f t="shared" si="8"/>
        <v xml:space="preserve"> </v>
      </c>
      <c r="BT27" s="136" t="str">
        <f t="shared" si="8"/>
        <v xml:space="preserve"> </v>
      </c>
      <c r="BU27" s="136" t="str">
        <f t="shared" si="8"/>
        <v xml:space="preserve"> </v>
      </c>
      <c r="BV27" s="136" t="str">
        <f t="shared" si="8"/>
        <v xml:space="preserve"> </v>
      </c>
      <c r="BW27" s="136" t="str">
        <f t="shared" si="8"/>
        <v xml:space="preserve"> </v>
      </c>
      <c r="BX27" s="136" t="str">
        <f t="shared" si="8"/>
        <v xml:space="preserve"> </v>
      </c>
      <c r="BY27" s="136" t="str">
        <f t="shared" si="8"/>
        <v xml:space="preserve"> </v>
      </c>
      <c r="BZ27" s="136" t="str">
        <f t="shared" si="8"/>
        <v xml:space="preserve"> </v>
      </c>
      <c r="CA27" s="136" t="str">
        <f t="shared" si="7"/>
        <v xml:space="preserve"> </v>
      </c>
      <c r="CB27" s="136" t="str">
        <f t="shared" si="7"/>
        <v xml:space="preserve"> </v>
      </c>
      <c r="CC27" s="136" t="str">
        <f t="shared" si="7"/>
        <v xml:space="preserve"> </v>
      </c>
      <c r="CD27" s="136" t="str">
        <f t="shared" si="7"/>
        <v xml:space="preserve"> </v>
      </c>
      <c r="CE27" s="136" t="str">
        <f t="shared" si="7"/>
        <v xml:space="preserve"> </v>
      </c>
      <c r="CF27" s="136" t="str">
        <f t="shared" si="7"/>
        <v xml:space="preserve"> </v>
      </c>
      <c r="CG27" s="136" t="str">
        <f t="shared" si="7"/>
        <v xml:space="preserve"> </v>
      </c>
      <c r="CH27" s="136" t="str">
        <f t="shared" si="7"/>
        <v xml:space="preserve"> </v>
      </c>
    </row>
    <row r="28" spans="1:86" x14ac:dyDescent="0.25">
      <c r="A28">
        <v>6</v>
      </c>
      <c r="B28">
        <f t="shared" si="9"/>
        <v>3.2595000000000001</v>
      </c>
      <c r="C28" s="75">
        <f>B28*LBP/'G&amp;H'!$K$7</f>
        <v>709517424.24242437</v>
      </c>
      <c r="D28" s="75">
        <f>0.075/((LOG10(C28)-2)^2)+'G&amp;H'!$D$17/1000</f>
        <v>1.406970959049603E-3</v>
      </c>
      <c r="E28">
        <f>D28*0.5*1.025*'G&amp;H'!$K$19*Tools1!B28^2</f>
        <v>83.471587945514656</v>
      </c>
      <c r="O28" s="81"/>
      <c r="P28" s="82"/>
      <c r="Q28" s="82"/>
      <c r="R28" s="82"/>
      <c r="S28" s="82"/>
      <c r="T28" s="83"/>
      <c r="V28" s="74"/>
      <c r="W28" s="74"/>
      <c r="X28" s="74"/>
      <c r="Y28" s="74"/>
      <c r="Z28" s="74">
        <v>0.31769999999999998</v>
      </c>
      <c r="AA28" s="74">
        <v>0.40200000000000002</v>
      </c>
      <c r="AB28" s="74" t="e">
        <f>IF(OR('G&amp;H'!$C$67=$Z26,'G&amp;H'!$C$68=$Z26),Z28,NA())</f>
        <v>#N/A</v>
      </c>
      <c r="AC28" s="74" t="e">
        <f>IF(OR('G&amp;H'!$C$67=$Z26,'G&amp;H'!$C$68=$Z26),AA28,NA())</f>
        <v>#N/A</v>
      </c>
      <c r="AD28" s="80" t="e">
        <f>IF(OR('G&amp;H'!$C$67=$Z26,'G&amp;H'!$C$68=$Z26),AA28/(Z28-Z27)*('G&amp;H'!Fn-Z27),NA())</f>
        <v>#N/A</v>
      </c>
      <c r="AE28" s="74"/>
      <c r="AG28" s="135" t="e">
        <f t="shared" si="3"/>
        <v>#N/A</v>
      </c>
      <c r="AH28" s="136">
        <v>27</v>
      </c>
      <c r="AI28" s="138"/>
      <c r="AJ28" s="138"/>
      <c r="AK28" s="138"/>
      <c r="AL28" s="138"/>
      <c r="AM28" s="138"/>
      <c r="AN28" s="138"/>
      <c r="AO28" s="138"/>
      <c r="AP28" s="138"/>
      <c r="AQ28" s="138"/>
      <c r="AR28" s="138"/>
      <c r="AS28" s="138"/>
      <c r="AT28" s="138"/>
      <c r="AU28" s="138"/>
      <c r="AV28" s="138"/>
      <c r="AW28" s="138"/>
      <c r="AX28" s="138"/>
      <c r="AY28" s="138"/>
      <c r="AZ28" s="138"/>
      <c r="BA28" s="138"/>
      <c r="BB28" s="138"/>
      <c r="BC28" s="138"/>
      <c r="BD28" s="138"/>
      <c r="BE28" s="138"/>
      <c r="BF28" s="138"/>
      <c r="BG28" s="136" t="b">
        <f t="shared" si="4"/>
        <v>0</v>
      </c>
      <c r="BH28" s="136">
        <f>ROW()</f>
        <v>28</v>
      </c>
      <c r="BI28" s="136">
        <v>27</v>
      </c>
      <c r="BJ28" s="136" t="str">
        <f t="shared" si="5"/>
        <v>NA</v>
      </c>
      <c r="BK28" s="136" t="e">
        <f t="shared" si="8"/>
        <v>#N/A</v>
      </c>
      <c r="BL28" s="136" t="str">
        <f t="shared" si="8"/>
        <v xml:space="preserve"> </v>
      </c>
      <c r="BM28" s="136" t="str">
        <f t="shared" si="8"/>
        <v xml:space="preserve"> </v>
      </c>
      <c r="BN28" s="136" t="str">
        <f t="shared" si="8"/>
        <v xml:space="preserve"> </v>
      </c>
      <c r="BO28" s="136" t="str">
        <f t="shared" si="8"/>
        <v xml:space="preserve"> </v>
      </c>
      <c r="BP28" s="136" t="str">
        <f t="shared" si="8"/>
        <v xml:space="preserve"> </v>
      </c>
      <c r="BQ28" s="136" t="str">
        <f t="shared" si="8"/>
        <v xml:space="preserve"> </v>
      </c>
      <c r="BR28" s="136" t="str">
        <f t="shared" si="8"/>
        <v xml:space="preserve"> </v>
      </c>
      <c r="BS28" s="136" t="str">
        <f t="shared" si="8"/>
        <v xml:space="preserve"> </v>
      </c>
      <c r="BT28" s="136" t="str">
        <f t="shared" si="8"/>
        <v xml:space="preserve"> </v>
      </c>
      <c r="BU28" s="136" t="str">
        <f t="shared" si="8"/>
        <v xml:space="preserve"> </v>
      </c>
      <c r="BV28" s="136" t="str">
        <f t="shared" si="8"/>
        <v xml:space="preserve"> </v>
      </c>
      <c r="BW28" s="136" t="str">
        <f t="shared" si="8"/>
        <v xml:space="preserve"> </v>
      </c>
      <c r="BX28" s="136" t="str">
        <f t="shared" si="8"/>
        <v xml:space="preserve"> </v>
      </c>
      <c r="BY28" s="136" t="str">
        <f t="shared" si="8"/>
        <v xml:space="preserve"> </v>
      </c>
      <c r="BZ28" s="136" t="str">
        <f t="shared" si="8"/>
        <v xml:space="preserve"> </v>
      </c>
      <c r="CA28" s="136" t="str">
        <f t="shared" si="7"/>
        <v xml:space="preserve"> </v>
      </c>
      <c r="CB28" s="136" t="str">
        <f t="shared" si="7"/>
        <v xml:space="preserve"> </v>
      </c>
      <c r="CC28" s="136" t="str">
        <f t="shared" si="7"/>
        <v xml:space="preserve"> </v>
      </c>
      <c r="CD28" s="136" t="str">
        <f t="shared" si="7"/>
        <v xml:space="preserve"> </v>
      </c>
      <c r="CE28" s="136" t="str">
        <f t="shared" si="7"/>
        <v xml:space="preserve"> </v>
      </c>
      <c r="CF28" s="136" t="str">
        <f t="shared" si="7"/>
        <v xml:space="preserve"> </v>
      </c>
      <c r="CG28" s="136" t="str">
        <f t="shared" si="7"/>
        <v xml:space="preserve"> </v>
      </c>
      <c r="CH28" s="136" t="str">
        <f t="shared" si="7"/>
        <v xml:space="preserve"> </v>
      </c>
    </row>
    <row r="29" spans="1:86" x14ac:dyDescent="0.25">
      <c r="A29">
        <v>7</v>
      </c>
      <c r="B29">
        <f t="shared" si="9"/>
        <v>3.8027500000000001</v>
      </c>
      <c r="C29" s="75">
        <f>B29*LBP/'G&amp;H'!$K$7</f>
        <v>827770328.28282845</v>
      </c>
      <c r="D29" s="75">
        <f>0.075/((LOG10(C29)-2)^2)+'G&amp;H'!$D$17/1000</f>
        <v>1.3761932449394972E-3</v>
      </c>
      <c r="E29">
        <f>D29*0.5*1.025*'G&amp;H'!$K$19*Tools1!B29^2</f>
        <v>111.12877913108225</v>
      </c>
      <c r="O29" s="81"/>
      <c r="P29" s="82"/>
      <c r="Q29" s="82"/>
      <c r="R29" s="82"/>
      <c r="S29" s="82"/>
      <c r="T29" s="83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G29" s="135" t="e">
        <f t="shared" si="3"/>
        <v>#N/A</v>
      </c>
      <c r="AH29" s="136">
        <v>28</v>
      </c>
      <c r="AI29" s="138"/>
      <c r="AJ29" s="138"/>
      <c r="AK29" s="138"/>
      <c r="AL29" s="138"/>
      <c r="AM29" s="138"/>
      <c r="AN29" s="138"/>
      <c r="AO29" s="138"/>
      <c r="AP29" s="138"/>
      <c r="AQ29" s="138"/>
      <c r="AR29" s="138"/>
      <c r="AS29" s="138"/>
      <c r="AT29" s="138"/>
      <c r="AU29" s="138"/>
      <c r="AV29" s="138"/>
      <c r="AW29" s="138"/>
      <c r="AX29" s="138"/>
      <c r="AY29" s="138"/>
      <c r="AZ29" s="138"/>
      <c r="BA29" s="138"/>
      <c r="BB29" s="138"/>
      <c r="BC29" s="138"/>
      <c r="BD29" s="138"/>
      <c r="BE29" s="138"/>
      <c r="BF29" s="138"/>
      <c r="BG29" s="136" t="b">
        <f t="shared" si="4"/>
        <v>0</v>
      </c>
      <c r="BH29" s="136">
        <f>ROW()</f>
        <v>29</v>
      </c>
      <c r="BI29" s="136">
        <v>28</v>
      </c>
      <c r="BJ29" s="136" t="str">
        <f t="shared" si="5"/>
        <v>NA</v>
      </c>
      <c r="BK29" s="136" t="e">
        <f t="shared" si="8"/>
        <v>#N/A</v>
      </c>
      <c r="BL29" s="136" t="str">
        <f t="shared" si="8"/>
        <v xml:space="preserve"> </v>
      </c>
      <c r="BM29" s="136" t="str">
        <f t="shared" si="8"/>
        <v xml:space="preserve"> </v>
      </c>
      <c r="BN29" s="136" t="str">
        <f t="shared" si="8"/>
        <v xml:space="preserve"> </v>
      </c>
      <c r="BO29" s="136" t="str">
        <f t="shared" si="8"/>
        <v xml:space="preserve"> </v>
      </c>
      <c r="BP29" s="136" t="str">
        <f t="shared" si="8"/>
        <v xml:space="preserve"> </v>
      </c>
      <c r="BQ29" s="136" t="str">
        <f t="shared" si="8"/>
        <v xml:space="preserve"> </v>
      </c>
      <c r="BR29" s="136" t="str">
        <f t="shared" si="8"/>
        <v xml:space="preserve"> </v>
      </c>
      <c r="BS29" s="136" t="str">
        <f t="shared" si="8"/>
        <v xml:space="preserve"> </v>
      </c>
      <c r="BT29" s="136" t="str">
        <f t="shared" si="8"/>
        <v xml:space="preserve"> </v>
      </c>
      <c r="BU29" s="136" t="str">
        <f t="shared" si="8"/>
        <v xml:space="preserve"> </v>
      </c>
      <c r="BV29" s="136" t="str">
        <f t="shared" si="8"/>
        <v xml:space="preserve"> </v>
      </c>
      <c r="BW29" s="136" t="str">
        <f t="shared" si="8"/>
        <v xml:space="preserve"> </v>
      </c>
      <c r="BX29" s="136" t="str">
        <f t="shared" si="8"/>
        <v xml:space="preserve"> </v>
      </c>
      <c r="BY29" s="136" t="str">
        <f t="shared" si="8"/>
        <v xml:space="preserve"> </v>
      </c>
      <c r="BZ29" s="136" t="str">
        <f t="shared" si="8"/>
        <v xml:space="preserve"> </v>
      </c>
      <c r="CA29" s="136" t="str">
        <f t="shared" si="7"/>
        <v xml:space="preserve"> </v>
      </c>
      <c r="CB29" s="136" t="str">
        <f t="shared" si="7"/>
        <v xml:space="preserve"> </v>
      </c>
      <c r="CC29" s="136" t="str">
        <f t="shared" si="7"/>
        <v xml:space="preserve"> </v>
      </c>
      <c r="CD29" s="136" t="str">
        <f t="shared" si="7"/>
        <v xml:space="preserve"> </v>
      </c>
      <c r="CE29" s="136" t="str">
        <f t="shared" si="7"/>
        <v xml:space="preserve"> </v>
      </c>
      <c r="CF29" s="136" t="str">
        <f t="shared" si="7"/>
        <v xml:space="preserve"> </v>
      </c>
      <c r="CG29" s="136" t="str">
        <f t="shared" si="7"/>
        <v xml:space="preserve"> </v>
      </c>
      <c r="CH29" s="136" t="str">
        <f t="shared" si="7"/>
        <v xml:space="preserve"> </v>
      </c>
    </row>
    <row r="30" spans="1:86" x14ac:dyDescent="0.25">
      <c r="A30">
        <v>8</v>
      </c>
      <c r="B30">
        <f t="shared" si="9"/>
        <v>4.3460000000000001</v>
      </c>
      <c r="C30" s="75">
        <f>B30*LBP/'G&amp;H'!$K$7</f>
        <v>946023232.32323253</v>
      </c>
      <c r="D30" s="75">
        <f>0.075/((LOG10(C30)-2)^2)+'G&amp;H'!$D$17/1000</f>
        <v>1.3502454864982255E-3</v>
      </c>
      <c r="E30">
        <f>D30*0.5*1.025*'G&amp;H'!$K$19*Tools1!B30^2</f>
        <v>142.41107002793331</v>
      </c>
      <c r="O30" s="81"/>
      <c r="P30" s="82"/>
      <c r="Q30" s="82"/>
      <c r="R30" s="82"/>
      <c r="S30" s="82"/>
      <c r="T30" s="83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G30" s="135" t="e">
        <f t="shared" si="3"/>
        <v>#N/A</v>
      </c>
      <c r="AH30" s="136">
        <v>29</v>
      </c>
      <c r="AI30" s="138"/>
      <c r="AJ30" s="138"/>
      <c r="AK30" s="138"/>
      <c r="AL30" s="138"/>
      <c r="AM30" s="138"/>
      <c r="AN30" s="138"/>
      <c r="AO30" s="138"/>
      <c r="AP30" s="138"/>
      <c r="AQ30" s="138"/>
      <c r="AR30" s="138"/>
      <c r="AS30" s="138"/>
      <c r="AT30" s="138"/>
      <c r="AU30" s="138"/>
      <c r="AV30" s="138"/>
      <c r="AW30" s="138"/>
      <c r="AX30" s="138"/>
      <c r="AY30" s="138"/>
      <c r="AZ30" s="138"/>
      <c r="BA30" s="138"/>
      <c r="BB30" s="138"/>
      <c r="BC30" s="138"/>
      <c r="BD30" s="138"/>
      <c r="BE30" s="138"/>
      <c r="BF30" s="138"/>
      <c r="BG30" s="136" t="b">
        <f t="shared" si="4"/>
        <v>0</v>
      </c>
      <c r="BH30" s="136">
        <f>ROW()</f>
        <v>30</v>
      </c>
      <c r="BI30" s="136">
        <v>29</v>
      </c>
      <c r="BJ30" s="136" t="str">
        <f t="shared" si="5"/>
        <v>NA</v>
      </c>
      <c r="BK30" s="136" t="e">
        <f t="shared" si="8"/>
        <v>#N/A</v>
      </c>
      <c r="BL30" s="136" t="str">
        <f t="shared" si="8"/>
        <v xml:space="preserve"> </v>
      </c>
      <c r="BM30" s="136" t="str">
        <f t="shared" si="8"/>
        <v xml:space="preserve"> </v>
      </c>
      <c r="BN30" s="136" t="str">
        <f t="shared" si="8"/>
        <v xml:space="preserve"> </v>
      </c>
      <c r="BO30" s="136" t="str">
        <f t="shared" si="8"/>
        <v xml:space="preserve"> </v>
      </c>
      <c r="BP30" s="136" t="str">
        <f t="shared" si="8"/>
        <v xml:space="preserve"> </v>
      </c>
      <c r="BQ30" s="136" t="str">
        <f t="shared" si="8"/>
        <v xml:space="preserve"> </v>
      </c>
      <c r="BR30" s="136" t="str">
        <f t="shared" si="8"/>
        <v xml:space="preserve"> </v>
      </c>
      <c r="BS30" s="136" t="str">
        <f t="shared" si="8"/>
        <v xml:space="preserve"> </v>
      </c>
      <c r="BT30" s="136" t="str">
        <f t="shared" si="8"/>
        <v xml:space="preserve"> </v>
      </c>
      <c r="BU30" s="136" t="str">
        <f t="shared" si="8"/>
        <v xml:space="preserve"> </v>
      </c>
      <c r="BV30" s="136" t="str">
        <f t="shared" si="8"/>
        <v xml:space="preserve"> </v>
      </c>
      <c r="BW30" s="136" t="str">
        <f t="shared" si="8"/>
        <v xml:space="preserve"> </v>
      </c>
      <c r="BX30" s="136" t="str">
        <f t="shared" si="8"/>
        <v xml:space="preserve"> </v>
      </c>
      <c r="BY30" s="136" t="str">
        <f t="shared" si="8"/>
        <v xml:space="preserve"> </v>
      </c>
      <c r="BZ30" s="136" t="str">
        <f t="shared" si="8"/>
        <v xml:space="preserve"> </v>
      </c>
      <c r="CA30" s="136" t="str">
        <f t="shared" si="7"/>
        <v xml:space="preserve"> </v>
      </c>
      <c r="CB30" s="136" t="str">
        <f t="shared" si="7"/>
        <v xml:space="preserve"> </v>
      </c>
      <c r="CC30" s="136" t="str">
        <f t="shared" si="7"/>
        <v xml:space="preserve"> </v>
      </c>
      <c r="CD30" s="136" t="str">
        <f t="shared" si="7"/>
        <v xml:space="preserve"> </v>
      </c>
      <c r="CE30" s="136" t="str">
        <f t="shared" si="7"/>
        <v xml:space="preserve"> </v>
      </c>
      <c r="CF30" s="136" t="str">
        <f t="shared" si="7"/>
        <v xml:space="preserve"> </v>
      </c>
      <c r="CG30" s="136" t="str">
        <f t="shared" si="7"/>
        <v xml:space="preserve"> </v>
      </c>
      <c r="CH30" s="136" t="str">
        <f t="shared" si="7"/>
        <v xml:space="preserve"> </v>
      </c>
    </row>
    <row r="31" spans="1:86" x14ac:dyDescent="0.25">
      <c r="A31">
        <v>9</v>
      </c>
      <c r="B31">
        <f t="shared" si="9"/>
        <v>4.8892500000000005</v>
      </c>
      <c r="C31" s="75">
        <f>B31*LBP/'G&amp;H'!$K$7</f>
        <v>1064276136.3636366</v>
      </c>
      <c r="D31" s="75">
        <f>0.075/((LOG10(C31)-2)^2)+'G&amp;H'!$D$17/1000</f>
        <v>1.3278891464301962E-3</v>
      </c>
      <c r="E31">
        <f>D31*0.5*1.025*'G&amp;H'!$K$19*Tools1!B31^2</f>
        <v>177.25474975104183</v>
      </c>
      <c r="O31" s="81"/>
      <c r="P31" s="82"/>
      <c r="Q31" s="82"/>
      <c r="R31" s="82"/>
      <c r="S31" s="82"/>
      <c r="T31" s="83"/>
      <c r="AG31" s="135" t="e">
        <f t="shared" si="3"/>
        <v>#N/A</v>
      </c>
      <c r="AH31" s="136">
        <v>30</v>
      </c>
      <c r="AI31" s="138"/>
      <c r="AJ31" s="138"/>
      <c r="AK31" s="138"/>
      <c r="AL31" s="138"/>
      <c r="AM31" s="138"/>
      <c r="AN31" s="138"/>
      <c r="AO31" s="138"/>
      <c r="AP31" s="138"/>
      <c r="AQ31" s="138"/>
      <c r="AR31" s="138"/>
      <c r="AS31" s="138"/>
      <c r="AT31" s="138"/>
      <c r="AU31" s="138"/>
      <c r="AV31" s="138"/>
      <c r="AW31" s="138"/>
      <c r="AX31" s="138"/>
      <c r="AY31" s="138"/>
      <c r="AZ31" s="138"/>
      <c r="BA31" s="138"/>
      <c r="BB31" s="138"/>
      <c r="BC31" s="138"/>
      <c r="BD31" s="138"/>
      <c r="BE31" s="138"/>
      <c r="BF31" s="138"/>
      <c r="BG31" s="136" t="b">
        <f t="shared" si="4"/>
        <v>0</v>
      </c>
      <c r="BH31" s="136">
        <f>ROW()</f>
        <v>31</v>
      </c>
      <c r="BI31" s="136">
        <v>30</v>
      </c>
      <c r="BJ31" s="136" t="str">
        <f t="shared" si="5"/>
        <v>NA</v>
      </c>
      <c r="BK31" s="136" t="e">
        <f t="shared" si="8"/>
        <v>#N/A</v>
      </c>
      <c r="BL31" s="136" t="str">
        <f t="shared" si="8"/>
        <v xml:space="preserve"> </v>
      </c>
      <c r="BM31" s="136" t="str">
        <f t="shared" si="8"/>
        <v xml:space="preserve"> </v>
      </c>
      <c r="BN31" s="136" t="str">
        <f t="shared" si="8"/>
        <v xml:space="preserve"> </v>
      </c>
      <c r="BO31" s="136" t="str">
        <f t="shared" si="8"/>
        <v xml:space="preserve"> </v>
      </c>
      <c r="BP31" s="136" t="str">
        <f t="shared" si="8"/>
        <v xml:space="preserve"> </v>
      </c>
      <c r="BQ31" s="136" t="str">
        <f t="shared" si="8"/>
        <v xml:space="preserve"> </v>
      </c>
      <c r="BR31" s="136" t="str">
        <f t="shared" si="8"/>
        <v xml:space="preserve"> </v>
      </c>
      <c r="BS31" s="136" t="str">
        <f t="shared" si="8"/>
        <v xml:space="preserve"> </v>
      </c>
      <c r="BT31" s="136" t="str">
        <f t="shared" si="8"/>
        <v xml:space="preserve"> </v>
      </c>
      <c r="BU31" s="136" t="str">
        <f t="shared" si="8"/>
        <v xml:space="preserve"> </v>
      </c>
      <c r="BV31" s="136" t="str">
        <f t="shared" si="8"/>
        <v xml:space="preserve"> </v>
      </c>
      <c r="BW31" s="136" t="str">
        <f t="shared" si="8"/>
        <v xml:space="preserve"> </v>
      </c>
      <c r="BX31" s="136" t="str">
        <f t="shared" si="8"/>
        <v xml:space="preserve"> </v>
      </c>
      <c r="BY31" s="136" t="str">
        <f t="shared" si="8"/>
        <v xml:space="preserve"> </v>
      </c>
      <c r="BZ31" s="136" t="str">
        <f t="shared" si="8"/>
        <v xml:space="preserve"> </v>
      </c>
      <c r="CA31" s="136" t="str">
        <f t="shared" si="7"/>
        <v xml:space="preserve"> </v>
      </c>
      <c r="CB31" s="136" t="str">
        <f t="shared" si="7"/>
        <v xml:space="preserve"> </v>
      </c>
      <c r="CC31" s="136" t="str">
        <f t="shared" si="7"/>
        <v xml:space="preserve"> </v>
      </c>
      <c r="CD31" s="136" t="str">
        <f t="shared" si="7"/>
        <v xml:space="preserve"> </v>
      </c>
      <c r="CE31" s="136" t="str">
        <f t="shared" si="7"/>
        <v xml:space="preserve"> </v>
      </c>
      <c r="CF31" s="136" t="str">
        <f t="shared" si="7"/>
        <v xml:space="preserve"> </v>
      </c>
      <c r="CG31" s="136" t="str">
        <f t="shared" si="7"/>
        <v xml:space="preserve"> </v>
      </c>
      <c r="CH31" s="136" t="str">
        <f t="shared" si="7"/>
        <v xml:space="preserve"> </v>
      </c>
    </row>
    <row r="32" spans="1:86" x14ac:dyDescent="0.25">
      <c r="A32">
        <v>10</v>
      </c>
      <c r="B32">
        <f t="shared" si="9"/>
        <v>5.4325000000000001</v>
      </c>
      <c r="C32" s="75">
        <f>B32*LBP/'G&amp;H'!$K$7</f>
        <v>1182529040.4040406</v>
      </c>
      <c r="D32" s="75">
        <f>0.075/((LOG10(C32)-2)^2)+'G&amp;H'!$D$17/1000</f>
        <v>1.3083003558294194E-3</v>
      </c>
      <c r="E32">
        <f>D32*0.5*1.025*'G&amp;H'!$K$19*Tools1!B32^2</f>
        <v>215.6048375261482</v>
      </c>
      <c r="O32" s="81"/>
      <c r="P32" s="82"/>
      <c r="Q32" s="82"/>
      <c r="R32" s="82"/>
      <c r="S32" s="82"/>
      <c r="T32" s="83"/>
      <c r="AG32" s="135" t="e">
        <f t="shared" si="3"/>
        <v>#N/A</v>
      </c>
      <c r="AH32" s="136">
        <v>31</v>
      </c>
      <c r="AI32" s="138"/>
      <c r="AJ32" s="138"/>
      <c r="AK32" s="138"/>
      <c r="AL32" s="138"/>
      <c r="AM32" s="138"/>
      <c r="AN32" s="138"/>
      <c r="AO32" s="138"/>
      <c r="AP32" s="138"/>
      <c r="AQ32" s="138"/>
      <c r="AR32" s="138"/>
      <c r="AS32" s="138"/>
      <c r="AT32" s="138"/>
      <c r="AU32" s="138"/>
      <c r="AV32" s="138"/>
      <c r="AW32" s="138"/>
      <c r="AX32" s="138"/>
      <c r="AY32" s="138"/>
      <c r="AZ32" s="138"/>
      <c r="BA32" s="138"/>
      <c r="BB32" s="138"/>
      <c r="BC32" s="138"/>
      <c r="BD32" s="138"/>
      <c r="BE32" s="138"/>
      <c r="BF32" s="138"/>
      <c r="BG32" s="136" t="b">
        <f t="shared" si="4"/>
        <v>0</v>
      </c>
      <c r="BH32" s="136">
        <f>ROW()</f>
        <v>32</v>
      </c>
      <c r="BI32" s="136">
        <v>31</v>
      </c>
      <c r="BJ32" s="136" t="str">
        <f t="shared" si="5"/>
        <v>NA</v>
      </c>
      <c r="BK32" s="136" t="e">
        <f t="shared" si="8"/>
        <v>#N/A</v>
      </c>
      <c r="BL32" s="136" t="str">
        <f t="shared" si="8"/>
        <v xml:space="preserve"> </v>
      </c>
      <c r="BM32" s="136" t="str">
        <f t="shared" si="8"/>
        <v xml:space="preserve"> </v>
      </c>
      <c r="BN32" s="136" t="str">
        <f t="shared" si="8"/>
        <v xml:space="preserve"> </v>
      </c>
      <c r="BO32" s="136" t="str">
        <f t="shared" si="8"/>
        <v xml:space="preserve"> </v>
      </c>
      <c r="BP32" s="136" t="str">
        <f t="shared" si="8"/>
        <v xml:space="preserve"> </v>
      </c>
      <c r="BQ32" s="136" t="str">
        <f t="shared" si="8"/>
        <v xml:space="preserve"> </v>
      </c>
      <c r="BR32" s="136" t="str">
        <f t="shared" si="8"/>
        <v xml:space="preserve"> </v>
      </c>
      <c r="BS32" s="136" t="str">
        <f t="shared" si="8"/>
        <v xml:space="preserve"> </v>
      </c>
      <c r="BT32" s="136" t="str">
        <f t="shared" si="8"/>
        <v xml:space="preserve"> </v>
      </c>
      <c r="BU32" s="136" t="str">
        <f t="shared" si="8"/>
        <v xml:space="preserve"> </v>
      </c>
      <c r="BV32" s="136" t="str">
        <f t="shared" si="8"/>
        <v xml:space="preserve"> </v>
      </c>
      <c r="BW32" s="136" t="str">
        <f t="shared" si="8"/>
        <v xml:space="preserve"> </v>
      </c>
      <c r="BX32" s="136" t="str">
        <f t="shared" si="8"/>
        <v xml:space="preserve"> </v>
      </c>
      <c r="BY32" s="136" t="str">
        <f t="shared" si="8"/>
        <v xml:space="preserve"> </v>
      </c>
      <c r="BZ32" s="136" t="str">
        <f t="shared" si="8"/>
        <v xml:space="preserve"> </v>
      </c>
      <c r="CA32" s="136" t="str">
        <f t="shared" si="7"/>
        <v xml:space="preserve"> </v>
      </c>
      <c r="CB32" s="136" t="str">
        <f t="shared" si="7"/>
        <v xml:space="preserve"> </v>
      </c>
      <c r="CC32" s="136" t="str">
        <f t="shared" si="7"/>
        <v xml:space="preserve"> </v>
      </c>
      <c r="CD32" s="136" t="str">
        <f t="shared" si="7"/>
        <v xml:space="preserve"> </v>
      </c>
      <c r="CE32" s="136" t="str">
        <f t="shared" si="7"/>
        <v xml:space="preserve"> </v>
      </c>
      <c r="CF32" s="136" t="str">
        <f t="shared" si="7"/>
        <v xml:space="preserve"> </v>
      </c>
      <c r="CG32" s="136" t="str">
        <f t="shared" si="7"/>
        <v xml:space="preserve"> </v>
      </c>
      <c r="CH32" s="136" t="str">
        <f t="shared" si="7"/>
        <v xml:space="preserve"> </v>
      </c>
    </row>
    <row r="33" spans="1:86" x14ac:dyDescent="0.25">
      <c r="A33">
        <v>11</v>
      </c>
      <c r="B33">
        <f t="shared" si="9"/>
        <v>5.9757499999999997</v>
      </c>
      <c r="C33" s="75">
        <f>B33*LBP/'G&amp;H'!$K$7</f>
        <v>1300781944.4444447</v>
      </c>
      <c r="D33" s="75">
        <f>0.075/((LOG10(C33)-2)^2)+'G&amp;H'!$D$17/1000</f>
        <v>1.2909047709333747E-3</v>
      </c>
      <c r="E33">
        <f>D33*0.5*1.025*'G&amp;H'!$K$19*Tools1!B33^2</f>
        <v>257.41308386258788</v>
      </c>
      <c r="O33" s="81"/>
      <c r="P33" s="82"/>
      <c r="Q33" s="82"/>
      <c r="R33" s="82"/>
      <c r="S33" s="82"/>
      <c r="T33" s="83"/>
      <c r="AG33" s="135" t="e">
        <f t="shared" si="3"/>
        <v>#N/A</v>
      </c>
      <c r="AH33" s="136">
        <v>32</v>
      </c>
      <c r="AI33" s="138"/>
      <c r="AJ33" s="138"/>
      <c r="AK33" s="138"/>
      <c r="AL33" s="138"/>
      <c r="AM33" s="138"/>
      <c r="AN33" s="138"/>
      <c r="AO33" s="138"/>
      <c r="AP33" s="138"/>
      <c r="AQ33" s="138"/>
      <c r="AR33" s="138"/>
      <c r="AS33" s="138"/>
      <c r="AT33" s="138"/>
      <c r="AU33" s="138"/>
      <c r="AV33" s="138"/>
      <c r="AW33" s="138"/>
      <c r="AX33" s="138"/>
      <c r="AY33" s="138"/>
      <c r="AZ33" s="138"/>
      <c r="BA33" s="138"/>
      <c r="BB33" s="138"/>
      <c r="BC33" s="138"/>
      <c r="BD33" s="138"/>
      <c r="BE33" s="138"/>
      <c r="BF33" s="138"/>
      <c r="BG33" s="136" t="b">
        <f t="shared" si="4"/>
        <v>0</v>
      </c>
      <c r="BH33" s="136">
        <f>ROW()</f>
        <v>33</v>
      </c>
      <c r="BI33" s="136">
        <v>32</v>
      </c>
      <c r="BJ33" s="136" t="str">
        <f t="shared" si="5"/>
        <v>NA</v>
      </c>
      <c r="BK33" s="136" t="e">
        <f t="shared" si="8"/>
        <v>#N/A</v>
      </c>
      <c r="BL33" s="136" t="str">
        <f t="shared" si="8"/>
        <v xml:space="preserve"> </v>
      </c>
      <c r="BM33" s="136" t="str">
        <f t="shared" si="8"/>
        <v xml:space="preserve"> </v>
      </c>
      <c r="BN33" s="136" t="str">
        <f t="shared" si="8"/>
        <v xml:space="preserve"> </v>
      </c>
      <c r="BO33" s="136" t="str">
        <f t="shared" si="8"/>
        <v xml:space="preserve"> </v>
      </c>
      <c r="BP33" s="136" t="str">
        <f t="shared" si="8"/>
        <v xml:space="preserve"> </v>
      </c>
      <c r="BQ33" s="136" t="str">
        <f t="shared" si="8"/>
        <v xml:space="preserve"> </v>
      </c>
      <c r="BR33" s="136" t="str">
        <f t="shared" si="8"/>
        <v xml:space="preserve"> </v>
      </c>
      <c r="BS33" s="136" t="str">
        <f t="shared" si="8"/>
        <v xml:space="preserve"> </v>
      </c>
      <c r="BT33" s="136" t="str">
        <f t="shared" si="8"/>
        <v xml:space="preserve"> </v>
      </c>
      <c r="BU33" s="136" t="str">
        <f t="shared" si="8"/>
        <v xml:space="preserve"> </v>
      </c>
      <c r="BV33" s="136" t="str">
        <f t="shared" si="8"/>
        <v xml:space="preserve"> </v>
      </c>
      <c r="BW33" s="136" t="str">
        <f t="shared" si="8"/>
        <v xml:space="preserve"> </v>
      </c>
      <c r="BX33" s="136" t="str">
        <f t="shared" si="8"/>
        <v xml:space="preserve"> </v>
      </c>
      <c r="BY33" s="136" t="str">
        <f t="shared" si="8"/>
        <v xml:space="preserve"> </v>
      </c>
      <c r="BZ33" s="136" t="str">
        <f t="shared" si="8"/>
        <v xml:space="preserve"> </v>
      </c>
      <c r="CA33" s="136" t="str">
        <f t="shared" si="7"/>
        <v xml:space="preserve"> </v>
      </c>
      <c r="CB33" s="136" t="str">
        <f t="shared" si="7"/>
        <v xml:space="preserve"> </v>
      </c>
      <c r="CC33" s="136" t="str">
        <f t="shared" si="7"/>
        <v xml:space="preserve"> </v>
      </c>
      <c r="CD33" s="136" t="str">
        <f t="shared" si="7"/>
        <v xml:space="preserve"> </v>
      </c>
      <c r="CE33" s="136" t="str">
        <f t="shared" si="7"/>
        <v xml:space="preserve"> </v>
      </c>
      <c r="CF33" s="136" t="str">
        <f t="shared" si="7"/>
        <v xml:space="preserve"> </v>
      </c>
      <c r="CG33" s="136" t="str">
        <f t="shared" si="7"/>
        <v xml:space="preserve"> </v>
      </c>
      <c r="CH33" s="136" t="str">
        <f t="shared" si="7"/>
        <v xml:space="preserve"> </v>
      </c>
    </row>
    <row r="34" spans="1:86" x14ac:dyDescent="0.25">
      <c r="A34">
        <v>12</v>
      </c>
      <c r="B34">
        <f t="shared" si="9"/>
        <v>6.5190000000000001</v>
      </c>
      <c r="C34" s="75">
        <f>B34*LBP/'G&amp;H'!$K$7</f>
        <v>1419034848.4848487</v>
      </c>
      <c r="D34" s="75">
        <f>0.075/((LOG10(C34)-2)^2)+'G&amp;H'!$D$17/1000</f>
        <v>1.2752868582144609E-3</v>
      </c>
      <c r="E34">
        <f>D34*0.5*1.025*'G&amp;H'!$K$19*Tools1!B34^2</f>
        <v>302.63657812273163</v>
      </c>
      <c r="O34" s="81"/>
      <c r="P34" s="82"/>
      <c r="Q34" s="82"/>
      <c r="R34" s="82"/>
      <c r="S34" s="82"/>
      <c r="T34" s="83"/>
      <c r="AG34" s="135" t="e">
        <f t="shared" si="3"/>
        <v>#N/A</v>
      </c>
      <c r="AH34" s="136">
        <v>33</v>
      </c>
      <c r="AI34" s="138"/>
      <c r="AJ34" s="138"/>
      <c r="AK34" s="138"/>
      <c r="AL34" s="138"/>
      <c r="AM34" s="138"/>
      <c r="AN34" s="138"/>
      <c r="AO34" s="138"/>
      <c r="AP34" s="138"/>
      <c r="AQ34" s="138"/>
      <c r="AR34" s="138"/>
      <c r="AS34" s="138"/>
      <c r="AT34" s="138"/>
      <c r="AU34" s="138"/>
      <c r="AV34" s="138"/>
      <c r="AW34" s="138"/>
      <c r="AX34" s="138"/>
      <c r="AY34" s="138"/>
      <c r="AZ34" s="138"/>
      <c r="BA34" s="138"/>
      <c r="BB34" s="138"/>
      <c r="BC34" s="138"/>
      <c r="BD34" s="138"/>
      <c r="BE34" s="138"/>
      <c r="BF34" s="138"/>
      <c r="BG34" s="136" t="b">
        <f t="shared" si="4"/>
        <v>0</v>
      </c>
      <c r="BH34" s="136">
        <f>ROW()</f>
        <v>34</v>
      </c>
      <c r="BI34" s="136">
        <v>33</v>
      </c>
      <c r="BJ34" s="136" t="str">
        <f t="shared" si="5"/>
        <v>NA</v>
      </c>
      <c r="BK34" s="136" t="e">
        <f t="shared" si="8"/>
        <v>#N/A</v>
      </c>
      <c r="BL34" s="136" t="str">
        <f t="shared" si="8"/>
        <v xml:space="preserve"> </v>
      </c>
      <c r="BM34" s="136" t="str">
        <f t="shared" si="8"/>
        <v xml:space="preserve"> </v>
      </c>
      <c r="BN34" s="136" t="str">
        <f t="shared" si="8"/>
        <v xml:space="preserve"> </v>
      </c>
      <c r="BO34" s="136" t="str">
        <f t="shared" si="8"/>
        <v xml:space="preserve"> </v>
      </c>
      <c r="BP34" s="136" t="str">
        <f t="shared" si="8"/>
        <v xml:space="preserve"> </v>
      </c>
      <c r="BQ34" s="136" t="str">
        <f t="shared" si="8"/>
        <v xml:space="preserve"> </v>
      </c>
      <c r="BR34" s="136" t="str">
        <f t="shared" si="8"/>
        <v xml:space="preserve"> </v>
      </c>
      <c r="BS34" s="136" t="str">
        <f t="shared" si="8"/>
        <v xml:space="preserve"> </v>
      </c>
      <c r="BT34" s="136" t="str">
        <f t="shared" si="8"/>
        <v xml:space="preserve"> </v>
      </c>
      <c r="BU34" s="136" t="str">
        <f t="shared" si="8"/>
        <v xml:space="preserve"> </v>
      </c>
      <c r="BV34" s="136" t="str">
        <f t="shared" si="8"/>
        <v xml:space="preserve"> </v>
      </c>
      <c r="BW34" s="136" t="str">
        <f t="shared" si="8"/>
        <v xml:space="preserve"> </v>
      </c>
      <c r="BX34" s="136" t="str">
        <f t="shared" si="8"/>
        <v xml:space="preserve"> </v>
      </c>
      <c r="BY34" s="136" t="str">
        <f t="shared" si="8"/>
        <v xml:space="preserve"> </v>
      </c>
      <c r="BZ34" s="136" t="str">
        <f t="shared" si="8"/>
        <v xml:space="preserve"> </v>
      </c>
      <c r="CA34" s="136" t="str">
        <f t="shared" ref="CA34:CH49" si="10">IF(VLOOKUP($BJ34,$AH$2:$BF$111,1+CA$1,FALSE)="(NA)",NA(),VLOOKUP($BJ34,$AH$2:$BF$111,1+CA$1,FALSE))</f>
        <v xml:space="preserve"> </v>
      </c>
      <c r="CB34" s="136" t="str">
        <f t="shared" si="10"/>
        <v xml:space="preserve"> </v>
      </c>
      <c r="CC34" s="136" t="str">
        <f t="shared" si="10"/>
        <v xml:space="preserve"> </v>
      </c>
      <c r="CD34" s="136" t="str">
        <f t="shared" si="10"/>
        <v xml:space="preserve"> </v>
      </c>
      <c r="CE34" s="136" t="str">
        <f t="shared" si="10"/>
        <v xml:space="preserve"> </v>
      </c>
      <c r="CF34" s="136" t="str">
        <f t="shared" si="10"/>
        <v xml:space="preserve"> </v>
      </c>
      <c r="CG34" s="136" t="str">
        <f t="shared" si="10"/>
        <v xml:space="preserve"> </v>
      </c>
      <c r="CH34" s="136" t="str">
        <f t="shared" si="10"/>
        <v xml:space="preserve"> </v>
      </c>
    </row>
    <row r="35" spans="1:86" x14ac:dyDescent="0.25">
      <c r="A35">
        <v>13</v>
      </c>
      <c r="B35">
        <f t="shared" si="9"/>
        <v>7.0622500000000006</v>
      </c>
      <c r="C35" s="75">
        <f>B35*LBP/'G&amp;H'!$K$7</f>
        <v>1537287752.5252531</v>
      </c>
      <c r="D35" s="75">
        <f>0.075/((LOG10(C35)-2)^2)+'G&amp;H'!$D$17/1000</f>
        <v>1.261136784034075E-3</v>
      </c>
      <c r="E35">
        <f>D35*0.5*1.025*'G&amp;H'!$K$19*Tools1!B35^2</f>
        <v>351.23674120560423</v>
      </c>
      <c r="O35" s="84"/>
      <c r="P35" s="97"/>
      <c r="Q35" s="97"/>
      <c r="R35" s="97"/>
      <c r="S35" s="97"/>
      <c r="T35" s="98"/>
      <c r="AG35" s="135" t="e">
        <f t="shared" si="3"/>
        <v>#N/A</v>
      </c>
      <c r="AH35" s="136">
        <v>34</v>
      </c>
      <c r="AI35" s="138"/>
      <c r="AJ35" s="138"/>
      <c r="AK35" s="138"/>
      <c r="AL35" s="138"/>
      <c r="AM35" s="138"/>
      <c r="AN35" s="138"/>
      <c r="AO35" s="138"/>
      <c r="AP35" s="138"/>
      <c r="AQ35" s="138"/>
      <c r="AR35" s="138"/>
      <c r="AS35" s="138"/>
      <c r="AT35" s="138"/>
      <c r="AU35" s="138"/>
      <c r="AV35" s="138"/>
      <c r="AW35" s="138"/>
      <c r="AX35" s="138"/>
      <c r="AY35" s="138"/>
      <c r="AZ35" s="138"/>
      <c r="BA35" s="138"/>
      <c r="BB35" s="138"/>
      <c r="BC35" s="138"/>
      <c r="BD35" s="138"/>
      <c r="BE35" s="138"/>
      <c r="BF35" s="138"/>
      <c r="BG35" s="136" t="b">
        <f t="shared" si="4"/>
        <v>0</v>
      </c>
      <c r="BH35" s="136">
        <f>ROW()</f>
        <v>35</v>
      </c>
      <c r="BI35" s="136">
        <v>34</v>
      </c>
      <c r="BJ35" s="136" t="str">
        <f t="shared" si="5"/>
        <v>NA</v>
      </c>
      <c r="BK35" s="136" t="e">
        <f t="shared" si="8"/>
        <v>#N/A</v>
      </c>
      <c r="BL35" s="136" t="str">
        <f t="shared" si="8"/>
        <v xml:space="preserve"> </v>
      </c>
      <c r="BM35" s="136" t="str">
        <f t="shared" si="8"/>
        <v xml:space="preserve"> </v>
      </c>
      <c r="BN35" s="136" t="str">
        <f t="shared" si="8"/>
        <v xml:space="preserve"> </v>
      </c>
      <c r="BO35" s="136" t="str">
        <f t="shared" si="8"/>
        <v xml:space="preserve"> </v>
      </c>
      <c r="BP35" s="136" t="str">
        <f t="shared" si="8"/>
        <v xml:space="preserve"> </v>
      </c>
      <c r="BQ35" s="136" t="str">
        <f t="shared" si="8"/>
        <v xml:space="preserve"> </v>
      </c>
      <c r="BR35" s="136" t="str">
        <f t="shared" si="8"/>
        <v xml:space="preserve"> </v>
      </c>
      <c r="BS35" s="136" t="str">
        <f t="shared" si="8"/>
        <v xml:space="preserve"> </v>
      </c>
      <c r="BT35" s="136" t="str">
        <f t="shared" si="8"/>
        <v xml:space="preserve"> </v>
      </c>
      <c r="BU35" s="136" t="str">
        <f t="shared" si="8"/>
        <v xml:space="preserve"> </v>
      </c>
      <c r="BV35" s="136" t="str">
        <f t="shared" si="8"/>
        <v xml:space="preserve"> </v>
      </c>
      <c r="BW35" s="136" t="str">
        <f t="shared" si="8"/>
        <v xml:space="preserve"> </v>
      </c>
      <c r="BX35" s="136" t="str">
        <f t="shared" si="8"/>
        <v xml:space="preserve"> </v>
      </c>
      <c r="BY35" s="136" t="str">
        <f t="shared" si="8"/>
        <v xml:space="preserve"> </v>
      </c>
      <c r="BZ35" s="136" t="str">
        <f t="shared" si="8"/>
        <v xml:space="preserve"> </v>
      </c>
      <c r="CA35" s="136" t="str">
        <f t="shared" si="10"/>
        <v xml:space="preserve"> </v>
      </c>
      <c r="CB35" s="136" t="str">
        <f t="shared" si="10"/>
        <v xml:space="preserve"> </v>
      </c>
      <c r="CC35" s="136" t="str">
        <f t="shared" si="10"/>
        <v xml:space="preserve"> </v>
      </c>
      <c r="CD35" s="136" t="str">
        <f t="shared" si="10"/>
        <v xml:space="preserve"> </v>
      </c>
      <c r="CE35" s="136" t="str">
        <f t="shared" si="10"/>
        <v xml:space="preserve"> </v>
      </c>
      <c r="CF35" s="136" t="str">
        <f t="shared" si="10"/>
        <v xml:space="preserve"> </v>
      </c>
      <c r="CG35" s="136" t="str">
        <f t="shared" si="10"/>
        <v xml:space="preserve"> </v>
      </c>
      <c r="CH35" s="136" t="str">
        <f t="shared" si="10"/>
        <v xml:space="preserve"> </v>
      </c>
    </row>
    <row r="36" spans="1:86" x14ac:dyDescent="0.25">
      <c r="A36">
        <v>14</v>
      </c>
      <c r="B36">
        <f t="shared" si="9"/>
        <v>7.6055000000000001</v>
      </c>
      <c r="C36" s="75">
        <f>B36*LBP/'G&amp;H'!$K$7</f>
        <v>1655540656.5656569</v>
      </c>
      <c r="D36" s="75">
        <f>0.075/((LOG10(C36)-2)^2)+'G&amp;H'!$D$17/1000</f>
        <v>1.2482176865823459E-3</v>
      </c>
      <c r="E36">
        <f>D36*0.5*1.025*'G&amp;H'!$K$19*Tools1!B36^2</f>
        <v>403.17857425849616</v>
      </c>
      <c r="AG36" s="135" t="e">
        <f t="shared" si="3"/>
        <v>#N/A</v>
      </c>
      <c r="AH36" s="136">
        <v>35</v>
      </c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8"/>
      <c r="AT36" s="138"/>
      <c r="AU36" s="138"/>
      <c r="AV36" s="138"/>
      <c r="AW36" s="138"/>
      <c r="AX36" s="138"/>
      <c r="AY36" s="138"/>
      <c r="AZ36" s="138"/>
      <c r="BA36" s="138"/>
      <c r="BB36" s="138"/>
      <c r="BC36" s="138"/>
      <c r="BD36" s="138"/>
      <c r="BE36" s="138"/>
      <c r="BF36" s="138"/>
      <c r="BG36" s="136" t="b">
        <f t="shared" si="4"/>
        <v>0</v>
      </c>
      <c r="BH36" s="136">
        <f>ROW()</f>
        <v>36</v>
      </c>
      <c r="BI36" s="136">
        <v>35</v>
      </c>
      <c r="BJ36" s="136" t="str">
        <f t="shared" si="5"/>
        <v>NA</v>
      </c>
      <c r="BK36" s="136" t="e">
        <f t="shared" si="8"/>
        <v>#N/A</v>
      </c>
      <c r="BL36" s="136" t="str">
        <f t="shared" si="8"/>
        <v xml:space="preserve"> </v>
      </c>
      <c r="BM36" s="136" t="str">
        <f t="shared" si="8"/>
        <v xml:space="preserve"> </v>
      </c>
      <c r="BN36" s="136" t="str">
        <f t="shared" si="8"/>
        <v xml:space="preserve"> </v>
      </c>
      <c r="BO36" s="136" t="str">
        <f t="shared" si="8"/>
        <v xml:space="preserve"> </v>
      </c>
      <c r="BP36" s="136" t="str">
        <f t="shared" si="8"/>
        <v xml:space="preserve"> </v>
      </c>
      <c r="BQ36" s="136" t="str">
        <f t="shared" si="8"/>
        <v xml:space="preserve"> </v>
      </c>
      <c r="BR36" s="136" t="str">
        <f t="shared" si="8"/>
        <v xml:space="preserve"> </v>
      </c>
      <c r="BS36" s="136" t="str">
        <f t="shared" si="8"/>
        <v xml:space="preserve"> </v>
      </c>
      <c r="BT36" s="136" t="str">
        <f t="shared" si="8"/>
        <v xml:space="preserve"> </v>
      </c>
      <c r="BU36" s="136" t="str">
        <f t="shared" si="8"/>
        <v xml:space="preserve"> </v>
      </c>
      <c r="BV36" s="136" t="str">
        <f t="shared" si="8"/>
        <v xml:space="preserve"> </v>
      </c>
      <c r="BW36" s="136" t="str">
        <f t="shared" si="8"/>
        <v xml:space="preserve"> </v>
      </c>
      <c r="BX36" s="136" t="str">
        <f t="shared" si="8"/>
        <v xml:space="preserve"> </v>
      </c>
      <c r="BY36" s="136" t="str">
        <f t="shared" si="8"/>
        <v xml:space="preserve"> </v>
      </c>
      <c r="BZ36" s="136" t="str">
        <f t="shared" ref="BZ36:CH51" si="11">IF(VLOOKUP($BJ36,$AH$2:$BF$111,1+BZ$1,FALSE)="(NA)",NA(),VLOOKUP($BJ36,$AH$2:$BF$111,1+BZ$1,FALSE))</f>
        <v xml:space="preserve"> </v>
      </c>
      <c r="CA36" s="136" t="str">
        <f t="shared" si="10"/>
        <v xml:space="preserve"> </v>
      </c>
      <c r="CB36" s="136" t="str">
        <f t="shared" si="10"/>
        <v xml:space="preserve"> </v>
      </c>
      <c r="CC36" s="136" t="str">
        <f t="shared" si="10"/>
        <v xml:space="preserve"> </v>
      </c>
      <c r="CD36" s="136" t="str">
        <f t="shared" si="10"/>
        <v xml:space="preserve"> </v>
      </c>
      <c r="CE36" s="136" t="str">
        <f t="shared" si="10"/>
        <v xml:space="preserve"> </v>
      </c>
      <c r="CF36" s="136" t="str">
        <f t="shared" si="10"/>
        <v xml:space="preserve"> </v>
      </c>
      <c r="CG36" s="136" t="str">
        <f t="shared" si="10"/>
        <v xml:space="preserve"> </v>
      </c>
      <c r="CH36" s="136" t="str">
        <f t="shared" si="10"/>
        <v xml:space="preserve"> </v>
      </c>
    </row>
    <row r="37" spans="1:86" x14ac:dyDescent="0.25">
      <c r="A37">
        <v>15</v>
      </c>
      <c r="B37">
        <f t="shared" si="9"/>
        <v>8.1487499999999997</v>
      </c>
      <c r="C37" s="75">
        <f>B37*LBP/'G&amp;H'!$K$7</f>
        <v>1773793560.606061</v>
      </c>
      <c r="D37" s="75">
        <f>0.075/((LOG10(C37)-2)^2)+'G&amp;H'!$D$17/1000</f>
        <v>1.2363446406365071E-3</v>
      </c>
      <c r="E37">
        <f>D37*0.5*1.025*'G&amp;H'!$K$19*Tools1!B37^2</f>
        <v>458.43008404899126</v>
      </c>
      <c r="AG37" s="135" t="e">
        <f t="shared" si="3"/>
        <v>#N/A</v>
      </c>
      <c r="AH37" s="136">
        <v>36</v>
      </c>
      <c r="AI37" s="138"/>
      <c r="AJ37" s="138"/>
      <c r="AK37" s="138"/>
      <c r="AL37" s="138"/>
      <c r="AM37" s="138"/>
      <c r="AN37" s="138"/>
      <c r="AO37" s="138"/>
      <c r="AP37" s="138"/>
      <c r="AQ37" s="138"/>
      <c r="AR37" s="138"/>
      <c r="AS37" s="138"/>
      <c r="AT37" s="138"/>
      <c r="AU37" s="138"/>
      <c r="AV37" s="138"/>
      <c r="AW37" s="138"/>
      <c r="AX37" s="138"/>
      <c r="AY37" s="138"/>
      <c r="AZ37" s="138"/>
      <c r="BA37" s="138"/>
      <c r="BB37" s="138"/>
      <c r="BC37" s="138"/>
      <c r="BD37" s="138"/>
      <c r="BE37" s="138"/>
      <c r="BF37" s="138"/>
      <c r="BG37" s="136" t="b">
        <f t="shared" si="4"/>
        <v>0</v>
      </c>
      <c r="BH37" s="136">
        <f>ROW()</f>
        <v>37</v>
      </c>
      <c r="BI37" s="136">
        <v>36</v>
      </c>
      <c r="BJ37" s="136" t="str">
        <f t="shared" si="5"/>
        <v>NA</v>
      </c>
      <c r="BK37" s="136" t="e">
        <f t="shared" ref="BK37:BZ52" si="12">IF(VLOOKUP($BJ37,$AH$2:$BF$111,1+BK$1,FALSE)="(NA)",NA(),VLOOKUP($BJ37,$AH$2:$BF$111,1+BK$1,FALSE))</f>
        <v>#N/A</v>
      </c>
      <c r="BL37" s="136" t="str">
        <f t="shared" si="12"/>
        <v xml:space="preserve"> </v>
      </c>
      <c r="BM37" s="136" t="str">
        <f t="shared" si="12"/>
        <v xml:space="preserve"> </v>
      </c>
      <c r="BN37" s="136" t="str">
        <f t="shared" si="12"/>
        <v xml:space="preserve"> </v>
      </c>
      <c r="BO37" s="136" t="str">
        <f t="shared" si="12"/>
        <v xml:space="preserve"> </v>
      </c>
      <c r="BP37" s="136" t="str">
        <f t="shared" si="12"/>
        <v xml:space="preserve"> </v>
      </c>
      <c r="BQ37" s="136" t="str">
        <f t="shared" si="12"/>
        <v xml:space="preserve"> </v>
      </c>
      <c r="BR37" s="136" t="str">
        <f t="shared" si="12"/>
        <v xml:space="preserve"> </v>
      </c>
      <c r="BS37" s="136" t="str">
        <f t="shared" si="12"/>
        <v xml:space="preserve"> </v>
      </c>
      <c r="BT37" s="136" t="str">
        <f t="shared" si="12"/>
        <v xml:space="preserve"> </v>
      </c>
      <c r="BU37" s="136" t="str">
        <f t="shared" si="12"/>
        <v xml:space="preserve"> </v>
      </c>
      <c r="BV37" s="136" t="str">
        <f t="shared" si="12"/>
        <v xml:space="preserve"> </v>
      </c>
      <c r="BW37" s="136" t="str">
        <f t="shared" si="12"/>
        <v xml:space="preserve"> </v>
      </c>
      <c r="BX37" s="136" t="str">
        <f t="shared" si="12"/>
        <v xml:space="preserve"> </v>
      </c>
      <c r="BY37" s="136" t="str">
        <f t="shared" si="12"/>
        <v xml:space="preserve"> </v>
      </c>
      <c r="BZ37" s="136" t="str">
        <f t="shared" si="11"/>
        <v xml:space="preserve"> </v>
      </c>
      <c r="CA37" s="136" t="str">
        <f t="shared" si="10"/>
        <v xml:space="preserve"> </v>
      </c>
      <c r="CB37" s="136" t="str">
        <f t="shared" si="10"/>
        <v xml:space="preserve"> </v>
      </c>
      <c r="CC37" s="136" t="str">
        <f t="shared" si="10"/>
        <v xml:space="preserve"> </v>
      </c>
      <c r="CD37" s="136" t="str">
        <f t="shared" si="10"/>
        <v xml:space="preserve"> </v>
      </c>
      <c r="CE37" s="136" t="str">
        <f t="shared" si="10"/>
        <v xml:space="preserve"> </v>
      </c>
      <c r="CF37" s="136" t="str">
        <f t="shared" si="10"/>
        <v xml:space="preserve"> </v>
      </c>
      <c r="CG37" s="136" t="str">
        <f t="shared" si="10"/>
        <v xml:space="preserve"> </v>
      </c>
      <c r="CH37" s="136" t="str">
        <f t="shared" si="10"/>
        <v xml:space="preserve"> </v>
      </c>
    </row>
    <row r="38" spans="1:86" x14ac:dyDescent="0.25">
      <c r="A38">
        <v>16</v>
      </c>
      <c r="B38">
        <f t="shared" si="9"/>
        <v>8.6920000000000002</v>
      </c>
      <c r="C38" s="75">
        <f>B38*LBP/'G&amp;H'!$K$7</f>
        <v>1892046464.6464651</v>
      </c>
      <c r="D38" s="75">
        <f>0.075/((LOG10(C38)-2)^2)+'G&amp;H'!$D$17/1000</f>
        <v>1.2253706523465855E-3</v>
      </c>
      <c r="E38">
        <f>D38*0.5*1.025*'G&amp;H'!$K$19*Tools1!B38^2</f>
        <v>516.96183405604211</v>
      </c>
      <c r="AG38" s="135" t="e">
        <f t="shared" si="3"/>
        <v>#N/A</v>
      </c>
      <c r="AH38" s="136">
        <v>37</v>
      </c>
      <c r="AI38" s="138"/>
      <c r="AJ38" s="138"/>
      <c r="AK38" s="138"/>
      <c r="AL38" s="138"/>
      <c r="AM38" s="138"/>
      <c r="AN38" s="138"/>
      <c r="AO38" s="138"/>
      <c r="AP38" s="138"/>
      <c r="AQ38" s="138"/>
      <c r="AR38" s="138"/>
      <c r="AS38" s="138"/>
      <c r="AT38" s="138"/>
      <c r="AU38" s="138"/>
      <c r="AV38" s="138"/>
      <c r="AW38" s="138"/>
      <c r="AX38" s="138"/>
      <c r="AY38" s="138"/>
      <c r="AZ38" s="138"/>
      <c r="BA38" s="138"/>
      <c r="BB38" s="138"/>
      <c r="BC38" s="138"/>
      <c r="BD38" s="138"/>
      <c r="BE38" s="138"/>
      <c r="BF38" s="138"/>
      <c r="BG38" s="136" t="b">
        <f t="shared" si="4"/>
        <v>0</v>
      </c>
      <c r="BH38" s="136">
        <f>ROW()</f>
        <v>38</v>
      </c>
      <c r="BI38" s="136">
        <v>37</v>
      </c>
      <c r="BJ38" s="136" t="str">
        <f t="shared" si="5"/>
        <v>NA</v>
      </c>
      <c r="BK38" s="136" t="e">
        <f t="shared" si="12"/>
        <v>#N/A</v>
      </c>
      <c r="BL38" s="136" t="str">
        <f t="shared" si="12"/>
        <v xml:space="preserve"> </v>
      </c>
      <c r="BM38" s="136" t="str">
        <f t="shared" si="12"/>
        <v xml:space="preserve"> </v>
      </c>
      <c r="BN38" s="136" t="str">
        <f t="shared" si="12"/>
        <v xml:space="preserve"> </v>
      </c>
      <c r="BO38" s="136" t="str">
        <f t="shared" si="12"/>
        <v xml:space="preserve"> </v>
      </c>
      <c r="BP38" s="136" t="str">
        <f t="shared" si="12"/>
        <v xml:space="preserve"> </v>
      </c>
      <c r="BQ38" s="136" t="str">
        <f t="shared" si="12"/>
        <v xml:space="preserve"> </v>
      </c>
      <c r="BR38" s="136" t="str">
        <f t="shared" si="12"/>
        <v xml:space="preserve"> </v>
      </c>
      <c r="BS38" s="136" t="str">
        <f t="shared" si="12"/>
        <v xml:space="preserve"> </v>
      </c>
      <c r="BT38" s="136" t="str">
        <f t="shared" si="12"/>
        <v xml:space="preserve"> </v>
      </c>
      <c r="BU38" s="136" t="str">
        <f t="shared" si="12"/>
        <v xml:space="preserve"> </v>
      </c>
      <c r="BV38" s="136" t="str">
        <f t="shared" si="12"/>
        <v xml:space="preserve"> </v>
      </c>
      <c r="BW38" s="136" t="str">
        <f t="shared" si="12"/>
        <v xml:space="preserve"> </v>
      </c>
      <c r="BX38" s="136" t="str">
        <f t="shared" si="12"/>
        <v xml:space="preserve"> </v>
      </c>
      <c r="BY38" s="136" t="str">
        <f t="shared" si="12"/>
        <v xml:space="preserve"> </v>
      </c>
      <c r="BZ38" s="136" t="str">
        <f t="shared" si="11"/>
        <v xml:space="preserve"> </v>
      </c>
      <c r="CA38" s="136" t="str">
        <f t="shared" si="10"/>
        <v xml:space="preserve"> </v>
      </c>
      <c r="CB38" s="136" t="str">
        <f t="shared" si="10"/>
        <v xml:space="preserve"> </v>
      </c>
      <c r="CC38" s="136" t="str">
        <f t="shared" si="10"/>
        <v xml:space="preserve"> </v>
      </c>
      <c r="CD38" s="136" t="str">
        <f t="shared" si="10"/>
        <v xml:space="preserve"> </v>
      </c>
      <c r="CE38" s="136" t="str">
        <f t="shared" si="10"/>
        <v xml:space="preserve"> </v>
      </c>
      <c r="CF38" s="136" t="str">
        <f t="shared" si="10"/>
        <v xml:space="preserve"> </v>
      </c>
      <c r="CG38" s="136" t="str">
        <f t="shared" si="10"/>
        <v xml:space="preserve"> </v>
      </c>
      <c r="CH38" s="136" t="str">
        <f t="shared" si="10"/>
        <v xml:space="preserve"> </v>
      </c>
    </row>
    <row r="39" spans="1:86" x14ac:dyDescent="0.25">
      <c r="A39">
        <v>17</v>
      </c>
      <c r="B39">
        <f t="shared" si="9"/>
        <v>9.2352500000000006</v>
      </c>
      <c r="C39" s="75">
        <f>B39*LBP/'G&amp;H'!$K$7</f>
        <v>2010299368.6868694</v>
      </c>
      <c r="D39" s="75">
        <f>0.075/((LOG10(C39)-2)^2)+'G&amp;H'!$D$17/1000</f>
        <v>1.2151770507597857E-3</v>
      </c>
      <c r="E39">
        <f>D39*0.5*1.025*'G&amp;H'!$K$19*Tools1!B39^2</f>
        <v>578.74658739068877</v>
      </c>
      <c r="AG39" s="135" t="e">
        <f t="shared" si="3"/>
        <v>#N/A</v>
      </c>
      <c r="AH39" s="136">
        <v>38</v>
      </c>
      <c r="AI39" s="138"/>
      <c r="AJ39" s="138"/>
      <c r="AK39" s="138"/>
      <c r="AL39" s="138"/>
      <c r="AM39" s="138"/>
      <c r="AN39" s="138"/>
      <c r="AO39" s="138"/>
      <c r="AP39" s="138"/>
      <c r="AQ39" s="138"/>
      <c r="AR39" s="138"/>
      <c r="AS39" s="138"/>
      <c r="AT39" s="138"/>
      <c r="AU39" s="138"/>
      <c r="AV39" s="138"/>
      <c r="AW39" s="138"/>
      <c r="AX39" s="138"/>
      <c r="AY39" s="138"/>
      <c r="AZ39" s="138"/>
      <c r="BA39" s="138"/>
      <c r="BB39" s="138"/>
      <c r="BC39" s="138"/>
      <c r="BD39" s="138"/>
      <c r="BE39" s="138"/>
      <c r="BF39" s="138"/>
      <c r="BG39" s="136" t="b">
        <f t="shared" si="4"/>
        <v>0</v>
      </c>
      <c r="BH39" s="136">
        <f>ROW()</f>
        <v>39</v>
      </c>
      <c r="BI39" s="136">
        <v>38</v>
      </c>
      <c r="BJ39" s="136" t="str">
        <f t="shared" si="5"/>
        <v>NA</v>
      </c>
      <c r="BK39" s="136" t="e">
        <f t="shared" si="12"/>
        <v>#N/A</v>
      </c>
      <c r="BL39" s="136" t="str">
        <f t="shared" si="12"/>
        <v xml:space="preserve"> </v>
      </c>
      <c r="BM39" s="136" t="str">
        <f t="shared" si="12"/>
        <v xml:space="preserve"> </v>
      </c>
      <c r="BN39" s="136" t="str">
        <f t="shared" si="12"/>
        <v xml:space="preserve"> </v>
      </c>
      <c r="BO39" s="136" t="str">
        <f t="shared" si="12"/>
        <v xml:space="preserve"> </v>
      </c>
      <c r="BP39" s="136" t="str">
        <f t="shared" si="12"/>
        <v xml:space="preserve"> </v>
      </c>
      <c r="BQ39" s="136" t="str">
        <f t="shared" si="12"/>
        <v xml:space="preserve"> </v>
      </c>
      <c r="BR39" s="136" t="str">
        <f t="shared" si="12"/>
        <v xml:space="preserve"> </v>
      </c>
      <c r="BS39" s="136" t="str">
        <f t="shared" si="12"/>
        <v xml:space="preserve"> </v>
      </c>
      <c r="BT39" s="136" t="str">
        <f t="shared" si="12"/>
        <v xml:space="preserve"> </v>
      </c>
      <c r="BU39" s="136" t="str">
        <f t="shared" si="12"/>
        <v xml:space="preserve"> </v>
      </c>
      <c r="BV39" s="136" t="str">
        <f t="shared" si="12"/>
        <v xml:space="preserve"> </v>
      </c>
      <c r="BW39" s="136" t="str">
        <f t="shared" si="12"/>
        <v xml:space="preserve"> </v>
      </c>
      <c r="BX39" s="136" t="str">
        <f t="shared" si="12"/>
        <v xml:space="preserve"> </v>
      </c>
      <c r="BY39" s="136" t="str">
        <f t="shared" si="12"/>
        <v xml:space="preserve"> </v>
      </c>
      <c r="BZ39" s="136" t="str">
        <f t="shared" si="11"/>
        <v xml:space="preserve"> </v>
      </c>
      <c r="CA39" s="136" t="str">
        <f t="shared" si="10"/>
        <v xml:space="preserve"> </v>
      </c>
      <c r="CB39" s="136" t="str">
        <f t="shared" si="10"/>
        <v xml:space="preserve"> </v>
      </c>
      <c r="CC39" s="136" t="str">
        <f t="shared" si="10"/>
        <v xml:space="preserve"> </v>
      </c>
      <c r="CD39" s="136" t="str">
        <f t="shared" si="10"/>
        <v xml:space="preserve"> </v>
      </c>
      <c r="CE39" s="136" t="str">
        <f t="shared" si="10"/>
        <v xml:space="preserve"> </v>
      </c>
      <c r="CF39" s="136" t="str">
        <f t="shared" si="10"/>
        <v xml:space="preserve"> </v>
      </c>
      <c r="CG39" s="136" t="str">
        <f t="shared" si="10"/>
        <v xml:space="preserve"> </v>
      </c>
      <c r="CH39" s="136" t="str">
        <f t="shared" si="10"/>
        <v xml:space="preserve"> </v>
      </c>
    </row>
    <row r="40" spans="1:86" x14ac:dyDescent="0.25">
      <c r="A40">
        <v>18</v>
      </c>
      <c r="B40">
        <f t="shared" si="9"/>
        <v>9.7785000000000011</v>
      </c>
      <c r="C40" s="75">
        <f>B40*LBP/'G&amp;H'!$K$7</f>
        <v>2128552272.7272732</v>
      </c>
      <c r="D40" s="75">
        <f>0.075/((LOG10(C40)-2)^2)+'G&amp;H'!$D$17/1000</f>
        <v>1.2056667233533479E-3</v>
      </c>
      <c r="E40">
        <f>D40*0.5*1.025*'G&amp;H'!$K$19*Tools1!B40^2</f>
        <v>643.75901830564567</v>
      </c>
      <c r="AG40" s="135" t="e">
        <f t="shared" si="3"/>
        <v>#N/A</v>
      </c>
      <c r="AH40" s="136">
        <v>39</v>
      </c>
      <c r="AI40" s="138"/>
      <c r="AJ40" s="138"/>
      <c r="AK40" s="138"/>
      <c r="AL40" s="138"/>
      <c r="AM40" s="138"/>
      <c r="AN40" s="138"/>
      <c r="AO40" s="138"/>
      <c r="AP40" s="138"/>
      <c r="AQ40" s="138"/>
      <c r="AR40" s="138"/>
      <c r="AS40" s="138"/>
      <c r="AT40" s="138"/>
      <c r="AU40" s="138"/>
      <c r="AV40" s="138"/>
      <c r="AW40" s="138"/>
      <c r="AX40" s="138"/>
      <c r="AY40" s="138"/>
      <c r="AZ40" s="138"/>
      <c r="BA40" s="138"/>
      <c r="BB40" s="138"/>
      <c r="BC40" s="138"/>
      <c r="BD40" s="138"/>
      <c r="BE40" s="138"/>
      <c r="BF40" s="138"/>
      <c r="BG40" s="136" t="b">
        <f t="shared" si="4"/>
        <v>0</v>
      </c>
      <c r="BH40" s="136">
        <f>ROW()</f>
        <v>40</v>
      </c>
      <c r="BI40" s="136">
        <v>39</v>
      </c>
      <c r="BJ40" s="136" t="str">
        <f t="shared" si="5"/>
        <v>NA</v>
      </c>
      <c r="BK40" s="136" t="e">
        <f t="shared" si="12"/>
        <v>#N/A</v>
      </c>
      <c r="BL40" s="136" t="str">
        <f t="shared" si="12"/>
        <v xml:space="preserve"> </v>
      </c>
      <c r="BM40" s="136" t="str">
        <f t="shared" si="12"/>
        <v xml:space="preserve"> </v>
      </c>
      <c r="BN40" s="136" t="str">
        <f t="shared" si="12"/>
        <v xml:space="preserve"> </v>
      </c>
      <c r="BO40" s="136" t="str">
        <f t="shared" si="12"/>
        <v xml:space="preserve"> </v>
      </c>
      <c r="BP40" s="136" t="str">
        <f t="shared" si="12"/>
        <v xml:space="preserve"> </v>
      </c>
      <c r="BQ40" s="136" t="str">
        <f t="shared" si="12"/>
        <v xml:space="preserve"> </v>
      </c>
      <c r="BR40" s="136" t="str">
        <f t="shared" si="12"/>
        <v xml:space="preserve"> </v>
      </c>
      <c r="BS40" s="136" t="str">
        <f t="shared" si="12"/>
        <v xml:space="preserve"> </v>
      </c>
      <c r="BT40" s="136" t="str">
        <f t="shared" si="12"/>
        <v xml:space="preserve"> </v>
      </c>
      <c r="BU40" s="136" t="str">
        <f t="shared" si="12"/>
        <v xml:space="preserve"> </v>
      </c>
      <c r="BV40" s="136" t="str">
        <f t="shared" si="12"/>
        <v xml:space="preserve"> </v>
      </c>
      <c r="BW40" s="136" t="str">
        <f t="shared" si="12"/>
        <v xml:space="preserve"> </v>
      </c>
      <c r="BX40" s="136" t="str">
        <f t="shared" si="12"/>
        <v xml:space="preserve"> </v>
      </c>
      <c r="BY40" s="136" t="str">
        <f t="shared" si="12"/>
        <v xml:space="preserve"> </v>
      </c>
      <c r="BZ40" s="136" t="str">
        <f t="shared" si="11"/>
        <v xml:space="preserve"> </v>
      </c>
      <c r="CA40" s="136" t="str">
        <f t="shared" si="10"/>
        <v xml:space="preserve"> </v>
      </c>
      <c r="CB40" s="136" t="str">
        <f t="shared" si="10"/>
        <v xml:space="preserve"> </v>
      </c>
      <c r="CC40" s="136" t="str">
        <f t="shared" si="10"/>
        <v xml:space="preserve"> </v>
      </c>
      <c r="CD40" s="136" t="str">
        <f t="shared" si="10"/>
        <v xml:space="preserve"> </v>
      </c>
      <c r="CE40" s="136" t="str">
        <f t="shared" si="10"/>
        <v xml:space="preserve"> </v>
      </c>
      <c r="CF40" s="136" t="str">
        <f t="shared" si="10"/>
        <v xml:space="preserve"> </v>
      </c>
      <c r="CG40" s="136" t="str">
        <f t="shared" si="10"/>
        <v xml:space="preserve"> </v>
      </c>
      <c r="CH40" s="136" t="str">
        <f t="shared" si="10"/>
        <v xml:space="preserve"> </v>
      </c>
    </row>
    <row r="41" spans="1:86" x14ac:dyDescent="0.25">
      <c r="A41">
        <v>19</v>
      </c>
      <c r="B41">
        <f t="shared" si="9"/>
        <v>10.32175</v>
      </c>
      <c r="C41" s="75">
        <f>B41*LBP/'G&amp;H'!$K$7</f>
        <v>2246805176.7676773</v>
      </c>
      <c r="D41" s="75">
        <f>0.075/((LOG10(C41)-2)^2)+'G&amp;H'!$D$17/1000</f>
        <v>1.1967592455225783E-3</v>
      </c>
      <c r="E41">
        <f>D41*0.5*1.025*'G&amp;H'!$K$19*Tools1!B41^2</f>
        <v>711.97547593425668</v>
      </c>
      <c r="AG41" s="135" t="e">
        <f t="shared" si="3"/>
        <v>#N/A</v>
      </c>
      <c r="AH41" s="136">
        <v>40</v>
      </c>
      <c r="AI41" s="138"/>
      <c r="AJ41" s="138"/>
      <c r="AK41" s="138"/>
      <c r="AL41" s="138"/>
      <c r="AM41" s="138"/>
      <c r="AN41" s="138"/>
      <c r="AO41" s="138"/>
      <c r="AP41" s="138"/>
      <c r="AQ41" s="138"/>
      <c r="AR41" s="138"/>
      <c r="AS41" s="138"/>
      <c r="AT41" s="138"/>
      <c r="AU41" s="138"/>
      <c r="AV41" s="138"/>
      <c r="AW41" s="138"/>
      <c r="AX41" s="138"/>
      <c r="AY41" s="138"/>
      <c r="AZ41" s="138"/>
      <c r="BA41" s="138"/>
      <c r="BB41" s="138"/>
      <c r="BC41" s="138"/>
      <c r="BD41" s="138"/>
      <c r="BE41" s="138"/>
      <c r="BF41" s="138"/>
      <c r="BG41" s="136" t="b">
        <f t="shared" si="4"/>
        <v>0</v>
      </c>
      <c r="BH41" s="136">
        <f>ROW()</f>
        <v>41</v>
      </c>
      <c r="BI41" s="136">
        <v>40</v>
      </c>
      <c r="BJ41" s="136" t="str">
        <f t="shared" si="5"/>
        <v>NA</v>
      </c>
      <c r="BK41" s="136" t="e">
        <f t="shared" si="12"/>
        <v>#N/A</v>
      </c>
      <c r="BL41" s="136" t="str">
        <f t="shared" si="12"/>
        <v xml:space="preserve"> </v>
      </c>
      <c r="BM41" s="136" t="str">
        <f t="shared" si="12"/>
        <v xml:space="preserve"> </v>
      </c>
      <c r="BN41" s="136" t="str">
        <f t="shared" si="12"/>
        <v xml:space="preserve"> </v>
      </c>
      <c r="BO41" s="136" t="str">
        <f t="shared" si="12"/>
        <v xml:space="preserve"> </v>
      </c>
      <c r="BP41" s="136" t="str">
        <f t="shared" si="12"/>
        <v xml:space="preserve"> </v>
      </c>
      <c r="BQ41" s="136" t="str">
        <f t="shared" si="12"/>
        <v xml:space="preserve"> </v>
      </c>
      <c r="BR41" s="136" t="str">
        <f t="shared" si="12"/>
        <v xml:space="preserve"> </v>
      </c>
      <c r="BS41" s="136" t="str">
        <f t="shared" si="12"/>
        <v xml:space="preserve"> </v>
      </c>
      <c r="BT41" s="136" t="str">
        <f t="shared" si="12"/>
        <v xml:space="preserve"> </v>
      </c>
      <c r="BU41" s="136" t="str">
        <f t="shared" si="12"/>
        <v xml:space="preserve"> </v>
      </c>
      <c r="BV41" s="136" t="str">
        <f t="shared" si="12"/>
        <v xml:space="preserve"> </v>
      </c>
      <c r="BW41" s="136" t="str">
        <f t="shared" si="12"/>
        <v xml:space="preserve"> </v>
      </c>
      <c r="BX41" s="136" t="str">
        <f t="shared" si="12"/>
        <v xml:space="preserve"> </v>
      </c>
      <c r="BY41" s="136" t="str">
        <f t="shared" si="12"/>
        <v xml:space="preserve"> </v>
      </c>
      <c r="BZ41" s="136" t="str">
        <f t="shared" si="11"/>
        <v xml:space="preserve"> </v>
      </c>
      <c r="CA41" s="136" t="str">
        <f t="shared" si="10"/>
        <v xml:space="preserve"> </v>
      </c>
      <c r="CB41" s="136" t="str">
        <f t="shared" si="10"/>
        <v xml:space="preserve"> </v>
      </c>
      <c r="CC41" s="136" t="str">
        <f t="shared" si="10"/>
        <v xml:space="preserve"> </v>
      </c>
      <c r="CD41" s="136" t="str">
        <f t="shared" si="10"/>
        <v xml:space="preserve"> </v>
      </c>
      <c r="CE41" s="136" t="str">
        <f t="shared" si="10"/>
        <v xml:space="preserve"> </v>
      </c>
      <c r="CF41" s="136" t="str">
        <f t="shared" si="10"/>
        <v xml:space="preserve"> </v>
      </c>
      <c r="CG41" s="136" t="str">
        <f t="shared" si="10"/>
        <v xml:space="preserve"> </v>
      </c>
      <c r="CH41" s="136" t="str">
        <f t="shared" si="10"/>
        <v xml:space="preserve"> </v>
      </c>
    </row>
    <row r="42" spans="1:86" x14ac:dyDescent="0.25">
      <c r="A42">
        <v>20</v>
      </c>
      <c r="B42">
        <f t="shared" si="9"/>
        <v>10.865</v>
      </c>
      <c r="C42" s="75">
        <f>B42*LBP/'G&amp;H'!$K$7</f>
        <v>2365058080.8080812</v>
      </c>
      <c r="D42" s="75">
        <f>0.075/((LOG10(C42)-2)^2)+'G&amp;H'!$D$17/1000</f>
        <v>1.1883873037987008E-3</v>
      </c>
      <c r="E42">
        <f>D42*0.5*1.025*'G&amp;H'!$K$19*Tools1!B42^2</f>
        <v>783.37378847908315</v>
      </c>
      <c r="AG42" s="135" t="e">
        <f t="shared" si="3"/>
        <v>#N/A</v>
      </c>
      <c r="AH42" s="136">
        <v>41</v>
      </c>
      <c r="AI42" s="138"/>
      <c r="AJ42" s="138"/>
      <c r="AK42" s="138"/>
      <c r="AL42" s="138"/>
      <c r="AM42" s="138"/>
      <c r="AN42" s="138"/>
      <c r="AO42" s="138"/>
      <c r="AP42" s="138"/>
      <c r="AQ42" s="138"/>
      <c r="AR42" s="138"/>
      <c r="AS42" s="138"/>
      <c r="AT42" s="138"/>
      <c r="AU42" s="138"/>
      <c r="AV42" s="138"/>
      <c r="AW42" s="138"/>
      <c r="AX42" s="138"/>
      <c r="AY42" s="138"/>
      <c r="AZ42" s="138"/>
      <c r="BA42" s="138"/>
      <c r="BB42" s="138"/>
      <c r="BC42" s="138"/>
      <c r="BD42" s="138"/>
      <c r="BE42" s="138"/>
      <c r="BF42" s="138"/>
      <c r="BG42" s="136" t="b">
        <f t="shared" si="4"/>
        <v>0</v>
      </c>
      <c r="BH42" s="136">
        <f>ROW()</f>
        <v>42</v>
      </c>
      <c r="BI42" s="136">
        <v>41</v>
      </c>
      <c r="BJ42" s="136" t="str">
        <f t="shared" si="5"/>
        <v>NA</v>
      </c>
      <c r="BK42" s="136" t="e">
        <f t="shared" si="12"/>
        <v>#N/A</v>
      </c>
      <c r="BL42" s="136" t="str">
        <f t="shared" si="12"/>
        <v xml:space="preserve"> </v>
      </c>
      <c r="BM42" s="136" t="str">
        <f t="shared" si="12"/>
        <v xml:space="preserve"> </v>
      </c>
      <c r="BN42" s="136" t="str">
        <f t="shared" si="12"/>
        <v xml:space="preserve"> </v>
      </c>
      <c r="BO42" s="136" t="str">
        <f t="shared" si="12"/>
        <v xml:space="preserve"> </v>
      </c>
      <c r="BP42" s="136" t="str">
        <f t="shared" si="12"/>
        <v xml:space="preserve"> </v>
      </c>
      <c r="BQ42" s="136" t="str">
        <f t="shared" si="12"/>
        <v xml:space="preserve"> </v>
      </c>
      <c r="BR42" s="136" t="str">
        <f t="shared" si="12"/>
        <v xml:space="preserve"> </v>
      </c>
      <c r="BS42" s="136" t="str">
        <f t="shared" si="12"/>
        <v xml:space="preserve"> </v>
      </c>
      <c r="BT42" s="136" t="str">
        <f t="shared" si="12"/>
        <v xml:space="preserve"> </v>
      </c>
      <c r="BU42" s="136" t="str">
        <f t="shared" si="12"/>
        <v xml:space="preserve"> </v>
      </c>
      <c r="BV42" s="136" t="str">
        <f t="shared" si="12"/>
        <v xml:space="preserve"> </v>
      </c>
      <c r="BW42" s="136" t="str">
        <f t="shared" si="12"/>
        <v xml:space="preserve"> </v>
      </c>
      <c r="BX42" s="136" t="str">
        <f t="shared" si="12"/>
        <v xml:space="preserve"> </v>
      </c>
      <c r="BY42" s="136" t="str">
        <f t="shared" si="12"/>
        <v xml:space="preserve"> </v>
      </c>
      <c r="BZ42" s="136" t="str">
        <f t="shared" si="11"/>
        <v xml:space="preserve"> </v>
      </c>
      <c r="CA42" s="136" t="str">
        <f t="shared" si="10"/>
        <v xml:space="preserve"> </v>
      </c>
      <c r="CB42" s="136" t="str">
        <f t="shared" si="10"/>
        <v xml:space="preserve"> </v>
      </c>
      <c r="CC42" s="136" t="str">
        <f t="shared" si="10"/>
        <v xml:space="preserve"> </v>
      </c>
      <c r="CD42" s="136" t="str">
        <f t="shared" si="10"/>
        <v xml:space="preserve"> </v>
      </c>
      <c r="CE42" s="136" t="str">
        <f t="shared" si="10"/>
        <v xml:space="preserve"> </v>
      </c>
      <c r="CF42" s="136" t="str">
        <f t="shared" si="10"/>
        <v xml:space="preserve"> </v>
      </c>
      <c r="CG42" s="136" t="str">
        <f t="shared" si="10"/>
        <v xml:space="preserve"> </v>
      </c>
      <c r="CH42" s="136" t="str">
        <f t="shared" si="10"/>
        <v xml:space="preserve"> </v>
      </c>
    </row>
    <row r="43" spans="1:86" x14ac:dyDescent="0.25">
      <c r="A43">
        <v>21</v>
      </c>
      <c r="B43">
        <f t="shared" si="9"/>
        <v>11.408250000000001</v>
      </c>
      <c r="C43" s="75">
        <f>B43*LBP/'G&amp;H'!$K$7</f>
        <v>2483310984.8484855</v>
      </c>
      <c r="D43" s="75">
        <f>0.075/((LOG10(C43)-2)^2)+'G&amp;H'!$D$17/1000</f>
        <v>1.1804940227981796E-3</v>
      </c>
      <c r="E43">
        <f>D43*0.5*1.025*'G&amp;H'!$K$19*Tools1!B43^2</f>
        <v>857.93309919772389</v>
      </c>
      <c r="AG43" s="135" t="e">
        <f t="shared" si="3"/>
        <v>#N/A</v>
      </c>
      <c r="AH43" s="136">
        <v>42</v>
      </c>
      <c r="AI43" s="138"/>
      <c r="AJ43" s="138"/>
      <c r="AK43" s="138"/>
      <c r="AL43" s="138"/>
      <c r="AM43" s="138"/>
      <c r="AN43" s="138"/>
      <c r="AO43" s="138"/>
      <c r="AP43" s="138"/>
      <c r="AQ43" s="138"/>
      <c r="AR43" s="138"/>
      <c r="AS43" s="138"/>
      <c r="AT43" s="138"/>
      <c r="AU43" s="138"/>
      <c r="AV43" s="138"/>
      <c r="AW43" s="138"/>
      <c r="AX43" s="138"/>
      <c r="AY43" s="138"/>
      <c r="AZ43" s="138"/>
      <c r="BA43" s="138"/>
      <c r="BB43" s="138"/>
      <c r="BC43" s="138"/>
      <c r="BD43" s="138"/>
      <c r="BE43" s="138"/>
      <c r="BF43" s="138"/>
      <c r="BG43" s="136" t="b">
        <f t="shared" si="4"/>
        <v>0</v>
      </c>
      <c r="BH43" s="136">
        <f>ROW()</f>
        <v>43</v>
      </c>
      <c r="BI43" s="136">
        <v>42</v>
      </c>
      <c r="BJ43" s="136" t="str">
        <f t="shared" si="5"/>
        <v>NA</v>
      </c>
      <c r="BK43" s="136" t="e">
        <f t="shared" si="12"/>
        <v>#N/A</v>
      </c>
      <c r="BL43" s="136" t="str">
        <f t="shared" si="12"/>
        <v xml:space="preserve"> </v>
      </c>
      <c r="BM43" s="136" t="str">
        <f t="shared" si="12"/>
        <v xml:space="preserve"> </v>
      </c>
      <c r="BN43" s="136" t="str">
        <f t="shared" si="12"/>
        <v xml:space="preserve"> </v>
      </c>
      <c r="BO43" s="136" t="str">
        <f t="shared" si="12"/>
        <v xml:space="preserve"> </v>
      </c>
      <c r="BP43" s="136" t="str">
        <f t="shared" si="12"/>
        <v xml:space="preserve"> </v>
      </c>
      <c r="BQ43" s="136" t="str">
        <f t="shared" si="12"/>
        <v xml:space="preserve"> </v>
      </c>
      <c r="BR43" s="136" t="str">
        <f t="shared" si="12"/>
        <v xml:space="preserve"> </v>
      </c>
      <c r="BS43" s="136" t="str">
        <f t="shared" si="12"/>
        <v xml:space="preserve"> </v>
      </c>
      <c r="BT43" s="136" t="str">
        <f t="shared" si="12"/>
        <v xml:space="preserve"> </v>
      </c>
      <c r="BU43" s="136" t="str">
        <f t="shared" si="12"/>
        <v xml:space="preserve"> </v>
      </c>
      <c r="BV43" s="136" t="str">
        <f t="shared" si="12"/>
        <v xml:space="preserve"> </v>
      </c>
      <c r="BW43" s="136" t="str">
        <f t="shared" si="12"/>
        <v xml:space="preserve"> </v>
      </c>
      <c r="BX43" s="136" t="str">
        <f t="shared" si="12"/>
        <v xml:space="preserve"> </v>
      </c>
      <c r="BY43" s="136" t="str">
        <f t="shared" si="12"/>
        <v xml:space="preserve"> </v>
      </c>
      <c r="BZ43" s="136" t="str">
        <f t="shared" si="11"/>
        <v xml:space="preserve"> </v>
      </c>
      <c r="CA43" s="136" t="str">
        <f t="shared" si="10"/>
        <v xml:space="preserve"> </v>
      </c>
      <c r="CB43" s="136" t="str">
        <f t="shared" si="10"/>
        <v xml:space="preserve"> </v>
      </c>
      <c r="CC43" s="136" t="str">
        <f t="shared" si="10"/>
        <v xml:space="preserve"> </v>
      </c>
      <c r="CD43" s="136" t="str">
        <f t="shared" si="10"/>
        <v xml:space="preserve"> </v>
      </c>
      <c r="CE43" s="136" t="str">
        <f t="shared" si="10"/>
        <v xml:space="preserve"> </v>
      </c>
      <c r="CF43" s="136" t="str">
        <f t="shared" si="10"/>
        <v xml:space="preserve"> </v>
      </c>
      <c r="CG43" s="136" t="str">
        <f t="shared" si="10"/>
        <v xml:space="preserve"> </v>
      </c>
      <c r="CH43" s="136" t="str">
        <f t="shared" si="10"/>
        <v xml:space="preserve"> </v>
      </c>
    </row>
    <row r="44" spans="1:86" x14ac:dyDescent="0.25">
      <c r="A44">
        <v>22</v>
      </c>
      <c r="B44">
        <f t="shared" si="9"/>
        <v>11.951499999999999</v>
      </c>
      <c r="C44" s="75">
        <f>B44*LBP/'G&amp;H'!$K$7</f>
        <v>2601563888.8888893</v>
      </c>
      <c r="D44" s="75"/>
      <c r="E44">
        <f>D44*0.5*1.025*'G&amp;H'!$K$19*Tools1!B44^2</f>
        <v>0</v>
      </c>
      <c r="AG44" s="135" t="e">
        <f t="shared" si="3"/>
        <v>#N/A</v>
      </c>
      <c r="AH44" s="136">
        <v>43</v>
      </c>
      <c r="AI44" s="138"/>
      <c r="AJ44" s="138"/>
      <c r="AK44" s="138"/>
      <c r="AL44" s="138"/>
      <c r="AM44" s="138"/>
      <c r="AN44" s="138"/>
      <c r="AO44" s="138"/>
      <c r="AP44" s="138"/>
      <c r="AQ44" s="138"/>
      <c r="AR44" s="138"/>
      <c r="AS44" s="138"/>
      <c r="AT44" s="138"/>
      <c r="AU44" s="138"/>
      <c r="AV44" s="138"/>
      <c r="AW44" s="138"/>
      <c r="AX44" s="138"/>
      <c r="AY44" s="138"/>
      <c r="AZ44" s="138"/>
      <c r="BA44" s="138"/>
      <c r="BB44" s="138"/>
      <c r="BC44" s="138"/>
      <c r="BD44" s="138"/>
      <c r="BE44" s="138"/>
      <c r="BF44" s="138"/>
      <c r="BG44" s="136" t="b">
        <f t="shared" si="4"/>
        <v>0</v>
      </c>
      <c r="BH44" s="136">
        <f>ROW()</f>
        <v>44</v>
      </c>
      <c r="BI44" s="136">
        <v>43</v>
      </c>
      <c r="BJ44" s="136" t="str">
        <f t="shared" si="5"/>
        <v>NA</v>
      </c>
      <c r="BK44" s="136" t="e">
        <f t="shared" si="12"/>
        <v>#N/A</v>
      </c>
      <c r="BL44" s="136" t="str">
        <f t="shared" si="12"/>
        <v xml:space="preserve"> </v>
      </c>
      <c r="BM44" s="136" t="str">
        <f t="shared" si="12"/>
        <v xml:space="preserve"> </v>
      </c>
      <c r="BN44" s="136" t="str">
        <f t="shared" si="12"/>
        <v xml:space="preserve"> </v>
      </c>
      <c r="BO44" s="136" t="str">
        <f t="shared" si="12"/>
        <v xml:space="preserve"> </v>
      </c>
      <c r="BP44" s="136" t="str">
        <f t="shared" si="12"/>
        <v xml:space="preserve"> </v>
      </c>
      <c r="BQ44" s="136" t="str">
        <f t="shared" si="12"/>
        <v xml:space="preserve"> </v>
      </c>
      <c r="BR44" s="136" t="str">
        <f t="shared" si="12"/>
        <v xml:space="preserve"> </v>
      </c>
      <c r="BS44" s="136" t="str">
        <f t="shared" si="12"/>
        <v xml:space="preserve"> </v>
      </c>
      <c r="BT44" s="136" t="str">
        <f t="shared" si="12"/>
        <v xml:space="preserve"> </v>
      </c>
      <c r="BU44" s="136" t="str">
        <f t="shared" si="12"/>
        <v xml:space="preserve"> </v>
      </c>
      <c r="BV44" s="136" t="str">
        <f t="shared" si="12"/>
        <v xml:space="preserve"> </v>
      </c>
      <c r="BW44" s="136" t="str">
        <f t="shared" si="12"/>
        <v xml:space="preserve"> </v>
      </c>
      <c r="BX44" s="136" t="str">
        <f t="shared" si="12"/>
        <v xml:space="preserve"> </v>
      </c>
      <c r="BY44" s="136" t="str">
        <f t="shared" si="12"/>
        <v xml:space="preserve"> </v>
      </c>
      <c r="BZ44" s="136" t="str">
        <f t="shared" si="11"/>
        <v xml:space="preserve"> </v>
      </c>
      <c r="CA44" s="136" t="str">
        <f t="shared" si="10"/>
        <v xml:space="preserve"> </v>
      </c>
      <c r="CB44" s="136" t="str">
        <f t="shared" si="10"/>
        <v xml:space="preserve"> </v>
      </c>
      <c r="CC44" s="136" t="str">
        <f t="shared" si="10"/>
        <v xml:space="preserve"> </v>
      </c>
      <c r="CD44" s="136" t="str">
        <f t="shared" si="10"/>
        <v xml:space="preserve"> </v>
      </c>
      <c r="CE44" s="136" t="str">
        <f t="shared" si="10"/>
        <v xml:space="preserve"> </v>
      </c>
      <c r="CF44" s="136" t="str">
        <f t="shared" si="10"/>
        <v xml:space="preserve"> </v>
      </c>
      <c r="CG44" s="136" t="str">
        <f t="shared" si="10"/>
        <v xml:space="preserve"> </v>
      </c>
      <c r="CH44" s="136" t="str">
        <f t="shared" si="10"/>
        <v xml:space="preserve"> </v>
      </c>
    </row>
    <row r="45" spans="1:86" x14ac:dyDescent="0.25">
      <c r="A45">
        <v>23</v>
      </c>
      <c r="B45">
        <f t="shared" si="9"/>
        <v>12.49475</v>
      </c>
      <c r="C45" s="75">
        <f>B45*LBP/'G&amp;H'!$K$7</f>
        <v>2719816792.9292932</v>
      </c>
      <c r="D45" s="75">
        <f>0.075/((LOG10(C45)-2)^2)+'G&amp;H'!$D$17/1000</f>
        <v>1.1659564244956492E-3</v>
      </c>
      <c r="E45">
        <f>D45*0.5*1.025*'G&amp;H'!$K$19*Tools1!B45^2</f>
        <v>1016.4570517691427</v>
      </c>
      <c r="AG45" s="135" t="e">
        <f t="shared" si="3"/>
        <v>#N/A</v>
      </c>
      <c r="AH45" s="136">
        <v>44</v>
      </c>
      <c r="AI45" s="138"/>
      <c r="AJ45" s="138"/>
      <c r="AK45" s="138"/>
      <c r="AL45" s="138"/>
      <c r="AM45" s="138"/>
      <c r="AN45" s="138"/>
      <c r="AO45" s="138"/>
      <c r="AP45" s="138"/>
      <c r="AQ45" s="138"/>
      <c r="AR45" s="138"/>
      <c r="AS45" s="138"/>
      <c r="AT45" s="138"/>
      <c r="AU45" s="138"/>
      <c r="AV45" s="138"/>
      <c r="AW45" s="138"/>
      <c r="AX45" s="138"/>
      <c r="AY45" s="138"/>
      <c r="AZ45" s="138"/>
      <c r="BA45" s="138"/>
      <c r="BB45" s="138"/>
      <c r="BC45" s="138"/>
      <c r="BD45" s="138"/>
      <c r="BE45" s="138"/>
      <c r="BF45" s="138"/>
      <c r="BG45" s="136" t="b">
        <f t="shared" si="4"/>
        <v>0</v>
      </c>
      <c r="BH45" s="136">
        <f>ROW()</f>
        <v>45</v>
      </c>
      <c r="BI45" s="136">
        <v>44</v>
      </c>
      <c r="BJ45" s="136" t="str">
        <f t="shared" si="5"/>
        <v>NA</v>
      </c>
      <c r="BK45" s="136" t="e">
        <f t="shared" si="12"/>
        <v>#N/A</v>
      </c>
      <c r="BL45" s="136" t="str">
        <f t="shared" si="12"/>
        <v xml:space="preserve"> </v>
      </c>
      <c r="BM45" s="136" t="str">
        <f t="shared" si="12"/>
        <v xml:space="preserve"> </v>
      </c>
      <c r="BN45" s="136" t="str">
        <f t="shared" si="12"/>
        <v xml:space="preserve"> </v>
      </c>
      <c r="BO45" s="136" t="str">
        <f t="shared" si="12"/>
        <v xml:space="preserve"> </v>
      </c>
      <c r="BP45" s="136" t="str">
        <f t="shared" si="12"/>
        <v xml:space="preserve"> </v>
      </c>
      <c r="BQ45" s="136" t="str">
        <f t="shared" si="12"/>
        <v xml:space="preserve"> </v>
      </c>
      <c r="BR45" s="136" t="str">
        <f t="shared" si="12"/>
        <v xml:space="preserve"> </v>
      </c>
      <c r="BS45" s="136" t="str">
        <f t="shared" si="12"/>
        <v xml:space="preserve"> </v>
      </c>
      <c r="BT45" s="136" t="str">
        <f t="shared" si="12"/>
        <v xml:space="preserve"> </v>
      </c>
      <c r="BU45" s="136" t="str">
        <f t="shared" si="12"/>
        <v xml:space="preserve"> </v>
      </c>
      <c r="BV45" s="136" t="str">
        <f t="shared" si="12"/>
        <v xml:space="preserve"> </v>
      </c>
      <c r="BW45" s="136" t="str">
        <f t="shared" si="12"/>
        <v xml:space="preserve"> </v>
      </c>
      <c r="BX45" s="136" t="str">
        <f t="shared" si="12"/>
        <v xml:space="preserve"> </v>
      </c>
      <c r="BY45" s="136" t="str">
        <f t="shared" si="12"/>
        <v xml:space="preserve"> </v>
      </c>
      <c r="BZ45" s="136" t="str">
        <f t="shared" si="11"/>
        <v xml:space="preserve"> </v>
      </c>
      <c r="CA45" s="136" t="str">
        <f t="shared" si="10"/>
        <v xml:space="preserve"> </v>
      </c>
      <c r="CB45" s="136" t="str">
        <f t="shared" si="10"/>
        <v xml:space="preserve"> </v>
      </c>
      <c r="CC45" s="136" t="str">
        <f t="shared" si="10"/>
        <v xml:space="preserve"> </v>
      </c>
      <c r="CD45" s="136" t="str">
        <f t="shared" si="10"/>
        <v xml:space="preserve"> </v>
      </c>
      <c r="CE45" s="136" t="str">
        <f t="shared" si="10"/>
        <v xml:space="preserve"> </v>
      </c>
      <c r="CF45" s="136" t="str">
        <f t="shared" si="10"/>
        <v xml:space="preserve"> </v>
      </c>
      <c r="CG45" s="136" t="str">
        <f t="shared" si="10"/>
        <v xml:space="preserve"> </v>
      </c>
      <c r="CH45" s="136" t="str">
        <f t="shared" si="10"/>
        <v xml:space="preserve"> </v>
      </c>
    </row>
    <row r="46" spans="1:86" x14ac:dyDescent="0.25">
      <c r="A46">
        <v>24</v>
      </c>
      <c r="B46">
        <f t="shared" si="9"/>
        <v>13.038</v>
      </c>
      <c r="C46" s="75">
        <f>B46*LBP/'G&amp;H'!$K$7</f>
        <v>2838069696.9696975</v>
      </c>
      <c r="D46" s="75">
        <f>0.075/((LOG10(C46)-2)^2)+'G&amp;H'!$D$17/1000</f>
        <v>1.1592344978387955E-3</v>
      </c>
      <c r="E46">
        <f>D46*0.5*1.025*'G&amp;H'!$K$19*Tools1!B46^2</f>
        <v>1100.3854055516622</v>
      </c>
      <c r="AG46" s="135" t="e">
        <f t="shared" si="3"/>
        <v>#N/A</v>
      </c>
      <c r="AH46" s="136">
        <v>45</v>
      </c>
      <c r="AI46" s="138"/>
      <c r="AJ46" s="138"/>
      <c r="AK46" s="138"/>
      <c r="AL46" s="138"/>
      <c r="AM46" s="138"/>
      <c r="AN46" s="138"/>
      <c r="AO46" s="138"/>
      <c r="AP46" s="138"/>
      <c r="AQ46" s="138"/>
      <c r="AR46" s="138"/>
      <c r="AS46" s="138"/>
      <c r="AT46" s="138"/>
      <c r="AU46" s="138"/>
      <c r="AV46" s="138"/>
      <c r="AW46" s="138"/>
      <c r="AX46" s="138"/>
      <c r="AY46" s="138"/>
      <c r="AZ46" s="138"/>
      <c r="BA46" s="138"/>
      <c r="BB46" s="138"/>
      <c r="BC46" s="138"/>
      <c r="BD46" s="138"/>
      <c r="BE46" s="138"/>
      <c r="BF46" s="138"/>
      <c r="BG46" s="136" t="b">
        <f t="shared" si="4"/>
        <v>0</v>
      </c>
      <c r="BH46" s="136">
        <f>ROW()</f>
        <v>46</v>
      </c>
      <c r="BI46" s="136">
        <v>45</v>
      </c>
      <c r="BJ46" s="136" t="str">
        <f t="shared" si="5"/>
        <v>NA</v>
      </c>
      <c r="BK46" s="136" t="e">
        <f t="shared" si="12"/>
        <v>#N/A</v>
      </c>
      <c r="BL46" s="136" t="str">
        <f t="shared" si="12"/>
        <v xml:space="preserve"> </v>
      </c>
      <c r="BM46" s="136" t="str">
        <f t="shared" si="12"/>
        <v xml:space="preserve"> </v>
      </c>
      <c r="BN46" s="136" t="str">
        <f t="shared" si="12"/>
        <v xml:space="preserve"> </v>
      </c>
      <c r="BO46" s="136" t="str">
        <f t="shared" si="12"/>
        <v xml:space="preserve"> </v>
      </c>
      <c r="BP46" s="136" t="str">
        <f t="shared" si="12"/>
        <v xml:space="preserve"> </v>
      </c>
      <c r="BQ46" s="136" t="str">
        <f t="shared" si="12"/>
        <v xml:space="preserve"> </v>
      </c>
      <c r="BR46" s="136" t="str">
        <f t="shared" si="12"/>
        <v xml:space="preserve"> </v>
      </c>
      <c r="BS46" s="136" t="str">
        <f t="shared" si="12"/>
        <v xml:space="preserve"> </v>
      </c>
      <c r="BT46" s="136" t="str">
        <f t="shared" si="12"/>
        <v xml:space="preserve"> </v>
      </c>
      <c r="BU46" s="136" t="str">
        <f t="shared" si="12"/>
        <v xml:space="preserve"> </v>
      </c>
      <c r="BV46" s="136" t="str">
        <f t="shared" si="12"/>
        <v xml:space="preserve"> </v>
      </c>
      <c r="BW46" s="136" t="str">
        <f t="shared" si="12"/>
        <v xml:space="preserve"> </v>
      </c>
      <c r="BX46" s="136" t="str">
        <f t="shared" si="12"/>
        <v xml:space="preserve"> </v>
      </c>
      <c r="BY46" s="136" t="str">
        <f t="shared" si="12"/>
        <v xml:space="preserve"> </v>
      </c>
      <c r="BZ46" s="136" t="str">
        <f t="shared" si="11"/>
        <v xml:space="preserve"> </v>
      </c>
      <c r="CA46" s="136" t="str">
        <f t="shared" si="10"/>
        <v xml:space="preserve"> </v>
      </c>
      <c r="CB46" s="136" t="str">
        <f t="shared" si="10"/>
        <v xml:space="preserve"> </v>
      </c>
      <c r="CC46" s="136" t="str">
        <f t="shared" si="10"/>
        <v xml:space="preserve"> </v>
      </c>
      <c r="CD46" s="136" t="str">
        <f t="shared" si="10"/>
        <v xml:space="preserve"> </v>
      </c>
      <c r="CE46" s="136" t="str">
        <f t="shared" si="10"/>
        <v xml:space="preserve"> </v>
      </c>
      <c r="CF46" s="136" t="str">
        <f t="shared" si="10"/>
        <v xml:space="preserve"> </v>
      </c>
      <c r="CG46" s="136" t="str">
        <f t="shared" si="10"/>
        <v xml:space="preserve"> </v>
      </c>
      <c r="CH46" s="136" t="str">
        <f t="shared" si="10"/>
        <v xml:space="preserve"> </v>
      </c>
    </row>
    <row r="47" spans="1:86" x14ac:dyDescent="0.25">
      <c r="A47">
        <v>25</v>
      </c>
      <c r="B47">
        <f t="shared" si="9"/>
        <v>13.581250000000001</v>
      </c>
      <c r="C47" s="75">
        <f>B47*LBP/'G&amp;H'!$K$7</f>
        <v>2956322601.0101018</v>
      </c>
      <c r="D47" s="75">
        <f>0.075/((LOG10(C47)-2)^2)+'G&amp;H'!$D$17/1000</f>
        <v>1.1528338352272949E-3</v>
      </c>
      <c r="E47">
        <f>D47*0.5*1.025*'G&amp;H'!$K$19*Tools1!B47^2</f>
        <v>1187.4019917871353</v>
      </c>
      <c r="AG47" s="135" t="e">
        <f t="shared" si="3"/>
        <v>#N/A</v>
      </c>
      <c r="AH47" s="136">
        <v>46</v>
      </c>
      <c r="AI47" s="138"/>
      <c r="AJ47" s="138"/>
      <c r="AK47" s="138"/>
      <c r="AL47" s="138"/>
      <c r="AM47" s="138"/>
      <c r="AN47" s="138"/>
      <c r="AO47" s="138"/>
      <c r="AP47" s="138"/>
      <c r="AQ47" s="138"/>
      <c r="AR47" s="138"/>
      <c r="AS47" s="138"/>
      <c r="AT47" s="138"/>
      <c r="AU47" s="138"/>
      <c r="AV47" s="138"/>
      <c r="AW47" s="138"/>
      <c r="AX47" s="138"/>
      <c r="AY47" s="138"/>
      <c r="AZ47" s="138"/>
      <c r="BA47" s="138"/>
      <c r="BB47" s="138"/>
      <c r="BC47" s="138"/>
      <c r="BD47" s="138"/>
      <c r="BE47" s="138"/>
      <c r="BF47" s="138"/>
      <c r="BG47" s="136" t="b">
        <f t="shared" si="4"/>
        <v>0</v>
      </c>
      <c r="BH47" s="136">
        <f>ROW()</f>
        <v>47</v>
      </c>
      <c r="BI47" s="136">
        <v>46</v>
      </c>
      <c r="BJ47" s="136" t="str">
        <f t="shared" si="5"/>
        <v>NA</v>
      </c>
      <c r="BK47" s="136" t="e">
        <f t="shared" si="12"/>
        <v>#N/A</v>
      </c>
      <c r="BL47" s="136" t="str">
        <f t="shared" si="12"/>
        <v xml:space="preserve"> </v>
      </c>
      <c r="BM47" s="136" t="str">
        <f t="shared" si="12"/>
        <v xml:space="preserve"> </v>
      </c>
      <c r="BN47" s="136" t="str">
        <f t="shared" si="12"/>
        <v xml:space="preserve"> </v>
      </c>
      <c r="BO47" s="136" t="str">
        <f t="shared" si="12"/>
        <v xml:space="preserve"> </v>
      </c>
      <c r="BP47" s="136" t="str">
        <f t="shared" si="12"/>
        <v xml:space="preserve"> </v>
      </c>
      <c r="BQ47" s="136" t="str">
        <f t="shared" si="12"/>
        <v xml:space="preserve"> </v>
      </c>
      <c r="BR47" s="136" t="str">
        <f t="shared" si="12"/>
        <v xml:space="preserve"> </v>
      </c>
      <c r="BS47" s="136" t="str">
        <f t="shared" si="12"/>
        <v xml:space="preserve"> </v>
      </c>
      <c r="BT47" s="136" t="str">
        <f t="shared" si="12"/>
        <v xml:space="preserve"> </v>
      </c>
      <c r="BU47" s="136" t="str">
        <f t="shared" si="12"/>
        <v xml:space="preserve"> </v>
      </c>
      <c r="BV47" s="136" t="str">
        <f t="shared" si="12"/>
        <v xml:space="preserve"> </v>
      </c>
      <c r="BW47" s="136" t="str">
        <f t="shared" si="12"/>
        <v xml:space="preserve"> </v>
      </c>
      <c r="BX47" s="136" t="str">
        <f t="shared" si="12"/>
        <v xml:space="preserve"> </v>
      </c>
      <c r="BY47" s="136" t="str">
        <f t="shared" si="12"/>
        <v xml:space="preserve"> </v>
      </c>
      <c r="BZ47" s="136" t="str">
        <f t="shared" si="11"/>
        <v xml:space="preserve"> </v>
      </c>
      <c r="CA47" s="136" t="str">
        <f t="shared" si="10"/>
        <v xml:space="preserve"> </v>
      </c>
      <c r="CB47" s="136" t="str">
        <f t="shared" si="10"/>
        <v xml:space="preserve"> </v>
      </c>
      <c r="CC47" s="136" t="str">
        <f t="shared" si="10"/>
        <v xml:space="preserve"> </v>
      </c>
      <c r="CD47" s="136" t="str">
        <f t="shared" si="10"/>
        <v xml:space="preserve"> </v>
      </c>
      <c r="CE47" s="136" t="str">
        <f t="shared" si="10"/>
        <v xml:space="preserve"> </v>
      </c>
      <c r="CF47" s="136" t="str">
        <f t="shared" si="10"/>
        <v xml:space="preserve"> </v>
      </c>
      <c r="CG47" s="136" t="str">
        <f t="shared" si="10"/>
        <v xml:space="preserve"> </v>
      </c>
      <c r="CH47" s="136" t="str">
        <f t="shared" si="10"/>
        <v xml:space="preserve"> </v>
      </c>
    </row>
    <row r="48" spans="1:86" x14ac:dyDescent="0.25">
      <c r="A48">
        <v>26</v>
      </c>
      <c r="B48">
        <f t="shared" si="9"/>
        <v>14.124500000000001</v>
      </c>
      <c r="C48" s="75">
        <f>B48*LBP/'G&amp;H'!$K$7</f>
        <v>3074575505.0505061</v>
      </c>
      <c r="D48" s="75">
        <f>0.075/((LOG10(C48)-2)^2)+'G&amp;H'!$D$17/1000</f>
        <v>1.146727019562021E-3</v>
      </c>
      <c r="E48">
        <f>D48*0.5*1.025*'G&amp;H'!$K$19*Tools1!B48^2</f>
        <v>1277.4908051290236</v>
      </c>
      <c r="AG48" s="135" t="e">
        <f t="shared" si="3"/>
        <v>#N/A</v>
      </c>
      <c r="AH48" s="136">
        <v>47</v>
      </c>
      <c r="AI48" s="138"/>
      <c r="AJ48" s="138"/>
      <c r="AK48" s="138"/>
      <c r="AL48" s="138"/>
      <c r="AM48" s="138"/>
      <c r="AN48" s="138"/>
      <c r="AO48" s="138"/>
      <c r="AP48" s="138"/>
      <c r="AQ48" s="138"/>
      <c r="AR48" s="138"/>
      <c r="AS48" s="138"/>
      <c r="AT48" s="138"/>
      <c r="AU48" s="138"/>
      <c r="AV48" s="138"/>
      <c r="AW48" s="138"/>
      <c r="AX48" s="138"/>
      <c r="AY48" s="138"/>
      <c r="AZ48" s="138"/>
      <c r="BA48" s="138"/>
      <c r="BB48" s="138"/>
      <c r="BC48" s="138"/>
      <c r="BD48" s="138"/>
      <c r="BE48" s="138"/>
      <c r="BF48" s="138"/>
      <c r="BG48" s="136" t="b">
        <f t="shared" si="4"/>
        <v>0</v>
      </c>
      <c r="BH48" s="136">
        <f>ROW()</f>
        <v>48</v>
      </c>
      <c r="BI48" s="136">
        <v>47</v>
      </c>
      <c r="BJ48" s="136" t="str">
        <f t="shared" si="5"/>
        <v>NA</v>
      </c>
      <c r="BK48" s="136" t="e">
        <f t="shared" si="12"/>
        <v>#N/A</v>
      </c>
      <c r="BL48" s="136" t="str">
        <f t="shared" si="12"/>
        <v xml:space="preserve"> </v>
      </c>
      <c r="BM48" s="136" t="str">
        <f t="shared" si="12"/>
        <v xml:space="preserve"> </v>
      </c>
      <c r="BN48" s="136" t="str">
        <f t="shared" si="12"/>
        <v xml:space="preserve"> </v>
      </c>
      <c r="BO48" s="136" t="str">
        <f t="shared" si="12"/>
        <v xml:space="preserve"> </v>
      </c>
      <c r="BP48" s="136" t="str">
        <f t="shared" si="12"/>
        <v xml:space="preserve"> </v>
      </c>
      <c r="BQ48" s="136" t="str">
        <f t="shared" si="12"/>
        <v xml:space="preserve"> </v>
      </c>
      <c r="BR48" s="136" t="str">
        <f t="shared" si="12"/>
        <v xml:space="preserve"> </v>
      </c>
      <c r="BS48" s="136" t="str">
        <f t="shared" si="12"/>
        <v xml:space="preserve"> </v>
      </c>
      <c r="BT48" s="136" t="str">
        <f t="shared" si="12"/>
        <v xml:space="preserve"> </v>
      </c>
      <c r="BU48" s="136" t="str">
        <f t="shared" si="12"/>
        <v xml:space="preserve"> </v>
      </c>
      <c r="BV48" s="136" t="str">
        <f t="shared" si="12"/>
        <v xml:space="preserve"> </v>
      </c>
      <c r="BW48" s="136" t="str">
        <f t="shared" si="12"/>
        <v xml:space="preserve"> </v>
      </c>
      <c r="BX48" s="136" t="str">
        <f t="shared" si="12"/>
        <v xml:space="preserve"> </v>
      </c>
      <c r="BY48" s="136" t="str">
        <f t="shared" si="12"/>
        <v xml:space="preserve"> </v>
      </c>
      <c r="BZ48" s="136" t="str">
        <f t="shared" si="11"/>
        <v xml:space="preserve"> </v>
      </c>
      <c r="CA48" s="136" t="str">
        <f t="shared" si="10"/>
        <v xml:space="preserve"> </v>
      </c>
      <c r="CB48" s="136" t="str">
        <f t="shared" si="10"/>
        <v xml:space="preserve"> </v>
      </c>
      <c r="CC48" s="136" t="str">
        <f t="shared" si="10"/>
        <v xml:space="preserve"> </v>
      </c>
      <c r="CD48" s="136" t="str">
        <f t="shared" si="10"/>
        <v xml:space="preserve"> </v>
      </c>
      <c r="CE48" s="136" t="str">
        <f t="shared" si="10"/>
        <v xml:space="preserve"> </v>
      </c>
      <c r="CF48" s="136" t="str">
        <f t="shared" si="10"/>
        <v xml:space="preserve"> </v>
      </c>
      <c r="CG48" s="136" t="str">
        <f t="shared" si="10"/>
        <v xml:space="preserve"> </v>
      </c>
      <c r="CH48" s="136" t="str">
        <f t="shared" si="10"/>
        <v xml:space="preserve"> </v>
      </c>
    </row>
    <row r="49" spans="1:86" x14ac:dyDescent="0.25">
      <c r="A49">
        <v>27</v>
      </c>
      <c r="B49">
        <f t="shared" si="9"/>
        <v>14.66775</v>
      </c>
      <c r="C49" s="75">
        <f>B49*LBP/'G&amp;H'!$K$7</f>
        <v>3192828409.0909095</v>
      </c>
      <c r="D49" s="75">
        <f>0.075/((LOG10(C49)-2)^2)+'G&amp;H'!$D$17/1000</f>
        <v>1.1408899219394043E-3</v>
      </c>
      <c r="E49">
        <f>D49*0.5*1.025*'G&amp;H'!$K$19*Tools1!B49^2</f>
        <v>1370.6365650736702</v>
      </c>
      <c r="AG49" s="135" t="e">
        <f t="shared" si="3"/>
        <v>#N/A</v>
      </c>
      <c r="AH49" s="136">
        <v>48</v>
      </c>
      <c r="AI49" s="138"/>
      <c r="AJ49" s="138"/>
      <c r="AK49" s="138"/>
      <c r="AL49" s="138"/>
      <c r="AM49" s="138"/>
      <c r="AN49" s="138"/>
      <c r="AO49" s="138"/>
      <c r="AP49" s="138"/>
      <c r="AQ49" s="138"/>
      <c r="AR49" s="138"/>
      <c r="AS49" s="138"/>
      <c r="AT49" s="138"/>
      <c r="AU49" s="138"/>
      <c r="AV49" s="138"/>
      <c r="AW49" s="138"/>
      <c r="AX49" s="138"/>
      <c r="AY49" s="138"/>
      <c r="AZ49" s="138"/>
      <c r="BA49" s="138"/>
      <c r="BB49" s="138"/>
      <c r="BC49" s="138"/>
      <c r="BD49" s="138"/>
      <c r="BE49" s="138"/>
      <c r="BF49" s="138"/>
      <c r="BG49" s="136" t="b">
        <f t="shared" si="4"/>
        <v>0</v>
      </c>
      <c r="BH49" s="136">
        <f>ROW()</f>
        <v>49</v>
      </c>
      <c r="BI49" s="136">
        <v>48</v>
      </c>
      <c r="BJ49" s="136" t="str">
        <f t="shared" si="5"/>
        <v>NA</v>
      </c>
      <c r="BK49" s="136" t="e">
        <f t="shared" si="12"/>
        <v>#N/A</v>
      </c>
      <c r="BL49" s="136" t="str">
        <f t="shared" si="12"/>
        <v xml:space="preserve"> </v>
      </c>
      <c r="BM49" s="136" t="str">
        <f t="shared" si="12"/>
        <v xml:space="preserve"> </v>
      </c>
      <c r="BN49" s="136" t="str">
        <f t="shared" si="12"/>
        <v xml:space="preserve"> </v>
      </c>
      <c r="BO49" s="136" t="str">
        <f t="shared" si="12"/>
        <v xml:space="preserve"> </v>
      </c>
      <c r="BP49" s="136" t="str">
        <f t="shared" si="12"/>
        <v xml:space="preserve"> </v>
      </c>
      <c r="BQ49" s="136" t="str">
        <f t="shared" si="12"/>
        <v xml:space="preserve"> </v>
      </c>
      <c r="BR49" s="136" t="str">
        <f t="shared" si="12"/>
        <v xml:space="preserve"> </v>
      </c>
      <c r="BS49" s="136" t="str">
        <f t="shared" si="12"/>
        <v xml:space="preserve"> </v>
      </c>
      <c r="BT49" s="136" t="str">
        <f t="shared" si="12"/>
        <v xml:space="preserve"> </v>
      </c>
      <c r="BU49" s="136" t="str">
        <f t="shared" si="12"/>
        <v xml:space="preserve"> </v>
      </c>
      <c r="BV49" s="136" t="str">
        <f t="shared" si="12"/>
        <v xml:space="preserve"> </v>
      </c>
      <c r="BW49" s="136" t="str">
        <f t="shared" si="12"/>
        <v xml:space="preserve"> </v>
      </c>
      <c r="BX49" s="136" t="str">
        <f t="shared" si="12"/>
        <v xml:space="preserve"> </v>
      </c>
      <c r="BY49" s="136" t="str">
        <f t="shared" si="12"/>
        <v xml:space="preserve"> </v>
      </c>
      <c r="BZ49" s="136" t="str">
        <f t="shared" si="11"/>
        <v xml:space="preserve"> </v>
      </c>
      <c r="CA49" s="136" t="str">
        <f t="shared" si="10"/>
        <v xml:space="preserve"> </v>
      </c>
      <c r="CB49" s="136" t="str">
        <f t="shared" si="10"/>
        <v xml:space="preserve"> </v>
      </c>
      <c r="CC49" s="136" t="str">
        <f t="shared" si="10"/>
        <v xml:space="preserve"> </v>
      </c>
      <c r="CD49" s="136" t="str">
        <f t="shared" si="10"/>
        <v xml:space="preserve"> </v>
      </c>
      <c r="CE49" s="136" t="str">
        <f t="shared" si="10"/>
        <v xml:space="preserve"> </v>
      </c>
      <c r="CF49" s="136" t="str">
        <f t="shared" si="10"/>
        <v xml:space="preserve"> </v>
      </c>
      <c r="CG49" s="136" t="str">
        <f t="shared" si="10"/>
        <v xml:space="preserve"> </v>
      </c>
      <c r="CH49" s="136" t="str">
        <f t="shared" si="10"/>
        <v xml:space="preserve"> </v>
      </c>
    </row>
    <row r="50" spans="1:86" x14ac:dyDescent="0.25">
      <c r="A50">
        <v>28</v>
      </c>
      <c r="B50">
        <f t="shared" si="9"/>
        <v>15.211</v>
      </c>
      <c r="C50" s="75">
        <f>B50*LBP/'G&amp;H'!$K$7</f>
        <v>3311081313.1313138</v>
      </c>
      <c r="D50" s="75">
        <f>0.075/((LOG10(C50)-2)^2)+'G&amp;H'!$D$17/1000</f>
        <v>1.1353012019546162E-3</v>
      </c>
      <c r="E50">
        <f>D50*0.5*1.025*'G&amp;H'!$K$19*Tools1!B50^2</f>
        <v>1466.824656879503</v>
      </c>
      <c r="AG50" s="135" t="e">
        <f t="shared" si="3"/>
        <v>#N/A</v>
      </c>
      <c r="AH50" s="136">
        <v>49</v>
      </c>
      <c r="AI50" s="138"/>
      <c r="AJ50" s="138"/>
      <c r="AK50" s="138"/>
      <c r="AL50" s="138"/>
      <c r="AM50" s="138"/>
      <c r="AN50" s="138"/>
      <c r="AO50" s="138"/>
      <c r="AP50" s="138"/>
      <c r="AQ50" s="138"/>
      <c r="AR50" s="138"/>
      <c r="AS50" s="138"/>
      <c r="AT50" s="138"/>
      <c r="AU50" s="138"/>
      <c r="AV50" s="138"/>
      <c r="AW50" s="138"/>
      <c r="AX50" s="138"/>
      <c r="AY50" s="138"/>
      <c r="AZ50" s="138"/>
      <c r="BA50" s="138"/>
      <c r="BB50" s="138"/>
      <c r="BC50" s="138"/>
      <c r="BD50" s="138"/>
      <c r="BE50" s="138"/>
      <c r="BF50" s="138"/>
      <c r="BG50" s="136" t="b">
        <f t="shared" si="4"/>
        <v>0</v>
      </c>
      <c r="BH50" s="136">
        <f>ROW()</f>
        <v>50</v>
      </c>
      <c r="BI50" s="136">
        <v>49</v>
      </c>
      <c r="BJ50" s="136" t="str">
        <f t="shared" si="5"/>
        <v>NA</v>
      </c>
      <c r="BK50" s="136" t="e">
        <f t="shared" si="12"/>
        <v>#N/A</v>
      </c>
      <c r="BL50" s="136" t="str">
        <f t="shared" si="12"/>
        <v xml:space="preserve"> </v>
      </c>
      <c r="BM50" s="136" t="str">
        <f t="shared" si="12"/>
        <v xml:space="preserve"> </v>
      </c>
      <c r="BN50" s="136" t="str">
        <f t="shared" si="12"/>
        <v xml:space="preserve"> </v>
      </c>
      <c r="BO50" s="136" t="str">
        <f t="shared" si="12"/>
        <v xml:space="preserve"> </v>
      </c>
      <c r="BP50" s="136" t="str">
        <f t="shared" si="12"/>
        <v xml:space="preserve"> </v>
      </c>
      <c r="BQ50" s="136" t="str">
        <f t="shared" si="12"/>
        <v xml:space="preserve"> </v>
      </c>
      <c r="BR50" s="136" t="str">
        <f t="shared" si="12"/>
        <v xml:space="preserve"> </v>
      </c>
      <c r="BS50" s="136" t="str">
        <f t="shared" si="12"/>
        <v xml:space="preserve"> </v>
      </c>
      <c r="BT50" s="136" t="str">
        <f t="shared" si="12"/>
        <v xml:space="preserve"> </v>
      </c>
      <c r="BU50" s="136" t="str">
        <f t="shared" si="12"/>
        <v xml:space="preserve"> </v>
      </c>
      <c r="BV50" s="136" t="str">
        <f t="shared" si="12"/>
        <v xml:space="preserve"> </v>
      </c>
      <c r="BW50" s="136" t="str">
        <f t="shared" si="12"/>
        <v xml:space="preserve"> </v>
      </c>
      <c r="BX50" s="136" t="str">
        <f t="shared" si="12"/>
        <v xml:space="preserve"> </v>
      </c>
      <c r="BY50" s="136" t="str">
        <f t="shared" si="12"/>
        <v xml:space="preserve"> </v>
      </c>
      <c r="BZ50" s="136" t="str">
        <f t="shared" si="11"/>
        <v xml:space="preserve"> </v>
      </c>
      <c r="CA50" s="136" t="str">
        <f t="shared" si="11"/>
        <v xml:space="preserve"> </v>
      </c>
      <c r="CB50" s="136" t="str">
        <f t="shared" si="11"/>
        <v xml:space="preserve"> </v>
      </c>
      <c r="CC50" s="136" t="str">
        <f t="shared" si="11"/>
        <v xml:space="preserve"> </v>
      </c>
      <c r="CD50" s="136" t="str">
        <f t="shared" si="11"/>
        <v xml:space="preserve"> </v>
      </c>
      <c r="CE50" s="136" t="str">
        <f t="shared" si="11"/>
        <v xml:space="preserve"> </v>
      </c>
      <c r="CF50" s="136" t="str">
        <f t="shared" si="11"/>
        <v xml:space="preserve"> </v>
      </c>
      <c r="CG50" s="136" t="str">
        <f t="shared" si="11"/>
        <v xml:space="preserve"> </v>
      </c>
      <c r="CH50" s="136" t="str">
        <f t="shared" si="11"/>
        <v xml:space="preserve"> </v>
      </c>
    </row>
    <row r="51" spans="1:86" x14ac:dyDescent="0.25">
      <c r="A51">
        <v>29</v>
      </c>
      <c r="B51">
        <f t="shared" si="9"/>
        <v>15.754250000000001</v>
      </c>
      <c r="C51" s="75">
        <f>B51*LBP/'G&amp;H'!$K$7</f>
        <v>3429334217.1717181</v>
      </c>
      <c r="D51" s="75">
        <f>0.075/((LOG10(C51)-2)^2)+'G&amp;H'!$D$17/1000</f>
        <v>1.1299418988176696E-3</v>
      </c>
      <c r="E51">
        <f>D51*0.5*1.025*'G&amp;H'!$K$19*Tools1!B51^2</f>
        <v>1566.0410792812004</v>
      </c>
      <c r="AG51" s="135" t="e">
        <f t="shared" si="3"/>
        <v>#N/A</v>
      </c>
      <c r="AH51" s="136">
        <v>50</v>
      </c>
      <c r="AI51" s="138"/>
      <c r="AJ51" s="138"/>
      <c r="AK51" s="138"/>
      <c r="AL51" s="138"/>
      <c r="AM51" s="138"/>
      <c r="AN51" s="138"/>
      <c r="AO51" s="138"/>
      <c r="AP51" s="138"/>
      <c r="AQ51" s="138"/>
      <c r="AR51" s="138"/>
      <c r="AS51" s="138"/>
      <c r="AT51" s="138"/>
      <c r="AU51" s="138"/>
      <c r="AV51" s="138"/>
      <c r="AW51" s="138"/>
      <c r="AX51" s="138"/>
      <c r="AY51" s="138"/>
      <c r="AZ51" s="138"/>
      <c r="BA51" s="138"/>
      <c r="BB51" s="138"/>
      <c r="BC51" s="138"/>
      <c r="BD51" s="138"/>
      <c r="BE51" s="138"/>
      <c r="BF51" s="138"/>
      <c r="BG51" s="136" t="b">
        <f t="shared" si="4"/>
        <v>0</v>
      </c>
      <c r="BH51" s="136">
        <f>ROW()</f>
        <v>51</v>
      </c>
      <c r="BI51" s="136">
        <v>50</v>
      </c>
      <c r="BJ51" s="136" t="str">
        <f t="shared" si="5"/>
        <v>NA</v>
      </c>
      <c r="BK51" s="136" t="e">
        <f t="shared" si="12"/>
        <v>#N/A</v>
      </c>
      <c r="BL51" s="136" t="str">
        <f t="shared" si="12"/>
        <v xml:space="preserve"> </v>
      </c>
      <c r="BM51" s="136" t="str">
        <f t="shared" si="12"/>
        <v xml:space="preserve"> </v>
      </c>
      <c r="BN51" s="136" t="str">
        <f t="shared" si="12"/>
        <v xml:space="preserve"> </v>
      </c>
      <c r="BO51" s="136" t="str">
        <f t="shared" si="12"/>
        <v xml:space="preserve"> </v>
      </c>
      <c r="BP51" s="136" t="str">
        <f t="shared" si="12"/>
        <v xml:space="preserve"> </v>
      </c>
      <c r="BQ51" s="136" t="str">
        <f t="shared" si="12"/>
        <v xml:space="preserve"> </v>
      </c>
      <c r="BR51" s="136" t="str">
        <f t="shared" si="12"/>
        <v xml:space="preserve"> </v>
      </c>
      <c r="BS51" s="136" t="str">
        <f t="shared" si="12"/>
        <v xml:space="preserve"> </v>
      </c>
      <c r="BT51" s="136" t="str">
        <f t="shared" si="12"/>
        <v xml:space="preserve"> </v>
      </c>
      <c r="BU51" s="136" t="str">
        <f t="shared" si="12"/>
        <v xml:space="preserve"> </v>
      </c>
      <c r="BV51" s="136" t="str">
        <f t="shared" si="12"/>
        <v xml:space="preserve"> </v>
      </c>
      <c r="BW51" s="136" t="str">
        <f t="shared" si="12"/>
        <v xml:space="preserve"> </v>
      </c>
      <c r="BX51" s="136" t="str">
        <f t="shared" si="12"/>
        <v xml:space="preserve"> </v>
      </c>
      <c r="BY51" s="136" t="str">
        <f t="shared" si="12"/>
        <v xml:space="preserve"> </v>
      </c>
      <c r="BZ51" s="136" t="str">
        <f t="shared" si="11"/>
        <v xml:space="preserve"> </v>
      </c>
      <c r="CA51" s="136" t="str">
        <f t="shared" si="11"/>
        <v xml:space="preserve"> </v>
      </c>
      <c r="CB51" s="136" t="str">
        <f t="shared" si="11"/>
        <v xml:space="preserve"> </v>
      </c>
      <c r="CC51" s="136" t="str">
        <f t="shared" si="11"/>
        <v xml:space="preserve"> </v>
      </c>
      <c r="CD51" s="136" t="str">
        <f t="shared" si="11"/>
        <v xml:space="preserve"> </v>
      </c>
      <c r="CE51" s="136" t="str">
        <f t="shared" si="11"/>
        <v xml:space="preserve"> </v>
      </c>
      <c r="CF51" s="136" t="str">
        <f t="shared" si="11"/>
        <v xml:space="preserve"> </v>
      </c>
      <c r="CG51" s="136" t="str">
        <f t="shared" si="11"/>
        <v xml:space="preserve"> </v>
      </c>
      <c r="CH51" s="136" t="str">
        <f t="shared" si="11"/>
        <v xml:space="preserve"> </v>
      </c>
    </row>
    <row r="52" spans="1:86" x14ac:dyDescent="0.25">
      <c r="A52">
        <v>30</v>
      </c>
      <c r="B52">
        <f t="shared" si="9"/>
        <v>16.297499999999999</v>
      </c>
      <c r="C52" s="75">
        <f>B52*LBP/'G&amp;H'!$K$7</f>
        <v>3547587121.212122</v>
      </c>
      <c r="D52" s="75">
        <f>0.075/((LOG10(C52)-2)^2)+'G&amp;H'!$D$17/1000</f>
        <v>1.124795094259054E-3</v>
      </c>
      <c r="E52">
        <f>D52*0.5*1.025*'G&amp;H'!$K$19*Tools1!B52^2</f>
        <v>1668.2723980057997</v>
      </c>
      <c r="AG52" s="135" t="e">
        <f t="shared" si="3"/>
        <v>#N/A</v>
      </c>
      <c r="AH52" s="136">
        <v>51</v>
      </c>
      <c r="AI52" s="138"/>
      <c r="AJ52" s="138"/>
      <c r="AK52" s="138"/>
      <c r="AL52" s="138"/>
      <c r="AM52" s="138"/>
      <c r="AN52" s="138"/>
      <c r="AO52" s="138"/>
      <c r="AP52" s="138"/>
      <c r="AQ52" s="138"/>
      <c r="AR52" s="138"/>
      <c r="AS52" s="138"/>
      <c r="AT52" s="138"/>
      <c r="AU52" s="138"/>
      <c r="AV52" s="138"/>
      <c r="AW52" s="138"/>
      <c r="AX52" s="138"/>
      <c r="AY52" s="138"/>
      <c r="AZ52" s="138"/>
      <c r="BA52" s="138"/>
      <c r="BB52" s="138"/>
      <c r="BC52" s="138"/>
      <c r="BD52" s="138"/>
      <c r="BE52" s="138"/>
      <c r="BF52" s="138"/>
      <c r="BG52" s="136" t="b">
        <f t="shared" si="4"/>
        <v>0</v>
      </c>
      <c r="BH52" s="136">
        <f>ROW()</f>
        <v>52</v>
      </c>
      <c r="BI52" s="136">
        <v>51</v>
      </c>
      <c r="BJ52" s="136" t="str">
        <f t="shared" si="5"/>
        <v>NA</v>
      </c>
      <c r="BK52" s="136" t="e">
        <f t="shared" si="12"/>
        <v>#N/A</v>
      </c>
      <c r="BL52" s="136" t="str">
        <f t="shared" si="12"/>
        <v xml:space="preserve"> </v>
      </c>
      <c r="BM52" s="136" t="str">
        <f t="shared" si="12"/>
        <v xml:space="preserve"> </v>
      </c>
      <c r="BN52" s="136" t="str">
        <f t="shared" si="12"/>
        <v xml:space="preserve"> </v>
      </c>
      <c r="BO52" s="136" t="str">
        <f t="shared" si="12"/>
        <v xml:space="preserve"> </v>
      </c>
      <c r="BP52" s="136" t="str">
        <f t="shared" si="12"/>
        <v xml:space="preserve"> </v>
      </c>
      <c r="BQ52" s="136" t="str">
        <f t="shared" si="12"/>
        <v xml:space="preserve"> </v>
      </c>
      <c r="BR52" s="136" t="str">
        <f t="shared" si="12"/>
        <v xml:space="preserve"> </v>
      </c>
      <c r="BS52" s="136" t="str">
        <f t="shared" si="12"/>
        <v xml:space="preserve"> </v>
      </c>
      <c r="BT52" s="136" t="str">
        <f t="shared" si="12"/>
        <v xml:space="preserve"> </v>
      </c>
      <c r="BU52" s="136" t="str">
        <f t="shared" si="12"/>
        <v xml:space="preserve"> </v>
      </c>
      <c r="BV52" s="136" t="str">
        <f t="shared" si="12"/>
        <v xml:space="preserve"> </v>
      </c>
      <c r="BW52" s="136" t="str">
        <f t="shared" si="12"/>
        <v xml:space="preserve"> </v>
      </c>
      <c r="BX52" s="136" t="str">
        <f t="shared" si="12"/>
        <v xml:space="preserve"> </v>
      </c>
      <c r="BY52" s="136" t="str">
        <f t="shared" si="12"/>
        <v xml:space="preserve"> </v>
      </c>
      <c r="BZ52" s="136" t="str">
        <f t="shared" si="12"/>
        <v xml:space="preserve"> </v>
      </c>
      <c r="CA52" s="136" t="str">
        <f t="shared" ref="CA52:CH67" si="13">IF(VLOOKUP($BJ52,$AH$2:$BF$111,1+CA$1,FALSE)="(NA)",NA(),VLOOKUP($BJ52,$AH$2:$BF$111,1+CA$1,FALSE))</f>
        <v xml:space="preserve"> </v>
      </c>
      <c r="CB52" s="136" t="str">
        <f t="shared" si="13"/>
        <v xml:space="preserve"> </v>
      </c>
      <c r="CC52" s="136" t="str">
        <f t="shared" si="13"/>
        <v xml:space="preserve"> </v>
      </c>
      <c r="CD52" s="136" t="str">
        <f t="shared" si="13"/>
        <v xml:space="preserve"> </v>
      </c>
      <c r="CE52" s="136" t="str">
        <f t="shared" si="13"/>
        <v xml:space="preserve"> </v>
      </c>
      <c r="CF52" s="136" t="str">
        <f t="shared" si="13"/>
        <v xml:space="preserve"> </v>
      </c>
      <c r="CG52" s="136" t="str">
        <f t="shared" si="13"/>
        <v xml:space="preserve"> </v>
      </c>
      <c r="CH52" s="136" t="str">
        <f t="shared" si="13"/>
        <v xml:space="preserve"> </v>
      </c>
    </row>
    <row r="53" spans="1:86" x14ac:dyDescent="0.25">
      <c r="A53">
        <v>31</v>
      </c>
      <c r="B53">
        <f t="shared" si="9"/>
        <v>16.84075</v>
      </c>
      <c r="C53" s="75">
        <f>B53*LBP/'G&amp;H'!$K$7</f>
        <v>3665840025.2525258</v>
      </c>
      <c r="D53" s="75">
        <f>0.075/((LOG10(C53)-2)^2)+'G&amp;H'!$D$17/1000</f>
        <v>1.1198456326795964E-3</v>
      </c>
      <c r="E53">
        <f>D53*0.5*1.025*'G&amp;H'!$K$19*Tools1!B53^2</f>
        <v>1773.5057042716405</v>
      </c>
      <c r="AG53" s="135" t="e">
        <f t="shared" si="3"/>
        <v>#N/A</v>
      </c>
      <c r="AH53" s="136">
        <v>52</v>
      </c>
      <c r="AI53" s="138"/>
      <c r="AJ53" s="138"/>
      <c r="AK53" s="138"/>
      <c r="AL53" s="138"/>
      <c r="AM53" s="138"/>
      <c r="AN53" s="138"/>
      <c r="AO53" s="138"/>
      <c r="AP53" s="138"/>
      <c r="AQ53" s="138"/>
      <c r="AR53" s="138"/>
      <c r="AS53" s="138"/>
      <c r="AT53" s="138"/>
      <c r="AU53" s="138"/>
      <c r="AV53" s="138"/>
      <c r="AW53" s="138"/>
      <c r="AX53" s="138"/>
      <c r="AY53" s="138"/>
      <c r="AZ53" s="138"/>
      <c r="BA53" s="138"/>
      <c r="BB53" s="138"/>
      <c r="BC53" s="138"/>
      <c r="BD53" s="138"/>
      <c r="BE53" s="138"/>
      <c r="BF53" s="138"/>
      <c r="BG53" s="136" t="b">
        <f t="shared" si="4"/>
        <v>0</v>
      </c>
      <c r="BH53" s="136">
        <f>ROW()</f>
        <v>53</v>
      </c>
      <c r="BI53" s="136">
        <v>52</v>
      </c>
      <c r="BJ53" s="136" t="str">
        <f t="shared" si="5"/>
        <v>NA</v>
      </c>
      <c r="BK53" s="136" t="e">
        <f t="shared" ref="BK53:BZ68" si="14">IF(VLOOKUP($BJ53,$AH$2:$BF$111,1+BK$1,FALSE)="(NA)",NA(),VLOOKUP($BJ53,$AH$2:$BF$111,1+BK$1,FALSE))</f>
        <v>#N/A</v>
      </c>
      <c r="BL53" s="136" t="str">
        <f t="shared" si="14"/>
        <v xml:space="preserve"> </v>
      </c>
      <c r="BM53" s="136" t="str">
        <f t="shared" si="14"/>
        <v xml:space="preserve"> </v>
      </c>
      <c r="BN53" s="136" t="str">
        <f t="shared" si="14"/>
        <v xml:space="preserve"> </v>
      </c>
      <c r="BO53" s="136" t="str">
        <f t="shared" si="14"/>
        <v xml:space="preserve"> </v>
      </c>
      <c r="BP53" s="136" t="str">
        <f t="shared" si="14"/>
        <v xml:space="preserve"> </v>
      </c>
      <c r="BQ53" s="136" t="str">
        <f t="shared" si="14"/>
        <v xml:space="preserve"> </v>
      </c>
      <c r="BR53" s="136" t="str">
        <f t="shared" si="14"/>
        <v xml:space="preserve"> </v>
      </c>
      <c r="BS53" s="136" t="str">
        <f t="shared" si="14"/>
        <v xml:space="preserve"> </v>
      </c>
      <c r="BT53" s="136" t="str">
        <f t="shared" si="14"/>
        <v xml:space="preserve"> </v>
      </c>
      <c r="BU53" s="136" t="str">
        <f t="shared" si="14"/>
        <v xml:space="preserve"> </v>
      </c>
      <c r="BV53" s="136" t="str">
        <f t="shared" si="14"/>
        <v xml:space="preserve"> </v>
      </c>
      <c r="BW53" s="136" t="str">
        <f t="shared" si="14"/>
        <v xml:space="preserve"> </v>
      </c>
      <c r="BX53" s="136" t="str">
        <f t="shared" si="14"/>
        <v xml:space="preserve"> </v>
      </c>
      <c r="BY53" s="136" t="str">
        <f t="shared" si="14"/>
        <v xml:space="preserve"> </v>
      </c>
      <c r="BZ53" s="136" t="str">
        <f t="shared" si="14"/>
        <v xml:space="preserve"> </v>
      </c>
      <c r="CA53" s="136" t="str">
        <f t="shared" si="13"/>
        <v xml:space="preserve"> </v>
      </c>
      <c r="CB53" s="136" t="str">
        <f t="shared" si="13"/>
        <v xml:space="preserve"> </v>
      </c>
      <c r="CC53" s="136" t="str">
        <f t="shared" si="13"/>
        <v xml:space="preserve"> </v>
      </c>
      <c r="CD53" s="136" t="str">
        <f t="shared" si="13"/>
        <v xml:space="preserve"> </v>
      </c>
      <c r="CE53" s="136" t="str">
        <f t="shared" si="13"/>
        <v xml:space="preserve"> </v>
      </c>
      <c r="CF53" s="136" t="str">
        <f t="shared" si="13"/>
        <v xml:space="preserve"> </v>
      </c>
      <c r="CG53" s="136" t="str">
        <f t="shared" si="13"/>
        <v xml:space="preserve"> </v>
      </c>
      <c r="CH53" s="136" t="str">
        <f t="shared" si="13"/>
        <v xml:space="preserve"> </v>
      </c>
    </row>
    <row r="54" spans="1:86" x14ac:dyDescent="0.25">
      <c r="A54">
        <v>32</v>
      </c>
      <c r="B54">
        <f t="shared" si="9"/>
        <v>17.384</v>
      </c>
      <c r="C54" s="75">
        <f>B54*LBP/'G&amp;H'!$K$7</f>
        <v>3784092929.2929301</v>
      </c>
      <c r="D54" s="75">
        <f>0.075/((LOG10(C54)-2)^2)+'G&amp;H'!$D$17/1000</f>
        <v>1.1150798873144885E-3</v>
      </c>
      <c r="E54">
        <f>D54*0.5*1.025*'G&amp;H'!$K$19*Tools1!B54^2</f>
        <v>1881.7285775897883</v>
      </c>
      <c r="AG54" s="135" t="e">
        <f t="shared" si="3"/>
        <v>#N/A</v>
      </c>
      <c r="AH54" s="136">
        <v>53</v>
      </c>
      <c r="AI54" s="138"/>
      <c r="AJ54" s="138"/>
      <c r="AK54" s="138"/>
      <c r="AL54" s="138"/>
      <c r="AM54" s="138"/>
      <c r="AN54" s="138"/>
      <c r="AO54" s="138"/>
      <c r="AP54" s="138"/>
      <c r="AQ54" s="138"/>
      <c r="AR54" s="138"/>
      <c r="AS54" s="138"/>
      <c r="AT54" s="138"/>
      <c r="AU54" s="138"/>
      <c r="AV54" s="138"/>
      <c r="AW54" s="138"/>
      <c r="AX54" s="138"/>
      <c r="AY54" s="138"/>
      <c r="AZ54" s="138"/>
      <c r="BA54" s="138"/>
      <c r="BB54" s="138"/>
      <c r="BC54" s="138"/>
      <c r="BD54" s="138"/>
      <c r="BE54" s="138"/>
      <c r="BF54" s="138"/>
      <c r="BG54" s="136" t="b">
        <f t="shared" si="4"/>
        <v>0</v>
      </c>
      <c r="BH54" s="136">
        <f>ROW()</f>
        <v>54</v>
      </c>
      <c r="BI54" s="136">
        <v>53</v>
      </c>
      <c r="BJ54" s="136" t="str">
        <f t="shared" si="5"/>
        <v>NA</v>
      </c>
      <c r="BK54" s="136" t="e">
        <f t="shared" si="14"/>
        <v>#N/A</v>
      </c>
      <c r="BL54" s="136" t="str">
        <f t="shared" si="14"/>
        <v xml:space="preserve"> </v>
      </c>
      <c r="BM54" s="136" t="str">
        <f t="shared" si="14"/>
        <v xml:space="preserve"> </v>
      </c>
      <c r="BN54" s="136" t="str">
        <f t="shared" si="14"/>
        <v xml:space="preserve"> </v>
      </c>
      <c r="BO54" s="136" t="str">
        <f t="shared" si="14"/>
        <v xml:space="preserve"> </v>
      </c>
      <c r="BP54" s="136" t="str">
        <f t="shared" si="14"/>
        <v xml:space="preserve"> </v>
      </c>
      <c r="BQ54" s="136" t="str">
        <f t="shared" si="14"/>
        <v xml:space="preserve"> </v>
      </c>
      <c r="BR54" s="136" t="str">
        <f t="shared" si="14"/>
        <v xml:space="preserve"> </v>
      </c>
      <c r="BS54" s="136" t="str">
        <f t="shared" si="14"/>
        <v xml:space="preserve"> </v>
      </c>
      <c r="BT54" s="136" t="str">
        <f t="shared" si="14"/>
        <v xml:space="preserve"> </v>
      </c>
      <c r="BU54" s="136" t="str">
        <f t="shared" si="14"/>
        <v xml:space="preserve"> </v>
      </c>
      <c r="BV54" s="136" t="str">
        <f t="shared" si="14"/>
        <v xml:space="preserve"> </v>
      </c>
      <c r="BW54" s="136" t="str">
        <f t="shared" si="14"/>
        <v xml:space="preserve"> </v>
      </c>
      <c r="BX54" s="136" t="str">
        <f t="shared" si="14"/>
        <v xml:space="preserve"> </v>
      </c>
      <c r="BY54" s="136" t="str">
        <f t="shared" si="14"/>
        <v xml:space="preserve"> </v>
      </c>
      <c r="BZ54" s="136" t="str">
        <f t="shared" si="14"/>
        <v xml:space="preserve"> </v>
      </c>
      <c r="CA54" s="136" t="str">
        <f t="shared" si="13"/>
        <v xml:space="preserve"> </v>
      </c>
      <c r="CB54" s="136" t="str">
        <f t="shared" si="13"/>
        <v xml:space="preserve"> </v>
      </c>
      <c r="CC54" s="136" t="str">
        <f t="shared" si="13"/>
        <v xml:space="preserve"> </v>
      </c>
      <c r="CD54" s="136" t="str">
        <f t="shared" si="13"/>
        <v xml:space="preserve"> </v>
      </c>
      <c r="CE54" s="136" t="str">
        <f t="shared" si="13"/>
        <v xml:space="preserve"> </v>
      </c>
      <c r="CF54" s="136" t="str">
        <f t="shared" si="13"/>
        <v xml:space="preserve"> </v>
      </c>
      <c r="CG54" s="136" t="str">
        <f t="shared" si="13"/>
        <v xml:space="preserve"> </v>
      </c>
      <c r="CH54" s="136" t="str">
        <f t="shared" si="13"/>
        <v xml:space="preserve"> </v>
      </c>
    </row>
    <row r="55" spans="1:86" x14ac:dyDescent="0.25">
      <c r="A55">
        <v>33</v>
      </c>
      <c r="B55">
        <f t="shared" si="9"/>
        <v>17.927250000000001</v>
      </c>
      <c r="C55" s="75">
        <f>B55*LBP/'G&amp;H'!$K$7</f>
        <v>3902345833.333334</v>
      </c>
      <c r="D55" s="75">
        <f>0.075/((LOG10(C55)-2)^2)+'G&amp;H'!$D$17/1000</f>
        <v>1.1104855636623044E-3</v>
      </c>
      <c r="E55">
        <f>D55*0.5*1.025*'G&amp;H'!$K$19*Tools1!B55^2</f>
        <v>1992.9290522992123</v>
      </c>
      <c r="AG55" s="135" t="e">
        <f t="shared" si="3"/>
        <v>#N/A</v>
      </c>
      <c r="AH55" s="136">
        <v>54</v>
      </c>
      <c r="AI55" s="138"/>
      <c r="AJ55" s="138"/>
      <c r="AK55" s="138"/>
      <c r="AL55" s="138"/>
      <c r="AM55" s="138"/>
      <c r="AN55" s="138"/>
      <c r="AO55" s="138"/>
      <c r="AP55" s="138"/>
      <c r="AQ55" s="138"/>
      <c r="AR55" s="138"/>
      <c r="AS55" s="138"/>
      <c r="AT55" s="138"/>
      <c r="AU55" s="138"/>
      <c r="AV55" s="138"/>
      <c r="AW55" s="138"/>
      <c r="AX55" s="138"/>
      <c r="AY55" s="138"/>
      <c r="AZ55" s="138"/>
      <c r="BA55" s="138"/>
      <c r="BB55" s="138"/>
      <c r="BC55" s="138"/>
      <c r="BD55" s="138"/>
      <c r="BE55" s="138"/>
      <c r="BF55" s="138"/>
      <c r="BG55" s="136" t="b">
        <f t="shared" si="4"/>
        <v>0</v>
      </c>
      <c r="BH55" s="136">
        <f>ROW()</f>
        <v>55</v>
      </c>
      <c r="BI55" s="136">
        <v>54</v>
      </c>
      <c r="BJ55" s="136" t="str">
        <f t="shared" si="5"/>
        <v>NA</v>
      </c>
      <c r="BK55" s="136" t="e">
        <f t="shared" si="14"/>
        <v>#N/A</v>
      </c>
      <c r="BL55" s="136" t="str">
        <f t="shared" si="14"/>
        <v xml:space="preserve"> </v>
      </c>
      <c r="BM55" s="136" t="str">
        <f t="shared" si="14"/>
        <v xml:space="preserve"> </v>
      </c>
      <c r="BN55" s="136" t="str">
        <f t="shared" si="14"/>
        <v xml:space="preserve"> </v>
      </c>
      <c r="BO55" s="136" t="str">
        <f t="shared" si="14"/>
        <v xml:space="preserve"> </v>
      </c>
      <c r="BP55" s="136" t="str">
        <f t="shared" si="14"/>
        <v xml:space="preserve"> </v>
      </c>
      <c r="BQ55" s="136" t="str">
        <f t="shared" si="14"/>
        <v xml:space="preserve"> </v>
      </c>
      <c r="BR55" s="136" t="str">
        <f t="shared" si="14"/>
        <v xml:space="preserve"> </v>
      </c>
      <c r="BS55" s="136" t="str">
        <f t="shared" si="14"/>
        <v xml:space="preserve"> </v>
      </c>
      <c r="BT55" s="136" t="str">
        <f t="shared" si="14"/>
        <v xml:space="preserve"> </v>
      </c>
      <c r="BU55" s="136" t="str">
        <f t="shared" si="14"/>
        <v xml:space="preserve"> </v>
      </c>
      <c r="BV55" s="136" t="str">
        <f t="shared" si="14"/>
        <v xml:space="preserve"> </v>
      </c>
      <c r="BW55" s="136" t="str">
        <f t="shared" si="14"/>
        <v xml:space="preserve"> </v>
      </c>
      <c r="BX55" s="136" t="str">
        <f t="shared" si="14"/>
        <v xml:space="preserve"> </v>
      </c>
      <c r="BY55" s="136" t="str">
        <f t="shared" si="14"/>
        <v xml:space="preserve"> </v>
      </c>
      <c r="BZ55" s="136" t="str">
        <f t="shared" si="14"/>
        <v xml:space="preserve"> </v>
      </c>
      <c r="CA55" s="136" t="str">
        <f t="shared" si="13"/>
        <v xml:space="preserve"> </v>
      </c>
      <c r="CB55" s="136" t="str">
        <f t="shared" si="13"/>
        <v xml:space="preserve"> </v>
      </c>
      <c r="CC55" s="136" t="str">
        <f t="shared" si="13"/>
        <v xml:space="preserve"> </v>
      </c>
      <c r="CD55" s="136" t="str">
        <f t="shared" si="13"/>
        <v xml:space="preserve"> </v>
      </c>
      <c r="CE55" s="136" t="str">
        <f t="shared" si="13"/>
        <v xml:space="preserve"> </v>
      </c>
      <c r="CF55" s="136" t="str">
        <f t="shared" si="13"/>
        <v xml:space="preserve"> </v>
      </c>
      <c r="CG55" s="136" t="str">
        <f t="shared" si="13"/>
        <v xml:space="preserve"> </v>
      </c>
      <c r="CH55" s="136" t="str">
        <f t="shared" si="13"/>
        <v xml:space="preserve"> </v>
      </c>
    </row>
    <row r="56" spans="1:86" x14ac:dyDescent="0.25">
      <c r="A56">
        <v>34</v>
      </c>
      <c r="B56">
        <f t="shared" si="9"/>
        <v>18.470500000000001</v>
      </c>
      <c r="C56" s="75">
        <f>B56*LBP/'G&amp;H'!$K$7</f>
        <v>4020598737.3737388</v>
      </c>
      <c r="D56" s="75">
        <f>0.075/((LOG10(C56)-2)^2)+'G&amp;H'!$D$17/1000</f>
        <v>1.1060515333049178E-3</v>
      </c>
      <c r="E56">
        <f>D56*0.5*1.025*'G&amp;H'!$K$19*Tools1!B56^2</f>
        <v>2107.0955873573307</v>
      </c>
      <c r="AG56" s="135" t="e">
        <f t="shared" si="3"/>
        <v>#N/A</v>
      </c>
      <c r="AH56" s="136">
        <v>55</v>
      </c>
      <c r="AI56" s="138"/>
      <c r="AJ56" s="138"/>
      <c r="AK56" s="138"/>
      <c r="AL56" s="138"/>
      <c r="AM56" s="138"/>
      <c r="AN56" s="138"/>
      <c r="AO56" s="138"/>
      <c r="AP56" s="138"/>
      <c r="AQ56" s="138"/>
      <c r="AR56" s="138"/>
      <c r="AS56" s="138"/>
      <c r="AT56" s="138"/>
      <c r="AU56" s="138"/>
      <c r="AV56" s="138"/>
      <c r="AW56" s="138"/>
      <c r="AX56" s="138"/>
      <c r="AY56" s="138"/>
      <c r="AZ56" s="138"/>
      <c r="BA56" s="138"/>
      <c r="BB56" s="138"/>
      <c r="BC56" s="138"/>
      <c r="BD56" s="138"/>
      <c r="BE56" s="138"/>
      <c r="BF56" s="138"/>
      <c r="BG56" s="136" t="b">
        <f t="shared" si="4"/>
        <v>0</v>
      </c>
      <c r="BH56" s="136">
        <f>ROW()</f>
        <v>56</v>
      </c>
      <c r="BI56" s="136">
        <v>55</v>
      </c>
      <c r="BJ56" s="136" t="str">
        <f t="shared" si="5"/>
        <v>NA</v>
      </c>
      <c r="BK56" s="136" t="e">
        <f t="shared" si="14"/>
        <v>#N/A</v>
      </c>
      <c r="BL56" s="136" t="str">
        <f t="shared" si="14"/>
        <v xml:space="preserve"> </v>
      </c>
      <c r="BM56" s="136" t="str">
        <f t="shared" si="14"/>
        <v xml:space="preserve"> </v>
      </c>
      <c r="BN56" s="136" t="str">
        <f t="shared" si="14"/>
        <v xml:space="preserve"> </v>
      </c>
      <c r="BO56" s="136" t="str">
        <f t="shared" si="14"/>
        <v xml:space="preserve"> </v>
      </c>
      <c r="BP56" s="136" t="str">
        <f t="shared" si="14"/>
        <v xml:space="preserve"> </v>
      </c>
      <c r="BQ56" s="136" t="str">
        <f t="shared" si="14"/>
        <v xml:space="preserve"> </v>
      </c>
      <c r="BR56" s="136" t="str">
        <f t="shared" si="14"/>
        <v xml:space="preserve"> </v>
      </c>
      <c r="BS56" s="136" t="str">
        <f t="shared" si="14"/>
        <v xml:space="preserve"> </v>
      </c>
      <c r="BT56" s="136" t="str">
        <f t="shared" si="14"/>
        <v xml:space="preserve"> </v>
      </c>
      <c r="BU56" s="136" t="str">
        <f t="shared" si="14"/>
        <v xml:space="preserve"> </v>
      </c>
      <c r="BV56" s="136" t="str">
        <f t="shared" si="14"/>
        <v xml:space="preserve"> </v>
      </c>
      <c r="BW56" s="136" t="str">
        <f t="shared" si="14"/>
        <v xml:space="preserve"> </v>
      </c>
      <c r="BX56" s="136" t="str">
        <f t="shared" si="14"/>
        <v xml:space="preserve"> </v>
      </c>
      <c r="BY56" s="136" t="str">
        <f t="shared" si="14"/>
        <v xml:space="preserve"> </v>
      </c>
      <c r="BZ56" s="136" t="str">
        <f t="shared" si="14"/>
        <v xml:space="preserve"> </v>
      </c>
      <c r="CA56" s="136" t="str">
        <f t="shared" si="13"/>
        <v xml:space="preserve"> </v>
      </c>
      <c r="CB56" s="136" t="str">
        <f t="shared" si="13"/>
        <v xml:space="preserve"> </v>
      </c>
      <c r="CC56" s="136" t="str">
        <f t="shared" si="13"/>
        <v xml:space="preserve"> </v>
      </c>
      <c r="CD56" s="136" t="str">
        <f t="shared" si="13"/>
        <v xml:space="preserve"> </v>
      </c>
      <c r="CE56" s="136" t="str">
        <f t="shared" si="13"/>
        <v xml:space="preserve"> </v>
      </c>
      <c r="CF56" s="136" t="str">
        <f t="shared" si="13"/>
        <v xml:space="preserve"> </v>
      </c>
      <c r="CG56" s="136" t="str">
        <f t="shared" si="13"/>
        <v xml:space="preserve"> </v>
      </c>
      <c r="CH56" s="136" t="str">
        <f t="shared" si="13"/>
        <v xml:space="preserve"> </v>
      </c>
    </row>
    <row r="57" spans="1:86" x14ac:dyDescent="0.25">
      <c r="A57">
        <v>35</v>
      </c>
      <c r="B57">
        <f t="shared" si="9"/>
        <v>19.013750000000002</v>
      </c>
      <c r="C57" s="75">
        <f>B57*LBP/'G&amp;H'!$K$7</f>
        <v>4138851641.4141426</v>
      </c>
      <c r="D57" s="75">
        <f>0.075/((LOG10(C57)-2)^2)+'G&amp;H'!$D$17/1000</f>
        <v>1.1017676926747897E-3</v>
      </c>
      <c r="E57">
        <f>D57*0.5*1.025*'G&amp;H'!$K$19*Tools1!B57^2</f>
        <v>2224.217038981355</v>
      </c>
      <c r="AG57" s="135" t="e">
        <f t="shared" si="3"/>
        <v>#N/A</v>
      </c>
      <c r="AH57" s="136">
        <v>56</v>
      </c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  <c r="BF57" s="138"/>
      <c r="BG57" s="136" t="b">
        <f t="shared" si="4"/>
        <v>0</v>
      </c>
      <c r="BH57" s="136">
        <f>ROW()</f>
        <v>57</v>
      </c>
      <c r="BI57" s="136">
        <v>56</v>
      </c>
      <c r="BJ57" s="136" t="str">
        <f t="shared" si="5"/>
        <v>NA</v>
      </c>
      <c r="BK57" s="136" t="e">
        <f t="shared" si="14"/>
        <v>#N/A</v>
      </c>
      <c r="BL57" s="136" t="str">
        <f t="shared" si="14"/>
        <v xml:space="preserve"> </v>
      </c>
      <c r="BM57" s="136" t="str">
        <f t="shared" si="14"/>
        <v xml:space="preserve"> </v>
      </c>
      <c r="BN57" s="136" t="str">
        <f t="shared" si="14"/>
        <v xml:space="preserve"> </v>
      </c>
      <c r="BO57" s="136" t="str">
        <f t="shared" si="14"/>
        <v xml:space="preserve"> </v>
      </c>
      <c r="BP57" s="136" t="str">
        <f t="shared" si="14"/>
        <v xml:space="preserve"> </v>
      </c>
      <c r="BQ57" s="136" t="str">
        <f t="shared" si="14"/>
        <v xml:space="preserve"> </v>
      </c>
      <c r="BR57" s="136" t="str">
        <f t="shared" si="14"/>
        <v xml:space="preserve"> </v>
      </c>
      <c r="BS57" s="136" t="str">
        <f t="shared" si="14"/>
        <v xml:space="preserve"> </v>
      </c>
      <c r="BT57" s="136" t="str">
        <f t="shared" si="14"/>
        <v xml:space="preserve"> </v>
      </c>
      <c r="BU57" s="136" t="str">
        <f t="shared" si="14"/>
        <v xml:space="preserve"> </v>
      </c>
      <c r="BV57" s="136" t="str">
        <f t="shared" si="14"/>
        <v xml:space="preserve"> </v>
      </c>
      <c r="BW57" s="136" t="str">
        <f t="shared" si="14"/>
        <v xml:space="preserve"> </v>
      </c>
      <c r="BX57" s="136" t="str">
        <f t="shared" si="14"/>
        <v xml:space="preserve"> </v>
      </c>
      <c r="BY57" s="136" t="str">
        <f t="shared" si="14"/>
        <v xml:space="preserve"> </v>
      </c>
      <c r="BZ57" s="136" t="str">
        <f t="shared" si="14"/>
        <v xml:space="preserve"> </v>
      </c>
      <c r="CA57" s="136" t="str">
        <f t="shared" si="13"/>
        <v xml:space="preserve"> </v>
      </c>
      <c r="CB57" s="136" t="str">
        <f t="shared" si="13"/>
        <v xml:space="preserve"> </v>
      </c>
      <c r="CC57" s="136" t="str">
        <f t="shared" si="13"/>
        <v xml:space="preserve"> </v>
      </c>
      <c r="CD57" s="136" t="str">
        <f t="shared" si="13"/>
        <v xml:space="preserve"> </v>
      </c>
      <c r="CE57" s="136" t="str">
        <f t="shared" si="13"/>
        <v xml:space="preserve"> </v>
      </c>
      <c r="CF57" s="136" t="str">
        <f t="shared" si="13"/>
        <v xml:space="preserve"> </v>
      </c>
      <c r="CG57" s="136" t="str">
        <f t="shared" si="13"/>
        <v xml:space="preserve"> </v>
      </c>
      <c r="CH57" s="136" t="str">
        <f t="shared" si="13"/>
        <v xml:space="preserve"> </v>
      </c>
    </row>
    <row r="58" spans="1:86" x14ac:dyDescent="0.25">
      <c r="A58">
        <v>36</v>
      </c>
      <c r="B58">
        <f t="shared" si="9"/>
        <v>19.557000000000002</v>
      </c>
      <c r="C58" s="75">
        <f>B58*LBP/'G&amp;H'!$K$7</f>
        <v>4257104545.4545465</v>
      </c>
      <c r="D58" s="75">
        <f>0.075/((LOG10(C58)-2)^2)+'G&amp;H'!$D$17/1000</f>
        <v>1.0976248424270087E-3</v>
      </c>
      <c r="E58">
        <f>D58*0.5*1.025*'G&amp;H'!$K$19*Tools1!B58^2</f>
        <v>2344.2826357964045</v>
      </c>
      <c r="AG58" s="135" t="e">
        <f t="shared" si="3"/>
        <v>#N/A</v>
      </c>
      <c r="AH58" s="136">
        <v>57</v>
      </c>
      <c r="AI58" s="138"/>
      <c r="AJ58" s="138"/>
      <c r="AK58" s="138"/>
      <c r="AL58" s="138"/>
      <c r="AM58" s="138"/>
      <c r="AN58" s="138"/>
      <c r="AO58" s="138"/>
      <c r="AP58" s="138"/>
      <c r="AQ58" s="138"/>
      <c r="AR58" s="138"/>
      <c r="AS58" s="138"/>
      <c r="AT58" s="138"/>
      <c r="AU58" s="138"/>
      <c r="AV58" s="138"/>
      <c r="AW58" s="138"/>
      <c r="AX58" s="138"/>
      <c r="AY58" s="138"/>
      <c r="AZ58" s="138"/>
      <c r="BA58" s="138"/>
      <c r="BB58" s="138"/>
      <c r="BC58" s="138"/>
      <c r="BD58" s="138"/>
      <c r="BE58" s="138"/>
      <c r="BF58" s="138"/>
      <c r="BG58" s="136" t="b">
        <f t="shared" si="4"/>
        <v>0</v>
      </c>
      <c r="BH58" s="136">
        <f>ROW()</f>
        <v>58</v>
      </c>
      <c r="BI58" s="136">
        <v>57</v>
      </c>
      <c r="BJ58" s="136" t="str">
        <f t="shared" si="5"/>
        <v>NA</v>
      </c>
      <c r="BK58" s="136" t="e">
        <f t="shared" si="14"/>
        <v>#N/A</v>
      </c>
      <c r="BL58" s="136" t="str">
        <f t="shared" si="14"/>
        <v xml:space="preserve"> </v>
      </c>
      <c r="BM58" s="136" t="str">
        <f t="shared" si="14"/>
        <v xml:space="preserve"> </v>
      </c>
      <c r="BN58" s="136" t="str">
        <f t="shared" si="14"/>
        <v xml:space="preserve"> </v>
      </c>
      <c r="BO58" s="136" t="str">
        <f t="shared" si="14"/>
        <v xml:space="preserve"> </v>
      </c>
      <c r="BP58" s="136" t="str">
        <f t="shared" si="14"/>
        <v xml:space="preserve"> </v>
      </c>
      <c r="BQ58" s="136" t="str">
        <f t="shared" si="14"/>
        <v xml:space="preserve"> </v>
      </c>
      <c r="BR58" s="136" t="str">
        <f t="shared" si="14"/>
        <v xml:space="preserve"> </v>
      </c>
      <c r="BS58" s="136" t="str">
        <f t="shared" si="14"/>
        <v xml:space="preserve"> </v>
      </c>
      <c r="BT58" s="136" t="str">
        <f t="shared" si="14"/>
        <v xml:space="preserve"> </v>
      </c>
      <c r="BU58" s="136" t="str">
        <f t="shared" si="14"/>
        <v xml:space="preserve"> </v>
      </c>
      <c r="BV58" s="136" t="str">
        <f t="shared" si="14"/>
        <v xml:space="preserve"> </v>
      </c>
      <c r="BW58" s="136" t="str">
        <f t="shared" si="14"/>
        <v xml:space="preserve"> </v>
      </c>
      <c r="BX58" s="136" t="str">
        <f t="shared" si="14"/>
        <v xml:space="preserve"> </v>
      </c>
      <c r="BY58" s="136" t="str">
        <f t="shared" si="14"/>
        <v xml:space="preserve"> </v>
      </c>
      <c r="BZ58" s="136" t="str">
        <f t="shared" si="14"/>
        <v xml:space="preserve"> </v>
      </c>
      <c r="CA58" s="136" t="str">
        <f t="shared" si="13"/>
        <v xml:space="preserve"> </v>
      </c>
      <c r="CB58" s="136" t="str">
        <f t="shared" si="13"/>
        <v xml:space="preserve"> </v>
      </c>
      <c r="CC58" s="136" t="str">
        <f t="shared" si="13"/>
        <v xml:space="preserve"> </v>
      </c>
      <c r="CD58" s="136" t="str">
        <f t="shared" si="13"/>
        <v xml:space="preserve"> </v>
      </c>
      <c r="CE58" s="136" t="str">
        <f t="shared" si="13"/>
        <v xml:space="preserve"> </v>
      </c>
      <c r="CF58" s="136" t="str">
        <f t="shared" si="13"/>
        <v xml:space="preserve"> </v>
      </c>
      <c r="CG58" s="136" t="str">
        <f t="shared" si="13"/>
        <v xml:space="preserve"> </v>
      </c>
      <c r="CH58" s="136" t="str">
        <f t="shared" si="13"/>
        <v xml:space="preserve"> </v>
      </c>
    </row>
    <row r="59" spans="1:86" x14ac:dyDescent="0.25">
      <c r="A59">
        <v>37</v>
      </c>
      <c r="B59">
        <f t="shared" si="9"/>
        <v>20.100249999999999</v>
      </c>
      <c r="C59" s="75">
        <f>B59*LBP/'G&amp;H'!$K$7</f>
        <v>4375357449.4949503</v>
      </c>
      <c r="D59" s="75">
        <f>0.075/((LOG10(C59)-2)^2)+'G&amp;H'!$D$17/1000</f>
        <v>1.0936145839276711E-3</v>
      </c>
      <c r="E59">
        <f>D59*0.5*1.025*'G&amp;H'!$K$19*Tools1!B59^2</f>
        <v>2467.2819561964325</v>
      </c>
      <c r="AG59" s="135" t="e">
        <f t="shared" si="3"/>
        <v>#N/A</v>
      </c>
      <c r="AH59" s="136">
        <v>58</v>
      </c>
      <c r="AI59" s="138"/>
      <c r="AJ59" s="138"/>
      <c r="AK59" s="138"/>
      <c r="AL59" s="138"/>
      <c r="AM59" s="138"/>
      <c r="AN59" s="138"/>
      <c r="AO59" s="138"/>
      <c r="AP59" s="138"/>
      <c r="AQ59" s="138"/>
      <c r="AR59" s="138"/>
      <c r="AS59" s="138"/>
      <c r="AT59" s="138"/>
      <c r="AU59" s="138"/>
      <c r="AV59" s="138"/>
      <c r="AW59" s="138"/>
      <c r="AX59" s="138"/>
      <c r="AY59" s="138"/>
      <c r="AZ59" s="138"/>
      <c r="BA59" s="138"/>
      <c r="BB59" s="138"/>
      <c r="BC59" s="138"/>
      <c r="BD59" s="138"/>
      <c r="BE59" s="138"/>
      <c r="BF59" s="138"/>
      <c r="BG59" s="136" t="b">
        <f t="shared" si="4"/>
        <v>0</v>
      </c>
      <c r="BH59" s="136">
        <f>ROW()</f>
        <v>59</v>
      </c>
      <c r="BI59" s="136">
        <v>58</v>
      </c>
      <c r="BJ59" s="136" t="str">
        <f t="shared" si="5"/>
        <v>NA</v>
      </c>
      <c r="BK59" s="136" t="e">
        <f t="shared" si="14"/>
        <v>#N/A</v>
      </c>
      <c r="BL59" s="136" t="str">
        <f t="shared" si="14"/>
        <v xml:space="preserve"> </v>
      </c>
      <c r="BM59" s="136" t="str">
        <f t="shared" si="14"/>
        <v xml:space="preserve"> </v>
      </c>
      <c r="BN59" s="136" t="str">
        <f t="shared" si="14"/>
        <v xml:space="preserve"> </v>
      </c>
      <c r="BO59" s="136" t="str">
        <f t="shared" si="14"/>
        <v xml:space="preserve"> </v>
      </c>
      <c r="BP59" s="136" t="str">
        <f t="shared" si="14"/>
        <v xml:space="preserve"> </v>
      </c>
      <c r="BQ59" s="136" t="str">
        <f t="shared" si="14"/>
        <v xml:space="preserve"> </v>
      </c>
      <c r="BR59" s="136" t="str">
        <f t="shared" si="14"/>
        <v xml:space="preserve"> </v>
      </c>
      <c r="BS59" s="136" t="str">
        <f t="shared" si="14"/>
        <v xml:space="preserve"> </v>
      </c>
      <c r="BT59" s="136" t="str">
        <f t="shared" si="14"/>
        <v xml:space="preserve"> </v>
      </c>
      <c r="BU59" s="136" t="str">
        <f t="shared" si="14"/>
        <v xml:space="preserve"> </v>
      </c>
      <c r="BV59" s="136" t="str">
        <f t="shared" si="14"/>
        <v xml:space="preserve"> </v>
      </c>
      <c r="BW59" s="136" t="str">
        <f t="shared" si="14"/>
        <v xml:space="preserve"> </v>
      </c>
      <c r="BX59" s="136" t="str">
        <f t="shared" si="14"/>
        <v xml:space="preserve"> </v>
      </c>
      <c r="BY59" s="136" t="str">
        <f t="shared" si="14"/>
        <v xml:space="preserve"> </v>
      </c>
      <c r="BZ59" s="136" t="str">
        <f t="shared" si="14"/>
        <v xml:space="preserve"> </v>
      </c>
      <c r="CA59" s="136" t="str">
        <f t="shared" si="13"/>
        <v xml:space="preserve"> </v>
      </c>
      <c r="CB59" s="136" t="str">
        <f t="shared" si="13"/>
        <v xml:space="preserve"> </v>
      </c>
      <c r="CC59" s="136" t="str">
        <f t="shared" si="13"/>
        <v xml:space="preserve"> </v>
      </c>
      <c r="CD59" s="136" t="str">
        <f t="shared" si="13"/>
        <v xml:space="preserve"> </v>
      </c>
      <c r="CE59" s="136" t="str">
        <f t="shared" si="13"/>
        <v xml:space="preserve"> </v>
      </c>
      <c r="CF59" s="136" t="str">
        <f t="shared" si="13"/>
        <v xml:space="preserve"> </v>
      </c>
      <c r="CG59" s="136" t="str">
        <f t="shared" si="13"/>
        <v xml:space="preserve"> </v>
      </c>
      <c r="CH59" s="136" t="str">
        <f t="shared" si="13"/>
        <v xml:space="preserve"> </v>
      </c>
    </row>
    <row r="60" spans="1:86" x14ac:dyDescent="0.25">
      <c r="A60">
        <v>38</v>
      </c>
      <c r="B60">
        <f t="shared" si="9"/>
        <v>20.6435</v>
      </c>
      <c r="C60" s="75">
        <f>B60*LBP/'G&amp;H'!$K$7</f>
        <v>4493610353.5353546</v>
      </c>
      <c r="D60" s="75">
        <f>0.075/((LOG10(C60)-2)^2)+'G&amp;H'!$D$17/1000</f>
        <v>1.089729230038073E-3</v>
      </c>
      <c r="E60">
        <f>D60*0.5*1.025*'G&amp;H'!$K$19*Tools1!B60^2</f>
        <v>2593.2049076655849</v>
      </c>
      <c r="AG60" s="135" t="e">
        <f t="shared" si="3"/>
        <v>#N/A</v>
      </c>
      <c r="AH60" s="136">
        <v>59</v>
      </c>
      <c r="AI60" s="138"/>
      <c r="AJ60" s="138"/>
      <c r="AK60" s="138"/>
      <c r="AL60" s="138"/>
      <c r="AM60" s="138"/>
      <c r="AN60" s="138"/>
      <c r="AO60" s="138"/>
      <c r="AP60" s="138"/>
      <c r="AQ60" s="138"/>
      <c r="AR60" s="138"/>
      <c r="AS60" s="138"/>
      <c r="AT60" s="138"/>
      <c r="AU60" s="138"/>
      <c r="AV60" s="138"/>
      <c r="AW60" s="138"/>
      <c r="AX60" s="138"/>
      <c r="AY60" s="138"/>
      <c r="AZ60" s="138"/>
      <c r="BA60" s="138"/>
      <c r="BB60" s="138"/>
      <c r="BC60" s="138"/>
      <c r="BD60" s="138"/>
      <c r="BE60" s="138"/>
      <c r="BF60" s="138"/>
      <c r="BG60" s="136" t="b">
        <f t="shared" si="4"/>
        <v>0</v>
      </c>
      <c r="BH60" s="136">
        <f>ROW()</f>
        <v>60</v>
      </c>
      <c r="BI60" s="136">
        <v>59</v>
      </c>
      <c r="BJ60" s="136" t="str">
        <f t="shared" si="5"/>
        <v>NA</v>
      </c>
      <c r="BK60" s="136" t="e">
        <f t="shared" si="14"/>
        <v>#N/A</v>
      </c>
      <c r="BL60" s="136" t="str">
        <f t="shared" si="14"/>
        <v xml:space="preserve"> </v>
      </c>
      <c r="BM60" s="136" t="str">
        <f t="shared" si="14"/>
        <v xml:space="preserve"> </v>
      </c>
      <c r="BN60" s="136" t="str">
        <f t="shared" si="14"/>
        <v xml:space="preserve"> </v>
      </c>
      <c r="BO60" s="136" t="str">
        <f t="shared" si="14"/>
        <v xml:space="preserve"> </v>
      </c>
      <c r="BP60" s="136" t="str">
        <f t="shared" si="14"/>
        <v xml:space="preserve"> </v>
      </c>
      <c r="BQ60" s="136" t="str">
        <f t="shared" si="14"/>
        <v xml:space="preserve"> </v>
      </c>
      <c r="BR60" s="136" t="str">
        <f t="shared" si="14"/>
        <v xml:space="preserve"> </v>
      </c>
      <c r="BS60" s="136" t="str">
        <f t="shared" si="14"/>
        <v xml:space="preserve"> </v>
      </c>
      <c r="BT60" s="136" t="str">
        <f t="shared" si="14"/>
        <v xml:space="preserve"> </v>
      </c>
      <c r="BU60" s="136" t="str">
        <f t="shared" si="14"/>
        <v xml:space="preserve"> </v>
      </c>
      <c r="BV60" s="136" t="str">
        <f t="shared" si="14"/>
        <v xml:space="preserve"> </v>
      </c>
      <c r="BW60" s="136" t="str">
        <f t="shared" si="14"/>
        <v xml:space="preserve"> </v>
      </c>
      <c r="BX60" s="136" t="str">
        <f t="shared" si="14"/>
        <v xml:space="preserve"> </v>
      </c>
      <c r="BY60" s="136" t="str">
        <f t="shared" si="14"/>
        <v xml:space="preserve"> </v>
      </c>
      <c r="BZ60" s="136" t="str">
        <f t="shared" si="14"/>
        <v xml:space="preserve"> </v>
      </c>
      <c r="CA60" s="136" t="str">
        <f t="shared" si="13"/>
        <v xml:space="preserve"> </v>
      </c>
      <c r="CB60" s="136" t="str">
        <f t="shared" si="13"/>
        <v xml:space="preserve"> </v>
      </c>
      <c r="CC60" s="136" t="str">
        <f t="shared" si="13"/>
        <v xml:space="preserve"> </v>
      </c>
      <c r="CD60" s="136" t="str">
        <f t="shared" si="13"/>
        <v xml:space="preserve"> </v>
      </c>
      <c r="CE60" s="136" t="str">
        <f t="shared" si="13"/>
        <v xml:space="preserve"> </v>
      </c>
      <c r="CF60" s="136" t="str">
        <f t="shared" si="13"/>
        <v xml:space="preserve"> </v>
      </c>
      <c r="CG60" s="136" t="str">
        <f t="shared" si="13"/>
        <v xml:space="preserve"> </v>
      </c>
      <c r="CH60" s="136" t="str">
        <f t="shared" si="13"/>
        <v xml:space="preserve"> </v>
      </c>
    </row>
    <row r="61" spans="1:86" x14ac:dyDescent="0.25">
      <c r="A61">
        <v>39</v>
      </c>
      <c r="B61">
        <f t="shared" si="9"/>
        <v>21.18675</v>
      </c>
      <c r="C61" s="75">
        <f>B61*LBP/'G&amp;H'!$K$7</f>
        <v>4611863257.5757589</v>
      </c>
      <c r="D61" s="75">
        <f>0.075/((LOG10(C61)-2)^2)+'G&amp;H'!$D$17/1000</f>
        <v>1.0859617279001725E-3</v>
      </c>
      <c r="E61">
        <f>D61*0.5*1.025*'G&amp;H'!$K$19*Tools1!B61^2</f>
        <v>2722.0417078423902</v>
      </c>
      <c r="AG61" s="135" t="e">
        <f t="shared" si="3"/>
        <v>#N/A</v>
      </c>
      <c r="AH61" s="136">
        <v>60</v>
      </c>
      <c r="AI61" s="138"/>
      <c r="AJ61" s="138"/>
      <c r="AK61" s="138"/>
      <c r="AL61" s="138"/>
      <c r="AM61" s="138"/>
      <c r="AN61" s="138"/>
      <c r="AO61" s="138"/>
      <c r="AP61" s="138"/>
      <c r="AQ61" s="138"/>
      <c r="AR61" s="138"/>
      <c r="AS61" s="138"/>
      <c r="AT61" s="138"/>
      <c r="AU61" s="138"/>
      <c r="AV61" s="138"/>
      <c r="AW61" s="138"/>
      <c r="AX61" s="138"/>
      <c r="AY61" s="138"/>
      <c r="AZ61" s="138"/>
      <c r="BA61" s="138"/>
      <c r="BB61" s="138"/>
      <c r="BC61" s="138"/>
      <c r="BD61" s="138"/>
      <c r="BE61" s="138"/>
      <c r="BF61" s="138"/>
      <c r="BG61" s="136" t="b">
        <f t="shared" si="4"/>
        <v>0</v>
      </c>
      <c r="BH61" s="136">
        <f>ROW()</f>
        <v>61</v>
      </c>
      <c r="BI61" s="136">
        <v>60</v>
      </c>
      <c r="BJ61" s="136" t="str">
        <f t="shared" si="5"/>
        <v>NA</v>
      </c>
      <c r="BK61" s="136" t="e">
        <f t="shared" si="14"/>
        <v>#N/A</v>
      </c>
      <c r="BL61" s="136" t="str">
        <f t="shared" si="14"/>
        <v xml:space="preserve"> </v>
      </c>
      <c r="BM61" s="136" t="str">
        <f t="shared" si="14"/>
        <v xml:space="preserve"> </v>
      </c>
      <c r="BN61" s="136" t="str">
        <f t="shared" si="14"/>
        <v xml:space="preserve"> </v>
      </c>
      <c r="BO61" s="136" t="str">
        <f t="shared" si="14"/>
        <v xml:space="preserve"> </v>
      </c>
      <c r="BP61" s="136" t="str">
        <f t="shared" si="14"/>
        <v xml:space="preserve"> </v>
      </c>
      <c r="BQ61" s="136" t="str">
        <f t="shared" si="14"/>
        <v xml:space="preserve"> </v>
      </c>
      <c r="BR61" s="136" t="str">
        <f t="shared" si="14"/>
        <v xml:space="preserve"> </v>
      </c>
      <c r="BS61" s="136" t="str">
        <f t="shared" si="14"/>
        <v xml:space="preserve"> </v>
      </c>
      <c r="BT61" s="136" t="str">
        <f t="shared" si="14"/>
        <v xml:space="preserve"> </v>
      </c>
      <c r="BU61" s="136" t="str">
        <f t="shared" si="14"/>
        <v xml:space="preserve"> </v>
      </c>
      <c r="BV61" s="136" t="str">
        <f t="shared" si="14"/>
        <v xml:space="preserve"> </v>
      </c>
      <c r="BW61" s="136" t="str">
        <f t="shared" si="14"/>
        <v xml:space="preserve"> </v>
      </c>
      <c r="BX61" s="136" t="str">
        <f t="shared" si="14"/>
        <v xml:space="preserve"> </v>
      </c>
      <c r="BY61" s="136" t="str">
        <f t="shared" si="14"/>
        <v xml:space="preserve"> </v>
      </c>
      <c r="BZ61" s="136" t="str">
        <f t="shared" si="14"/>
        <v xml:space="preserve"> </v>
      </c>
      <c r="CA61" s="136" t="str">
        <f t="shared" si="13"/>
        <v xml:space="preserve"> </v>
      </c>
      <c r="CB61" s="136" t="str">
        <f t="shared" si="13"/>
        <v xml:space="preserve"> </v>
      </c>
      <c r="CC61" s="136" t="str">
        <f t="shared" si="13"/>
        <v xml:space="preserve"> </v>
      </c>
      <c r="CD61" s="136" t="str">
        <f t="shared" si="13"/>
        <v xml:space="preserve"> </v>
      </c>
      <c r="CE61" s="136" t="str">
        <f t="shared" si="13"/>
        <v xml:space="preserve"> </v>
      </c>
      <c r="CF61" s="136" t="str">
        <f t="shared" si="13"/>
        <v xml:space="preserve"> </v>
      </c>
      <c r="CG61" s="136" t="str">
        <f t="shared" si="13"/>
        <v xml:space="preserve"> </v>
      </c>
      <c r="CH61" s="136" t="str">
        <f t="shared" si="13"/>
        <v xml:space="preserve"> </v>
      </c>
    </row>
    <row r="62" spans="1:86" x14ac:dyDescent="0.25">
      <c r="A62">
        <v>40</v>
      </c>
      <c r="B62">
        <f t="shared" si="9"/>
        <v>21.73</v>
      </c>
      <c r="C62" s="75">
        <f>B62*LBP/'G&amp;H'!$K$7</f>
        <v>4730116161.6161623</v>
      </c>
      <c r="D62" s="75">
        <f>0.075/((LOG10(C62)-2)^2)+'G&amp;H'!$D$17/1000</f>
        <v>1.0823055918458317E-3</v>
      </c>
      <c r="E62">
        <f>D62*0.5*1.025*'G&amp;H'!$K$19*Tools1!B62^2</f>
        <v>2853.7828671383436</v>
      </c>
      <c r="AG62" s="135" t="e">
        <f t="shared" si="3"/>
        <v>#N/A</v>
      </c>
      <c r="AH62" s="136">
        <v>61</v>
      </c>
      <c r="AI62" s="138"/>
      <c r="AJ62" s="138"/>
      <c r="AK62" s="138"/>
      <c r="AL62" s="138"/>
      <c r="AM62" s="138"/>
      <c r="AN62" s="138"/>
      <c r="AO62" s="138"/>
      <c r="AP62" s="138"/>
      <c r="AQ62" s="138"/>
      <c r="AR62" s="138"/>
      <c r="AS62" s="138"/>
      <c r="AT62" s="138"/>
      <c r="AU62" s="138"/>
      <c r="AV62" s="138"/>
      <c r="AW62" s="138"/>
      <c r="AX62" s="138"/>
      <c r="AY62" s="138"/>
      <c r="AZ62" s="138"/>
      <c r="BA62" s="138"/>
      <c r="BB62" s="138"/>
      <c r="BC62" s="138"/>
      <c r="BD62" s="138"/>
      <c r="BE62" s="138"/>
      <c r="BF62" s="138"/>
      <c r="BG62" s="136" t="b">
        <f t="shared" si="4"/>
        <v>0</v>
      </c>
      <c r="BH62" s="136">
        <f>ROW()</f>
        <v>62</v>
      </c>
      <c r="BI62" s="136">
        <v>61</v>
      </c>
      <c r="BJ62" s="136" t="str">
        <f t="shared" si="5"/>
        <v>NA</v>
      </c>
      <c r="BK62" s="136" t="e">
        <f t="shared" si="14"/>
        <v>#N/A</v>
      </c>
      <c r="BL62" s="136" t="str">
        <f t="shared" si="14"/>
        <v xml:space="preserve"> </v>
      </c>
      <c r="BM62" s="136" t="str">
        <f t="shared" si="14"/>
        <v xml:space="preserve"> </v>
      </c>
      <c r="BN62" s="136" t="str">
        <f t="shared" si="14"/>
        <v xml:space="preserve"> </v>
      </c>
      <c r="BO62" s="136" t="str">
        <f t="shared" si="14"/>
        <v xml:space="preserve"> </v>
      </c>
      <c r="BP62" s="136" t="str">
        <f t="shared" si="14"/>
        <v xml:space="preserve"> </v>
      </c>
      <c r="BQ62" s="136" t="str">
        <f t="shared" si="14"/>
        <v xml:space="preserve"> </v>
      </c>
      <c r="BR62" s="136" t="str">
        <f t="shared" si="14"/>
        <v xml:space="preserve"> </v>
      </c>
      <c r="BS62" s="136" t="str">
        <f t="shared" si="14"/>
        <v xml:space="preserve"> </v>
      </c>
      <c r="BT62" s="136" t="str">
        <f t="shared" si="14"/>
        <v xml:space="preserve"> </v>
      </c>
      <c r="BU62" s="136" t="str">
        <f t="shared" si="14"/>
        <v xml:space="preserve"> </v>
      </c>
      <c r="BV62" s="136" t="str">
        <f t="shared" si="14"/>
        <v xml:space="preserve"> </v>
      </c>
      <c r="BW62" s="136" t="str">
        <f t="shared" si="14"/>
        <v xml:space="preserve"> </v>
      </c>
      <c r="BX62" s="136" t="str">
        <f t="shared" si="14"/>
        <v xml:space="preserve"> </v>
      </c>
      <c r="BY62" s="136" t="str">
        <f t="shared" si="14"/>
        <v xml:space="preserve"> </v>
      </c>
      <c r="BZ62" s="136" t="str">
        <f t="shared" si="14"/>
        <v xml:space="preserve"> </v>
      </c>
      <c r="CA62" s="136" t="str">
        <f t="shared" si="13"/>
        <v xml:space="preserve"> </v>
      </c>
      <c r="CB62" s="136" t="str">
        <f t="shared" si="13"/>
        <v xml:space="preserve"> </v>
      </c>
      <c r="CC62" s="136" t="str">
        <f t="shared" si="13"/>
        <v xml:space="preserve"> </v>
      </c>
      <c r="CD62" s="136" t="str">
        <f t="shared" si="13"/>
        <v xml:space="preserve"> </v>
      </c>
      <c r="CE62" s="136" t="str">
        <f t="shared" si="13"/>
        <v xml:space="preserve"> </v>
      </c>
      <c r="CF62" s="136" t="str">
        <f t="shared" si="13"/>
        <v xml:space="preserve"> </v>
      </c>
      <c r="CG62" s="136" t="str">
        <f t="shared" si="13"/>
        <v xml:space="preserve"> </v>
      </c>
      <c r="CH62" s="136" t="str">
        <f t="shared" si="13"/>
        <v xml:space="preserve"> </v>
      </c>
    </row>
    <row r="63" spans="1:86" x14ac:dyDescent="0.25">
      <c r="A63">
        <v>41</v>
      </c>
      <c r="B63">
        <f t="shared" si="9"/>
        <v>22.273250000000001</v>
      </c>
      <c r="C63" s="75">
        <f>B63*LBP/'G&amp;H'!$K$7</f>
        <v>4848369065.6565666</v>
      </c>
      <c r="D63" s="75">
        <f>0.075/((LOG10(C63)-2)^2)+'G&amp;H'!$D$17/1000</f>
        <v>1.0787548448851882E-3</v>
      </c>
      <c r="E63">
        <f>D63*0.5*1.025*'G&amp;H'!$K$19*Tools1!B63^2</f>
        <v>2988.419172747102</v>
      </c>
      <c r="AG63" s="135" t="e">
        <f t="shared" si="3"/>
        <v>#N/A</v>
      </c>
      <c r="AH63" s="136">
        <v>62</v>
      </c>
      <c r="AI63" s="138"/>
      <c r="AJ63" s="138"/>
      <c r="AK63" s="138"/>
      <c r="AL63" s="138"/>
      <c r="AM63" s="138"/>
      <c r="AN63" s="138"/>
      <c r="AO63" s="138"/>
      <c r="AP63" s="138"/>
      <c r="AQ63" s="138"/>
      <c r="AR63" s="138"/>
      <c r="AS63" s="138"/>
      <c r="AT63" s="138"/>
      <c r="AU63" s="138"/>
      <c r="AV63" s="138"/>
      <c r="AW63" s="138"/>
      <c r="AX63" s="138"/>
      <c r="AY63" s="138"/>
      <c r="AZ63" s="138"/>
      <c r="BA63" s="138"/>
      <c r="BB63" s="138"/>
      <c r="BC63" s="138"/>
      <c r="BD63" s="138"/>
      <c r="BE63" s="138"/>
      <c r="BF63" s="138"/>
      <c r="BG63" s="136" t="b">
        <f t="shared" si="4"/>
        <v>0</v>
      </c>
      <c r="BH63" s="136">
        <f>ROW()</f>
        <v>63</v>
      </c>
      <c r="BI63" s="136">
        <v>62</v>
      </c>
      <c r="BJ63" s="136" t="str">
        <f t="shared" si="5"/>
        <v>NA</v>
      </c>
      <c r="BK63" s="136" t="e">
        <f t="shared" si="14"/>
        <v>#N/A</v>
      </c>
      <c r="BL63" s="136" t="str">
        <f t="shared" si="14"/>
        <v xml:space="preserve"> </v>
      </c>
      <c r="BM63" s="136" t="str">
        <f t="shared" si="14"/>
        <v xml:space="preserve"> </v>
      </c>
      <c r="BN63" s="136" t="str">
        <f t="shared" si="14"/>
        <v xml:space="preserve"> </v>
      </c>
      <c r="BO63" s="136" t="str">
        <f t="shared" si="14"/>
        <v xml:space="preserve"> </v>
      </c>
      <c r="BP63" s="136" t="str">
        <f t="shared" si="14"/>
        <v xml:space="preserve"> </v>
      </c>
      <c r="BQ63" s="136" t="str">
        <f t="shared" si="14"/>
        <v xml:space="preserve"> </v>
      </c>
      <c r="BR63" s="136" t="str">
        <f t="shared" si="14"/>
        <v xml:space="preserve"> </v>
      </c>
      <c r="BS63" s="136" t="str">
        <f t="shared" si="14"/>
        <v xml:space="preserve"> </v>
      </c>
      <c r="BT63" s="136" t="str">
        <f t="shared" si="14"/>
        <v xml:space="preserve"> </v>
      </c>
      <c r="BU63" s="136" t="str">
        <f t="shared" si="14"/>
        <v xml:space="preserve"> </v>
      </c>
      <c r="BV63" s="136" t="str">
        <f t="shared" si="14"/>
        <v xml:space="preserve"> </v>
      </c>
      <c r="BW63" s="136" t="str">
        <f t="shared" si="14"/>
        <v xml:space="preserve"> </v>
      </c>
      <c r="BX63" s="136" t="str">
        <f t="shared" si="14"/>
        <v xml:space="preserve"> </v>
      </c>
      <c r="BY63" s="136" t="str">
        <f t="shared" si="14"/>
        <v xml:space="preserve"> </v>
      </c>
      <c r="BZ63" s="136" t="str">
        <f t="shared" si="14"/>
        <v xml:space="preserve"> </v>
      </c>
      <c r="CA63" s="136" t="str">
        <f t="shared" si="13"/>
        <v xml:space="preserve"> </v>
      </c>
      <c r="CB63" s="136" t="str">
        <f t="shared" si="13"/>
        <v xml:space="preserve"> </v>
      </c>
      <c r="CC63" s="136" t="str">
        <f t="shared" si="13"/>
        <v xml:space="preserve"> </v>
      </c>
      <c r="CD63" s="136" t="str">
        <f t="shared" si="13"/>
        <v xml:space="preserve"> </v>
      </c>
      <c r="CE63" s="136" t="str">
        <f t="shared" si="13"/>
        <v xml:space="preserve"> </v>
      </c>
      <c r="CF63" s="136" t="str">
        <f t="shared" si="13"/>
        <v xml:space="preserve"> </v>
      </c>
      <c r="CG63" s="136" t="str">
        <f t="shared" si="13"/>
        <v xml:space="preserve"> </v>
      </c>
      <c r="CH63" s="136" t="str">
        <f t="shared" si="13"/>
        <v xml:space="preserve"> </v>
      </c>
    </row>
    <row r="64" spans="1:86" x14ac:dyDescent="0.25">
      <c r="A64">
        <v>42</v>
      </c>
      <c r="B64">
        <f t="shared" si="9"/>
        <v>22.816500000000001</v>
      </c>
      <c r="C64" s="75">
        <f>B64*LBP/'G&amp;H'!$K$7</f>
        <v>4966621969.6969709</v>
      </c>
      <c r="D64" s="75">
        <f>0.075/((LOG10(C64)-2)^2)+'G&amp;H'!$D$17/1000</f>
        <v>1.0753039674967315E-3</v>
      </c>
      <c r="E64">
        <f>D64*0.5*1.025*'G&amp;H'!$K$19*Tools1!B64^2</f>
        <v>3125.9416739013818</v>
      </c>
      <c r="AG64" s="135" t="e">
        <f t="shared" si="3"/>
        <v>#N/A</v>
      </c>
      <c r="AH64" s="136">
        <v>63</v>
      </c>
      <c r="AI64" s="138"/>
      <c r="AJ64" s="138"/>
      <c r="AK64" s="138"/>
      <c r="AL64" s="138"/>
      <c r="AM64" s="138"/>
      <c r="AN64" s="138"/>
      <c r="AO64" s="138"/>
      <c r="AP64" s="138"/>
      <c r="AQ64" s="138"/>
      <c r="AR64" s="138"/>
      <c r="AS64" s="138"/>
      <c r="AT64" s="138"/>
      <c r="AU64" s="138"/>
      <c r="AV64" s="138"/>
      <c r="AW64" s="138"/>
      <c r="AX64" s="138"/>
      <c r="AY64" s="138"/>
      <c r="AZ64" s="138"/>
      <c r="BA64" s="138"/>
      <c r="BB64" s="138"/>
      <c r="BC64" s="138"/>
      <c r="BD64" s="138"/>
      <c r="BE64" s="138"/>
      <c r="BF64" s="138"/>
      <c r="BG64" s="136" t="b">
        <f t="shared" si="4"/>
        <v>0</v>
      </c>
      <c r="BH64" s="136">
        <f>ROW()</f>
        <v>64</v>
      </c>
      <c r="BI64" s="136">
        <v>63</v>
      </c>
      <c r="BJ64" s="136" t="str">
        <f t="shared" si="5"/>
        <v>NA</v>
      </c>
      <c r="BK64" s="136" t="e">
        <f t="shared" si="14"/>
        <v>#N/A</v>
      </c>
      <c r="BL64" s="136" t="str">
        <f t="shared" si="14"/>
        <v xml:space="preserve"> </v>
      </c>
      <c r="BM64" s="136" t="str">
        <f t="shared" si="14"/>
        <v xml:space="preserve"> </v>
      </c>
      <c r="BN64" s="136" t="str">
        <f t="shared" si="14"/>
        <v xml:space="preserve"> </v>
      </c>
      <c r="BO64" s="136" t="str">
        <f t="shared" si="14"/>
        <v xml:space="preserve"> </v>
      </c>
      <c r="BP64" s="136" t="str">
        <f t="shared" si="14"/>
        <v xml:space="preserve"> </v>
      </c>
      <c r="BQ64" s="136" t="str">
        <f t="shared" si="14"/>
        <v xml:space="preserve"> </v>
      </c>
      <c r="BR64" s="136" t="str">
        <f t="shared" si="14"/>
        <v xml:space="preserve"> </v>
      </c>
      <c r="BS64" s="136" t="str">
        <f t="shared" si="14"/>
        <v xml:space="preserve"> </v>
      </c>
      <c r="BT64" s="136" t="str">
        <f t="shared" si="14"/>
        <v xml:space="preserve"> </v>
      </c>
      <c r="BU64" s="136" t="str">
        <f t="shared" si="14"/>
        <v xml:space="preserve"> </v>
      </c>
      <c r="BV64" s="136" t="str">
        <f t="shared" si="14"/>
        <v xml:space="preserve"> </v>
      </c>
      <c r="BW64" s="136" t="str">
        <f t="shared" si="14"/>
        <v xml:space="preserve"> </v>
      </c>
      <c r="BX64" s="136" t="str">
        <f t="shared" si="14"/>
        <v xml:space="preserve"> </v>
      </c>
      <c r="BY64" s="136" t="str">
        <f t="shared" si="14"/>
        <v xml:space="preserve"> </v>
      </c>
      <c r="BZ64" s="136" t="str">
        <f t="shared" si="14"/>
        <v xml:space="preserve"> </v>
      </c>
      <c r="CA64" s="136" t="str">
        <f t="shared" si="13"/>
        <v xml:space="preserve"> </v>
      </c>
      <c r="CB64" s="136" t="str">
        <f t="shared" si="13"/>
        <v xml:space="preserve"> </v>
      </c>
      <c r="CC64" s="136" t="str">
        <f t="shared" si="13"/>
        <v xml:space="preserve"> </v>
      </c>
      <c r="CD64" s="136" t="str">
        <f t="shared" si="13"/>
        <v xml:space="preserve"> </v>
      </c>
      <c r="CE64" s="136" t="str">
        <f t="shared" si="13"/>
        <v xml:space="preserve"> </v>
      </c>
      <c r="CF64" s="136" t="str">
        <f t="shared" si="13"/>
        <v xml:space="preserve"> </v>
      </c>
      <c r="CG64" s="136" t="str">
        <f t="shared" si="13"/>
        <v xml:space="preserve"> </v>
      </c>
      <c r="CH64" s="136" t="str">
        <f t="shared" si="13"/>
        <v xml:space="preserve"> </v>
      </c>
    </row>
    <row r="65" spans="1:86" x14ac:dyDescent="0.25">
      <c r="A65">
        <v>43</v>
      </c>
      <c r="B65">
        <f t="shared" si="9"/>
        <v>23.359750000000002</v>
      </c>
      <c r="C65" s="75">
        <f>B65*LBP/'G&amp;H'!$K$7</f>
        <v>5084874873.7373753</v>
      </c>
      <c r="D65" s="75">
        <f>0.075/((LOG10(C65)-2)^2)+'G&amp;H'!$D$17/1000</f>
        <v>1.0719478526574524E-3</v>
      </c>
      <c r="E65">
        <f>D65*0.5*1.025*'G&amp;H'!$K$19*Tools1!B65^2</f>
        <v>3266.3416682524289</v>
      </c>
      <c r="AG65" s="135" t="e">
        <f t="shared" si="3"/>
        <v>#N/A</v>
      </c>
      <c r="AH65" s="136">
        <v>64</v>
      </c>
      <c r="AI65" s="138"/>
      <c r="AJ65" s="138"/>
      <c r="AK65" s="138"/>
      <c r="AL65" s="138"/>
      <c r="AM65" s="138"/>
      <c r="AN65" s="138"/>
      <c r="AO65" s="138"/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  <c r="BE65" s="138"/>
      <c r="BF65" s="138"/>
      <c r="BG65" s="136" t="b">
        <f t="shared" si="4"/>
        <v>0</v>
      </c>
      <c r="BH65" s="136">
        <f>ROW()</f>
        <v>65</v>
      </c>
      <c r="BI65" s="136">
        <v>64</v>
      </c>
      <c r="BJ65" s="136" t="str">
        <f t="shared" si="5"/>
        <v>NA</v>
      </c>
      <c r="BK65" s="136" t="e">
        <f t="shared" si="14"/>
        <v>#N/A</v>
      </c>
      <c r="BL65" s="136" t="str">
        <f t="shared" si="14"/>
        <v xml:space="preserve"> </v>
      </c>
      <c r="BM65" s="136" t="str">
        <f t="shared" si="14"/>
        <v xml:space="preserve"> </v>
      </c>
      <c r="BN65" s="136" t="str">
        <f t="shared" si="14"/>
        <v xml:space="preserve"> </v>
      </c>
      <c r="BO65" s="136" t="str">
        <f t="shared" si="14"/>
        <v xml:space="preserve"> </v>
      </c>
      <c r="BP65" s="136" t="str">
        <f t="shared" si="14"/>
        <v xml:space="preserve"> </v>
      </c>
      <c r="BQ65" s="136" t="str">
        <f t="shared" si="14"/>
        <v xml:space="preserve"> </v>
      </c>
      <c r="BR65" s="136" t="str">
        <f t="shared" si="14"/>
        <v xml:space="preserve"> </v>
      </c>
      <c r="BS65" s="136" t="str">
        <f t="shared" si="14"/>
        <v xml:space="preserve"> </v>
      </c>
      <c r="BT65" s="136" t="str">
        <f t="shared" si="14"/>
        <v xml:space="preserve"> </v>
      </c>
      <c r="BU65" s="136" t="str">
        <f t="shared" si="14"/>
        <v xml:space="preserve"> </v>
      </c>
      <c r="BV65" s="136" t="str">
        <f t="shared" si="14"/>
        <v xml:space="preserve"> </v>
      </c>
      <c r="BW65" s="136" t="str">
        <f t="shared" si="14"/>
        <v xml:space="preserve"> </v>
      </c>
      <c r="BX65" s="136" t="str">
        <f t="shared" si="14"/>
        <v xml:space="preserve"> </v>
      </c>
      <c r="BY65" s="136" t="str">
        <f t="shared" si="14"/>
        <v xml:space="preserve"> </v>
      </c>
      <c r="BZ65" s="136" t="str">
        <f t="shared" si="14"/>
        <v xml:space="preserve"> </v>
      </c>
      <c r="CA65" s="136" t="str">
        <f t="shared" si="13"/>
        <v xml:space="preserve"> </v>
      </c>
      <c r="CB65" s="136" t="str">
        <f t="shared" si="13"/>
        <v xml:space="preserve"> </v>
      </c>
      <c r="CC65" s="136" t="str">
        <f t="shared" si="13"/>
        <v xml:space="preserve"> </v>
      </c>
      <c r="CD65" s="136" t="str">
        <f t="shared" si="13"/>
        <v xml:space="preserve"> </v>
      </c>
      <c r="CE65" s="136" t="str">
        <f t="shared" si="13"/>
        <v xml:space="preserve"> </v>
      </c>
      <c r="CF65" s="136" t="str">
        <f t="shared" si="13"/>
        <v xml:space="preserve"> </v>
      </c>
      <c r="CG65" s="136" t="str">
        <f t="shared" si="13"/>
        <v xml:space="preserve"> </v>
      </c>
      <c r="CH65" s="136" t="str">
        <f t="shared" si="13"/>
        <v xml:space="preserve"> </v>
      </c>
    </row>
    <row r="66" spans="1:86" x14ac:dyDescent="0.25">
      <c r="A66">
        <v>44</v>
      </c>
      <c r="B66">
        <f t="shared" si="9"/>
        <v>23.902999999999999</v>
      </c>
      <c r="C66" s="75">
        <f>B66*LBP/'G&amp;H'!$K$7</f>
        <v>5203127777.7777786</v>
      </c>
      <c r="D66" s="75">
        <f>0.075/((LOG10(C66)-2)^2)+'G&amp;H'!$D$17/1000</f>
        <v>1.0686817662266558E-3</v>
      </c>
      <c r="E66">
        <f>D66*0.5*1.025*'G&amp;H'!$K$19*Tools1!B66^2</f>
        <v>3409.6106892621419</v>
      </c>
      <c r="AG66" s="135" t="e">
        <f t="shared" si="3"/>
        <v>#N/A</v>
      </c>
      <c r="AH66" s="136">
        <v>65</v>
      </c>
      <c r="AI66" s="138"/>
      <c r="AJ66" s="138"/>
      <c r="AK66" s="138"/>
      <c r="AL66" s="138"/>
      <c r="AM66" s="138"/>
      <c r="AN66" s="138"/>
      <c r="AO66" s="138"/>
      <c r="AP66" s="138"/>
      <c r="AQ66" s="138"/>
      <c r="AR66" s="138"/>
      <c r="AS66" s="138"/>
      <c r="AT66" s="138"/>
      <c r="AU66" s="138"/>
      <c r="AV66" s="138"/>
      <c r="AW66" s="138"/>
      <c r="AX66" s="138"/>
      <c r="AY66" s="138"/>
      <c r="AZ66" s="138"/>
      <c r="BA66" s="138"/>
      <c r="BB66" s="138"/>
      <c r="BC66" s="138"/>
      <c r="BD66" s="138"/>
      <c r="BE66" s="138"/>
      <c r="BF66" s="138"/>
      <c r="BG66" s="136" t="b">
        <f t="shared" si="4"/>
        <v>0</v>
      </c>
      <c r="BH66" s="136">
        <f>ROW()</f>
        <v>66</v>
      </c>
      <c r="BI66" s="136">
        <v>65</v>
      </c>
      <c r="BJ66" s="136" t="str">
        <f t="shared" si="5"/>
        <v>NA</v>
      </c>
      <c r="BK66" s="136" t="e">
        <f t="shared" si="14"/>
        <v>#N/A</v>
      </c>
      <c r="BL66" s="136" t="str">
        <f t="shared" si="14"/>
        <v xml:space="preserve"> </v>
      </c>
      <c r="BM66" s="136" t="str">
        <f t="shared" si="14"/>
        <v xml:space="preserve"> </v>
      </c>
      <c r="BN66" s="136" t="str">
        <f t="shared" si="14"/>
        <v xml:space="preserve"> </v>
      </c>
      <c r="BO66" s="136" t="str">
        <f t="shared" si="14"/>
        <v xml:space="preserve"> </v>
      </c>
      <c r="BP66" s="136" t="str">
        <f t="shared" si="14"/>
        <v xml:space="preserve"> </v>
      </c>
      <c r="BQ66" s="136" t="str">
        <f t="shared" si="14"/>
        <v xml:space="preserve"> </v>
      </c>
      <c r="BR66" s="136" t="str">
        <f t="shared" si="14"/>
        <v xml:space="preserve"> </v>
      </c>
      <c r="BS66" s="136" t="str">
        <f t="shared" si="14"/>
        <v xml:space="preserve"> </v>
      </c>
      <c r="BT66" s="136" t="str">
        <f t="shared" si="14"/>
        <v xml:space="preserve"> </v>
      </c>
      <c r="BU66" s="136" t="str">
        <f t="shared" si="14"/>
        <v xml:space="preserve"> </v>
      </c>
      <c r="BV66" s="136" t="str">
        <f t="shared" si="14"/>
        <v xml:space="preserve"> </v>
      </c>
      <c r="BW66" s="136" t="str">
        <f t="shared" si="14"/>
        <v xml:space="preserve"> </v>
      </c>
      <c r="BX66" s="136" t="str">
        <f t="shared" si="14"/>
        <v xml:space="preserve"> </v>
      </c>
      <c r="BY66" s="136" t="str">
        <f t="shared" si="14"/>
        <v xml:space="preserve"> </v>
      </c>
      <c r="BZ66" s="136" t="str">
        <f t="shared" si="14"/>
        <v xml:space="preserve"> </v>
      </c>
      <c r="CA66" s="136" t="str">
        <f t="shared" si="13"/>
        <v xml:space="preserve"> </v>
      </c>
      <c r="CB66" s="136" t="str">
        <f t="shared" si="13"/>
        <v xml:space="preserve"> </v>
      </c>
      <c r="CC66" s="136" t="str">
        <f t="shared" si="13"/>
        <v xml:space="preserve"> </v>
      </c>
      <c r="CD66" s="136" t="str">
        <f t="shared" si="13"/>
        <v xml:space="preserve"> </v>
      </c>
      <c r="CE66" s="136" t="str">
        <f t="shared" si="13"/>
        <v xml:space="preserve"> </v>
      </c>
      <c r="CF66" s="136" t="str">
        <f t="shared" si="13"/>
        <v xml:space="preserve"> </v>
      </c>
      <c r="CG66" s="136" t="str">
        <f t="shared" si="13"/>
        <v xml:space="preserve"> </v>
      </c>
      <c r="CH66" s="136" t="str">
        <f t="shared" si="13"/>
        <v xml:space="preserve"> </v>
      </c>
    </row>
    <row r="67" spans="1:86" x14ac:dyDescent="0.25">
      <c r="A67">
        <v>45</v>
      </c>
      <c r="B67">
        <f t="shared" si="9"/>
        <v>24.446249999999999</v>
      </c>
      <c r="C67" s="75">
        <f>B67*LBP/'G&amp;H'!$K$7</f>
        <v>5321380681.8181829</v>
      </c>
      <c r="D67" s="75">
        <f>0.075/((LOG10(C67)-2)^2)+'G&amp;H'!$D$17/1000</f>
        <v>1.0655013119400354E-3</v>
      </c>
      <c r="E67">
        <f>D67*0.5*1.025*'G&amp;H'!$K$19*Tools1!B67^2</f>
        <v>3555.7404945109588</v>
      </c>
      <c r="AG67" s="135" t="e">
        <f t="shared" ref="AG67:AG110" si="15">_xlfn.RANK.EQ(AI67,$AI$2:$AI$110,1)</f>
        <v>#N/A</v>
      </c>
      <c r="AH67" s="136">
        <v>66</v>
      </c>
      <c r="AI67" s="138"/>
      <c r="AJ67" s="138"/>
      <c r="AK67" s="138"/>
      <c r="AL67" s="138"/>
      <c r="AM67" s="138"/>
      <c r="AN67" s="138"/>
      <c r="AO67" s="138"/>
      <c r="AP67" s="138"/>
      <c r="AQ67" s="138"/>
      <c r="AR67" s="138"/>
      <c r="AS67" s="138"/>
      <c r="AT67" s="138"/>
      <c r="AU67" s="138"/>
      <c r="AV67" s="138"/>
      <c r="AW67" s="138"/>
      <c r="AX67" s="138"/>
      <c r="AY67" s="138"/>
      <c r="AZ67" s="138"/>
      <c r="BA67" s="138"/>
      <c r="BB67" s="138"/>
      <c r="BC67" s="138"/>
      <c r="BD67" s="138"/>
      <c r="BE67" s="138"/>
      <c r="BF67" s="138"/>
      <c r="BG67" s="136" t="b">
        <f t="shared" ref="BG67:BG111" si="16">ISNUMBER(AI67)</f>
        <v>0</v>
      </c>
      <c r="BH67" s="136">
        <f>ROW()</f>
        <v>67</v>
      </c>
      <c r="BI67" s="136">
        <v>66</v>
      </c>
      <c r="BJ67" s="136" t="str">
        <f t="shared" si="5"/>
        <v>NA</v>
      </c>
      <c r="BK67" s="136" t="e">
        <f t="shared" si="14"/>
        <v>#N/A</v>
      </c>
      <c r="BL67" s="136" t="str">
        <f t="shared" si="14"/>
        <v xml:space="preserve"> </v>
      </c>
      <c r="BM67" s="136" t="str">
        <f t="shared" si="14"/>
        <v xml:space="preserve"> </v>
      </c>
      <c r="BN67" s="136" t="str">
        <f t="shared" si="14"/>
        <v xml:space="preserve"> </v>
      </c>
      <c r="BO67" s="136" t="str">
        <f t="shared" si="14"/>
        <v xml:space="preserve"> </v>
      </c>
      <c r="BP67" s="136" t="str">
        <f t="shared" si="14"/>
        <v xml:space="preserve"> </v>
      </c>
      <c r="BQ67" s="136" t="str">
        <f t="shared" si="14"/>
        <v xml:space="preserve"> </v>
      </c>
      <c r="BR67" s="136" t="str">
        <f t="shared" si="14"/>
        <v xml:space="preserve"> </v>
      </c>
      <c r="BS67" s="136" t="str">
        <f t="shared" si="14"/>
        <v xml:space="preserve"> </v>
      </c>
      <c r="BT67" s="136" t="str">
        <f t="shared" si="14"/>
        <v xml:space="preserve"> </v>
      </c>
      <c r="BU67" s="136" t="str">
        <f t="shared" si="14"/>
        <v xml:space="preserve"> </v>
      </c>
      <c r="BV67" s="136" t="str">
        <f t="shared" si="14"/>
        <v xml:space="preserve"> </v>
      </c>
      <c r="BW67" s="136" t="str">
        <f t="shared" si="14"/>
        <v xml:space="preserve"> </v>
      </c>
      <c r="BX67" s="136" t="str">
        <f t="shared" si="14"/>
        <v xml:space="preserve"> </v>
      </c>
      <c r="BY67" s="136" t="str">
        <f t="shared" si="14"/>
        <v xml:space="preserve"> </v>
      </c>
      <c r="BZ67" s="136" t="str">
        <f t="shared" si="14"/>
        <v xml:space="preserve"> </v>
      </c>
      <c r="CA67" s="136" t="str">
        <f t="shared" si="13"/>
        <v xml:space="preserve"> </v>
      </c>
      <c r="CB67" s="136" t="str">
        <f t="shared" si="13"/>
        <v xml:space="preserve"> </v>
      </c>
      <c r="CC67" s="136" t="str">
        <f t="shared" si="13"/>
        <v xml:space="preserve"> </v>
      </c>
      <c r="CD67" s="136" t="str">
        <f t="shared" si="13"/>
        <v xml:space="preserve"> </v>
      </c>
      <c r="CE67" s="136" t="str">
        <f t="shared" si="13"/>
        <v xml:space="preserve"> </v>
      </c>
      <c r="CF67" s="136" t="str">
        <f t="shared" si="13"/>
        <v xml:space="preserve"> </v>
      </c>
      <c r="CG67" s="136" t="str">
        <f t="shared" si="13"/>
        <v xml:space="preserve"> </v>
      </c>
      <c r="CH67" s="136" t="str">
        <f t="shared" si="13"/>
        <v xml:space="preserve"> </v>
      </c>
    </row>
    <row r="68" spans="1:86" x14ac:dyDescent="0.25">
      <c r="A68">
        <v>46</v>
      </c>
      <c r="B68">
        <f t="shared" si="9"/>
        <v>24.9895</v>
      </c>
      <c r="C68" s="75">
        <f>B68*LBP/'G&amp;H'!$K$7</f>
        <v>5439633585.8585863</v>
      </c>
      <c r="D68" s="75">
        <f>0.075/((LOG10(C68)-2)^2)+'G&amp;H'!$D$17/1000</f>
        <v>1.0624024003879154E-3</v>
      </c>
      <c r="E68">
        <f>D68*0.5*1.025*'G&amp;H'!$K$19*Tools1!B68^2</f>
        <v>3704.7230548358816</v>
      </c>
      <c r="AG68" s="135" t="e">
        <f t="shared" si="15"/>
        <v>#N/A</v>
      </c>
      <c r="AH68" s="136">
        <v>67</v>
      </c>
      <c r="AI68" s="138"/>
      <c r="AJ68" s="138"/>
      <c r="AK68" s="138"/>
      <c r="AL68" s="138"/>
      <c r="AM68" s="138"/>
      <c r="AN68" s="138"/>
      <c r="AO68" s="138"/>
      <c r="AP68" s="138"/>
      <c r="AQ68" s="138"/>
      <c r="AR68" s="138"/>
      <c r="AS68" s="138"/>
      <c r="AT68" s="138"/>
      <c r="AU68" s="138"/>
      <c r="AV68" s="138"/>
      <c r="AW68" s="138"/>
      <c r="AX68" s="138"/>
      <c r="AY68" s="138"/>
      <c r="AZ68" s="138"/>
      <c r="BA68" s="138"/>
      <c r="BB68" s="138"/>
      <c r="BC68" s="138"/>
      <c r="BD68" s="138"/>
      <c r="BE68" s="138"/>
      <c r="BF68" s="138"/>
      <c r="BG68" s="136" t="b">
        <f t="shared" si="16"/>
        <v>0</v>
      </c>
      <c r="BH68" s="136">
        <f>ROW()</f>
        <v>68</v>
      </c>
      <c r="BI68" s="136">
        <v>67</v>
      </c>
      <c r="BJ68" s="136" t="str">
        <f t="shared" si="5"/>
        <v>NA</v>
      </c>
      <c r="BK68" s="136" t="e">
        <f t="shared" si="14"/>
        <v>#N/A</v>
      </c>
      <c r="BL68" s="136" t="str">
        <f t="shared" si="14"/>
        <v xml:space="preserve"> </v>
      </c>
      <c r="BM68" s="136" t="str">
        <f t="shared" si="14"/>
        <v xml:space="preserve"> </v>
      </c>
      <c r="BN68" s="136" t="str">
        <f t="shared" si="14"/>
        <v xml:space="preserve"> </v>
      </c>
      <c r="BO68" s="136" t="str">
        <f t="shared" si="14"/>
        <v xml:space="preserve"> </v>
      </c>
      <c r="BP68" s="136" t="str">
        <f t="shared" si="14"/>
        <v xml:space="preserve"> </v>
      </c>
      <c r="BQ68" s="136" t="str">
        <f t="shared" si="14"/>
        <v xml:space="preserve"> </v>
      </c>
      <c r="BR68" s="136" t="str">
        <f t="shared" si="14"/>
        <v xml:space="preserve"> </v>
      </c>
      <c r="BS68" s="136" t="str">
        <f t="shared" si="14"/>
        <v xml:space="preserve"> </v>
      </c>
      <c r="BT68" s="136" t="str">
        <f t="shared" si="14"/>
        <v xml:space="preserve"> </v>
      </c>
      <c r="BU68" s="136" t="str">
        <f t="shared" si="14"/>
        <v xml:space="preserve"> </v>
      </c>
      <c r="BV68" s="136" t="str">
        <f t="shared" si="14"/>
        <v xml:space="preserve"> </v>
      </c>
      <c r="BW68" s="136" t="str">
        <f t="shared" si="14"/>
        <v xml:space="preserve"> </v>
      </c>
      <c r="BX68" s="136" t="str">
        <f t="shared" si="14"/>
        <v xml:space="preserve"> </v>
      </c>
      <c r="BY68" s="136" t="str">
        <f t="shared" si="14"/>
        <v xml:space="preserve"> </v>
      </c>
      <c r="BZ68" s="136" t="str">
        <f t="shared" ref="BZ68:CH83" si="17">IF(VLOOKUP($BJ68,$AH$2:$BF$111,1+BZ$1,FALSE)="(NA)",NA(),VLOOKUP($BJ68,$AH$2:$BF$111,1+BZ$1,FALSE))</f>
        <v xml:space="preserve"> </v>
      </c>
      <c r="CA68" s="136" t="str">
        <f t="shared" si="17"/>
        <v xml:space="preserve"> </v>
      </c>
      <c r="CB68" s="136" t="str">
        <f t="shared" si="17"/>
        <v xml:space="preserve"> </v>
      </c>
      <c r="CC68" s="136" t="str">
        <f t="shared" si="17"/>
        <v xml:space="preserve"> </v>
      </c>
      <c r="CD68" s="136" t="str">
        <f t="shared" si="17"/>
        <v xml:space="preserve"> </v>
      </c>
      <c r="CE68" s="136" t="str">
        <f t="shared" si="17"/>
        <v xml:space="preserve"> </v>
      </c>
      <c r="CF68" s="136" t="str">
        <f t="shared" si="17"/>
        <v xml:space="preserve"> </v>
      </c>
      <c r="CG68" s="136" t="str">
        <f t="shared" si="17"/>
        <v xml:space="preserve"> </v>
      </c>
      <c r="CH68" s="136" t="str">
        <f t="shared" si="17"/>
        <v xml:space="preserve"> </v>
      </c>
    </row>
    <row r="69" spans="1:86" x14ac:dyDescent="0.25">
      <c r="A69">
        <v>47</v>
      </c>
      <c r="B69">
        <f t="shared" si="9"/>
        <v>25.53275</v>
      </c>
      <c r="C69" s="75">
        <f>B69*LBP/'G&amp;H'!$K$7</f>
        <v>5557886489.8989916</v>
      </c>
      <c r="D69" s="75">
        <f>0.075/((LOG10(C69)-2)^2)+'G&amp;H'!$D$17/1000</f>
        <v>1.0593812214482277E-3</v>
      </c>
      <c r="E69">
        <f>D69*0.5*1.025*'G&amp;H'!$K$19*Tools1!B69^2</f>
        <v>3856.5505442227163</v>
      </c>
      <c r="AG69" s="135" t="e">
        <f t="shared" si="15"/>
        <v>#N/A</v>
      </c>
      <c r="AH69" s="136">
        <v>68</v>
      </c>
      <c r="AI69" s="138"/>
      <c r="AJ69" s="138"/>
      <c r="AK69" s="138"/>
      <c r="AL69" s="138"/>
      <c r="AM69" s="138"/>
      <c r="AN69" s="138"/>
      <c r="AO69" s="138"/>
      <c r="AP69" s="138"/>
      <c r="AQ69" s="138"/>
      <c r="AR69" s="138"/>
      <c r="AS69" s="138"/>
      <c r="AT69" s="138"/>
      <c r="AU69" s="138"/>
      <c r="AV69" s="138"/>
      <c r="AW69" s="138"/>
      <c r="AX69" s="138"/>
      <c r="AY69" s="138"/>
      <c r="AZ69" s="138"/>
      <c r="BA69" s="138"/>
      <c r="BB69" s="138"/>
      <c r="BC69" s="138"/>
      <c r="BD69" s="138"/>
      <c r="BE69" s="138"/>
      <c r="BF69" s="138"/>
      <c r="BG69" s="136" t="b">
        <f t="shared" si="16"/>
        <v>0</v>
      </c>
      <c r="BH69" s="136">
        <f>ROW()</f>
        <v>69</v>
      </c>
      <c r="BI69" s="136">
        <v>68</v>
      </c>
      <c r="BJ69" s="136" t="str">
        <f t="shared" ref="BJ69:BJ111" si="18">IFERROR(VLOOKUP(BI69,$AG$2:$AH$110,2,FALSE),"NA")</f>
        <v>NA</v>
      </c>
      <c r="BK69" s="136" t="e">
        <f t="shared" ref="BK69:BZ84" si="19">IF(VLOOKUP($BJ69,$AH$2:$BF$111,1+BK$1,FALSE)="(NA)",NA(),VLOOKUP($BJ69,$AH$2:$BF$111,1+BK$1,FALSE))</f>
        <v>#N/A</v>
      </c>
      <c r="BL69" s="136" t="str">
        <f t="shared" si="19"/>
        <v xml:space="preserve"> </v>
      </c>
      <c r="BM69" s="136" t="str">
        <f t="shared" si="19"/>
        <v xml:space="preserve"> </v>
      </c>
      <c r="BN69" s="136" t="str">
        <f t="shared" si="19"/>
        <v xml:space="preserve"> </v>
      </c>
      <c r="BO69" s="136" t="str">
        <f t="shared" si="19"/>
        <v xml:space="preserve"> </v>
      </c>
      <c r="BP69" s="136" t="str">
        <f t="shared" si="19"/>
        <v xml:space="preserve"> </v>
      </c>
      <c r="BQ69" s="136" t="str">
        <f t="shared" si="19"/>
        <v xml:space="preserve"> </v>
      </c>
      <c r="BR69" s="136" t="str">
        <f t="shared" si="19"/>
        <v xml:space="preserve"> </v>
      </c>
      <c r="BS69" s="136" t="str">
        <f t="shared" si="19"/>
        <v xml:space="preserve"> </v>
      </c>
      <c r="BT69" s="136" t="str">
        <f t="shared" si="19"/>
        <v xml:space="preserve"> </v>
      </c>
      <c r="BU69" s="136" t="str">
        <f t="shared" si="19"/>
        <v xml:space="preserve"> </v>
      </c>
      <c r="BV69" s="136" t="str">
        <f t="shared" si="19"/>
        <v xml:space="preserve"> </v>
      </c>
      <c r="BW69" s="136" t="str">
        <f t="shared" si="19"/>
        <v xml:space="preserve"> </v>
      </c>
      <c r="BX69" s="136" t="str">
        <f t="shared" si="19"/>
        <v xml:space="preserve"> </v>
      </c>
      <c r="BY69" s="136" t="str">
        <f t="shared" si="19"/>
        <v xml:space="preserve"> </v>
      </c>
      <c r="BZ69" s="136" t="str">
        <f t="shared" si="17"/>
        <v xml:space="preserve"> </v>
      </c>
      <c r="CA69" s="136" t="str">
        <f t="shared" si="17"/>
        <v xml:space="preserve"> </v>
      </c>
      <c r="CB69" s="136" t="str">
        <f t="shared" si="17"/>
        <v xml:space="preserve"> </v>
      </c>
      <c r="CC69" s="136" t="str">
        <f t="shared" si="17"/>
        <v xml:space="preserve"> </v>
      </c>
      <c r="CD69" s="136" t="str">
        <f t="shared" si="17"/>
        <v xml:space="preserve"> </v>
      </c>
      <c r="CE69" s="136" t="str">
        <f t="shared" si="17"/>
        <v xml:space="preserve"> </v>
      </c>
      <c r="CF69" s="136" t="str">
        <f t="shared" si="17"/>
        <v xml:space="preserve"> </v>
      </c>
      <c r="CG69" s="136" t="str">
        <f t="shared" si="17"/>
        <v xml:space="preserve"> </v>
      </c>
      <c r="CH69" s="136" t="str">
        <f t="shared" si="17"/>
        <v xml:space="preserve"> </v>
      </c>
    </row>
    <row r="70" spans="1:86" x14ac:dyDescent="0.25">
      <c r="A70">
        <v>48</v>
      </c>
      <c r="B70">
        <f t="shared" si="9"/>
        <v>26.076000000000001</v>
      </c>
      <c r="C70" s="75">
        <f>B70*LBP/'G&amp;H'!$K$7</f>
        <v>5676139393.939395</v>
      </c>
      <c r="D70" s="75">
        <f>0.075/((LOG10(C70)-2)^2)+'G&amp;H'!$D$17/1000</f>
        <v>1.0564342197248134E-3</v>
      </c>
      <c r="E70">
        <f>D70*0.5*1.025*'G&amp;H'!$K$19*Tools1!B70^2</f>
        <v>4011.2153303850318</v>
      </c>
      <c r="AG70" s="135" t="e">
        <f t="shared" si="15"/>
        <v>#N/A</v>
      </c>
      <c r="AH70" s="136">
        <v>69</v>
      </c>
      <c r="AI70" s="138"/>
      <c r="AJ70" s="138"/>
      <c r="AK70" s="138"/>
      <c r="AL70" s="138"/>
      <c r="AM70" s="138"/>
      <c r="AN70" s="138"/>
      <c r="AO70" s="138"/>
      <c r="AP70" s="138"/>
      <c r="AQ70" s="138"/>
      <c r="AR70" s="138"/>
      <c r="AS70" s="138"/>
      <c r="AT70" s="138"/>
      <c r="AU70" s="138"/>
      <c r="AV70" s="138"/>
      <c r="AW70" s="138"/>
      <c r="AX70" s="138"/>
      <c r="AY70" s="138"/>
      <c r="AZ70" s="138"/>
      <c r="BA70" s="138"/>
      <c r="BB70" s="138"/>
      <c r="BC70" s="138"/>
      <c r="BD70" s="138"/>
      <c r="BE70" s="138"/>
      <c r="BF70" s="138"/>
      <c r="BG70" s="136" t="b">
        <f t="shared" si="16"/>
        <v>0</v>
      </c>
      <c r="BH70" s="136">
        <f>ROW()</f>
        <v>70</v>
      </c>
      <c r="BI70" s="136">
        <v>69</v>
      </c>
      <c r="BJ70" s="136" t="str">
        <f t="shared" si="18"/>
        <v>NA</v>
      </c>
      <c r="BK70" s="136" t="e">
        <f t="shared" si="19"/>
        <v>#N/A</v>
      </c>
      <c r="BL70" s="136" t="str">
        <f t="shared" si="19"/>
        <v xml:space="preserve"> </v>
      </c>
      <c r="BM70" s="136" t="str">
        <f t="shared" si="19"/>
        <v xml:space="preserve"> </v>
      </c>
      <c r="BN70" s="136" t="str">
        <f t="shared" si="19"/>
        <v xml:space="preserve"> </v>
      </c>
      <c r="BO70" s="136" t="str">
        <f t="shared" si="19"/>
        <v xml:space="preserve"> </v>
      </c>
      <c r="BP70" s="136" t="str">
        <f t="shared" si="19"/>
        <v xml:space="preserve"> </v>
      </c>
      <c r="BQ70" s="136" t="str">
        <f t="shared" si="19"/>
        <v xml:space="preserve"> </v>
      </c>
      <c r="BR70" s="136" t="str">
        <f t="shared" si="19"/>
        <v xml:space="preserve"> </v>
      </c>
      <c r="BS70" s="136" t="str">
        <f t="shared" si="19"/>
        <v xml:space="preserve"> </v>
      </c>
      <c r="BT70" s="136" t="str">
        <f t="shared" si="19"/>
        <v xml:space="preserve"> </v>
      </c>
      <c r="BU70" s="136" t="str">
        <f t="shared" si="19"/>
        <v xml:space="preserve"> </v>
      </c>
      <c r="BV70" s="136" t="str">
        <f t="shared" si="19"/>
        <v xml:space="preserve"> </v>
      </c>
      <c r="BW70" s="136" t="str">
        <f t="shared" si="19"/>
        <v xml:space="preserve"> </v>
      </c>
      <c r="BX70" s="136" t="str">
        <f t="shared" si="19"/>
        <v xml:space="preserve"> </v>
      </c>
      <c r="BY70" s="136" t="str">
        <f t="shared" si="19"/>
        <v xml:space="preserve"> </v>
      </c>
      <c r="BZ70" s="136" t="str">
        <f t="shared" si="17"/>
        <v xml:space="preserve"> </v>
      </c>
      <c r="CA70" s="136" t="str">
        <f t="shared" si="17"/>
        <v xml:space="preserve"> </v>
      </c>
      <c r="CB70" s="136" t="str">
        <f t="shared" si="17"/>
        <v xml:space="preserve"> </v>
      </c>
      <c r="CC70" s="136" t="str">
        <f t="shared" si="17"/>
        <v xml:space="preserve"> </v>
      </c>
      <c r="CD70" s="136" t="str">
        <f t="shared" si="17"/>
        <v xml:space="preserve"> </v>
      </c>
      <c r="CE70" s="136" t="str">
        <f t="shared" si="17"/>
        <v xml:space="preserve"> </v>
      </c>
      <c r="CF70" s="136" t="str">
        <f t="shared" si="17"/>
        <v xml:space="preserve"> </v>
      </c>
      <c r="CG70" s="136" t="str">
        <f t="shared" si="17"/>
        <v xml:space="preserve"> </v>
      </c>
      <c r="CH70" s="136" t="str">
        <f t="shared" si="17"/>
        <v xml:space="preserve"> </v>
      </c>
    </row>
    <row r="71" spans="1:86" x14ac:dyDescent="0.25">
      <c r="A71">
        <v>49</v>
      </c>
      <c r="B71">
        <f t="shared" si="9"/>
        <v>26.619250000000001</v>
      </c>
      <c r="C71" s="75">
        <f>B71*LBP/'G&amp;H'!$K$7</f>
        <v>5794392297.9797993</v>
      </c>
      <c r="D71" s="75">
        <f>0.075/((LOG10(C71)-2)^2)+'G&amp;H'!$D$17/1000</f>
        <v>1.0535580726081665E-3</v>
      </c>
      <c r="E71">
        <f>D71*0.5*1.025*'G&amp;H'!$K$19*Tools1!B71^2</f>
        <v>4168.7099659696842</v>
      </c>
      <c r="AG71" s="135" t="e">
        <f t="shared" si="15"/>
        <v>#N/A</v>
      </c>
      <c r="AH71" s="136">
        <v>70</v>
      </c>
      <c r="AI71" s="138"/>
      <c r="AJ71" s="138"/>
      <c r="AK71" s="138"/>
      <c r="AL71" s="138"/>
      <c r="AM71" s="138"/>
      <c r="AN71" s="138"/>
      <c r="AO71" s="138"/>
      <c r="AP71" s="138"/>
      <c r="AQ71" s="138"/>
      <c r="AR71" s="138"/>
      <c r="AS71" s="138"/>
      <c r="AT71" s="138"/>
      <c r="AU71" s="138"/>
      <c r="AV71" s="138"/>
      <c r="AW71" s="138"/>
      <c r="AX71" s="138"/>
      <c r="AY71" s="138"/>
      <c r="AZ71" s="138"/>
      <c r="BA71" s="138"/>
      <c r="BB71" s="138"/>
      <c r="BC71" s="138"/>
      <c r="BD71" s="138"/>
      <c r="BE71" s="138"/>
      <c r="BF71" s="138"/>
      <c r="BG71" s="136" t="b">
        <f t="shared" si="16"/>
        <v>0</v>
      </c>
      <c r="BH71" s="136">
        <f>ROW()</f>
        <v>71</v>
      </c>
      <c r="BI71" s="136">
        <v>70</v>
      </c>
      <c r="BJ71" s="136" t="str">
        <f t="shared" si="18"/>
        <v>NA</v>
      </c>
      <c r="BK71" s="136" t="e">
        <f t="shared" si="19"/>
        <v>#N/A</v>
      </c>
      <c r="BL71" s="136" t="str">
        <f t="shared" si="19"/>
        <v xml:space="preserve"> </v>
      </c>
      <c r="BM71" s="136" t="str">
        <f t="shared" si="19"/>
        <v xml:space="preserve"> </v>
      </c>
      <c r="BN71" s="136" t="str">
        <f t="shared" si="19"/>
        <v xml:space="preserve"> </v>
      </c>
      <c r="BO71" s="136" t="str">
        <f t="shared" si="19"/>
        <v xml:space="preserve"> </v>
      </c>
      <c r="BP71" s="136" t="str">
        <f t="shared" si="19"/>
        <v xml:space="preserve"> </v>
      </c>
      <c r="BQ71" s="136" t="str">
        <f t="shared" si="19"/>
        <v xml:space="preserve"> </v>
      </c>
      <c r="BR71" s="136" t="str">
        <f t="shared" si="19"/>
        <v xml:space="preserve"> </v>
      </c>
      <c r="BS71" s="136" t="str">
        <f t="shared" si="19"/>
        <v xml:space="preserve"> </v>
      </c>
      <c r="BT71" s="136" t="str">
        <f t="shared" si="19"/>
        <v xml:space="preserve"> </v>
      </c>
      <c r="BU71" s="136" t="str">
        <f t="shared" si="19"/>
        <v xml:space="preserve"> </v>
      </c>
      <c r="BV71" s="136" t="str">
        <f t="shared" si="19"/>
        <v xml:space="preserve"> </v>
      </c>
      <c r="BW71" s="136" t="str">
        <f t="shared" si="19"/>
        <v xml:space="preserve"> </v>
      </c>
      <c r="BX71" s="136" t="str">
        <f t="shared" si="19"/>
        <v xml:space="preserve"> </v>
      </c>
      <c r="BY71" s="136" t="str">
        <f t="shared" si="19"/>
        <v xml:space="preserve"> </v>
      </c>
      <c r="BZ71" s="136" t="str">
        <f t="shared" si="17"/>
        <v xml:space="preserve"> </v>
      </c>
      <c r="CA71" s="136" t="str">
        <f t="shared" si="17"/>
        <v xml:space="preserve"> </v>
      </c>
      <c r="CB71" s="136" t="str">
        <f t="shared" si="17"/>
        <v xml:space="preserve"> </v>
      </c>
      <c r="CC71" s="136" t="str">
        <f t="shared" si="17"/>
        <v xml:space="preserve"> </v>
      </c>
      <c r="CD71" s="136" t="str">
        <f t="shared" si="17"/>
        <v xml:space="preserve"> </v>
      </c>
      <c r="CE71" s="136" t="str">
        <f t="shared" si="17"/>
        <v xml:space="preserve"> </v>
      </c>
      <c r="CF71" s="136" t="str">
        <f t="shared" si="17"/>
        <v xml:space="preserve"> </v>
      </c>
      <c r="CG71" s="136" t="str">
        <f t="shared" si="17"/>
        <v xml:space="preserve"> </v>
      </c>
      <c r="CH71" s="136" t="str">
        <f t="shared" si="17"/>
        <v xml:space="preserve"> </v>
      </c>
    </row>
    <row r="72" spans="1:86" x14ac:dyDescent="0.25">
      <c r="A72">
        <v>50</v>
      </c>
      <c r="B72">
        <f t="shared" si="9"/>
        <v>27.162500000000001</v>
      </c>
      <c r="C72" s="75">
        <f>B72*LBP/'G&amp;H'!$K$7</f>
        <v>5912645202.0202036</v>
      </c>
      <c r="D72" s="75">
        <f>0.075/((LOG10(C72)-2)^2)+'G&amp;H'!$D$17/1000</f>
        <v>1.050749670631267E-3</v>
      </c>
      <c r="E72">
        <f>D72*0.5*1.025*'G&amp;H'!$K$19*Tools1!B72^2</f>
        <v>4329.0271803351479</v>
      </c>
      <c r="AG72" s="135" t="e">
        <f t="shared" si="15"/>
        <v>#N/A</v>
      </c>
      <c r="AH72" s="136">
        <v>71</v>
      </c>
      <c r="AI72" s="138"/>
      <c r="AJ72" s="138"/>
      <c r="AK72" s="138"/>
      <c r="AL72" s="138"/>
      <c r="AM72" s="138"/>
      <c r="AN72" s="138"/>
      <c r="AO72" s="138"/>
      <c r="AP72" s="138"/>
      <c r="AQ72" s="138"/>
      <c r="AR72" s="138"/>
      <c r="AS72" s="138"/>
      <c r="AT72" s="138"/>
      <c r="AU72" s="138"/>
      <c r="AV72" s="138"/>
      <c r="AW72" s="138"/>
      <c r="AX72" s="138"/>
      <c r="AY72" s="138"/>
      <c r="AZ72" s="138"/>
      <c r="BA72" s="138"/>
      <c r="BB72" s="138"/>
      <c r="BC72" s="138"/>
      <c r="BD72" s="138"/>
      <c r="BE72" s="138"/>
      <c r="BF72" s="138"/>
      <c r="BG72" s="136" t="b">
        <f t="shared" si="16"/>
        <v>0</v>
      </c>
      <c r="BH72" s="136">
        <f>ROW()</f>
        <v>72</v>
      </c>
      <c r="BI72" s="136">
        <v>71</v>
      </c>
      <c r="BJ72" s="136" t="str">
        <f t="shared" si="18"/>
        <v>NA</v>
      </c>
      <c r="BK72" s="136" t="e">
        <f t="shared" si="19"/>
        <v>#N/A</v>
      </c>
      <c r="BL72" s="136" t="str">
        <f t="shared" si="19"/>
        <v xml:space="preserve"> </v>
      </c>
      <c r="BM72" s="136" t="str">
        <f t="shared" si="19"/>
        <v xml:space="preserve"> </v>
      </c>
      <c r="BN72" s="136" t="str">
        <f t="shared" si="19"/>
        <v xml:space="preserve"> </v>
      </c>
      <c r="BO72" s="136" t="str">
        <f t="shared" si="19"/>
        <v xml:space="preserve"> </v>
      </c>
      <c r="BP72" s="136" t="str">
        <f t="shared" si="19"/>
        <v xml:space="preserve"> </v>
      </c>
      <c r="BQ72" s="136" t="str">
        <f t="shared" si="19"/>
        <v xml:space="preserve"> </v>
      </c>
      <c r="BR72" s="136" t="str">
        <f t="shared" si="19"/>
        <v xml:space="preserve"> </v>
      </c>
      <c r="BS72" s="136" t="str">
        <f t="shared" si="19"/>
        <v xml:space="preserve"> </v>
      </c>
      <c r="BT72" s="136" t="str">
        <f t="shared" si="19"/>
        <v xml:space="preserve"> </v>
      </c>
      <c r="BU72" s="136" t="str">
        <f t="shared" si="19"/>
        <v xml:space="preserve"> </v>
      </c>
      <c r="BV72" s="136" t="str">
        <f t="shared" si="19"/>
        <v xml:space="preserve"> </v>
      </c>
      <c r="BW72" s="136" t="str">
        <f t="shared" si="19"/>
        <v xml:space="preserve"> </v>
      </c>
      <c r="BX72" s="136" t="str">
        <f t="shared" si="19"/>
        <v xml:space="preserve"> </v>
      </c>
      <c r="BY72" s="136" t="str">
        <f t="shared" si="19"/>
        <v xml:space="preserve"> </v>
      </c>
      <c r="BZ72" s="136" t="str">
        <f t="shared" si="17"/>
        <v xml:space="preserve"> </v>
      </c>
      <c r="CA72" s="136" t="str">
        <f t="shared" si="17"/>
        <v xml:space="preserve"> </v>
      </c>
      <c r="CB72" s="136" t="str">
        <f t="shared" si="17"/>
        <v xml:space="preserve"> </v>
      </c>
      <c r="CC72" s="136" t="str">
        <f t="shared" si="17"/>
        <v xml:space="preserve"> </v>
      </c>
      <c r="CD72" s="136" t="str">
        <f t="shared" si="17"/>
        <v xml:space="preserve"> </v>
      </c>
      <c r="CE72" s="136" t="str">
        <f t="shared" si="17"/>
        <v xml:space="preserve"> </v>
      </c>
      <c r="CF72" s="136" t="str">
        <f t="shared" si="17"/>
        <v xml:space="preserve"> </v>
      </c>
      <c r="CG72" s="136" t="str">
        <f t="shared" si="17"/>
        <v xml:space="preserve"> </v>
      </c>
      <c r="CH72" s="136" t="str">
        <f t="shared" si="17"/>
        <v xml:space="preserve"> </v>
      </c>
    </row>
    <row r="73" spans="1:86" x14ac:dyDescent="0.25">
      <c r="A73">
        <v>51</v>
      </c>
      <c r="B73">
        <f t="shared" si="9"/>
        <v>27.705750000000002</v>
      </c>
      <c r="C73" s="75">
        <f>B73*LBP/'G&amp;H'!$K$7</f>
        <v>6030898106.060607</v>
      </c>
      <c r="D73" s="75">
        <f>0.075/((LOG10(C73)-2)^2)+'G&amp;H'!$D$17/1000</f>
        <v>1.0480060998396929E-3</v>
      </c>
      <c r="E73">
        <f>D73*0.5*1.025*'G&amp;H'!$K$19*Tools1!B73^2</f>
        <v>4492.1598718545174</v>
      </c>
      <c r="AG73" s="135" t="e">
        <f t="shared" si="15"/>
        <v>#N/A</v>
      </c>
      <c r="AH73" s="136">
        <v>72</v>
      </c>
      <c r="AI73" s="138"/>
      <c r="AJ73" s="138"/>
      <c r="AK73" s="138"/>
      <c r="AL73" s="138"/>
      <c r="AM73" s="138"/>
      <c r="AN73" s="138"/>
      <c r="AO73" s="138"/>
      <c r="AP73" s="138"/>
      <c r="AQ73" s="138"/>
      <c r="AR73" s="138"/>
      <c r="AS73" s="138"/>
      <c r="AT73" s="138"/>
      <c r="AU73" s="138"/>
      <c r="AV73" s="138"/>
      <c r="AW73" s="138"/>
      <c r="AX73" s="138"/>
      <c r="AY73" s="138"/>
      <c r="AZ73" s="138"/>
      <c r="BA73" s="138"/>
      <c r="BB73" s="138"/>
      <c r="BC73" s="138"/>
      <c r="BD73" s="138"/>
      <c r="BE73" s="138"/>
      <c r="BF73" s="138"/>
      <c r="BG73" s="136" t="b">
        <f t="shared" si="16"/>
        <v>0</v>
      </c>
      <c r="BH73" s="136">
        <f>ROW()</f>
        <v>73</v>
      </c>
      <c r="BI73" s="136">
        <v>72</v>
      </c>
      <c r="BJ73" s="136" t="str">
        <f t="shared" si="18"/>
        <v>NA</v>
      </c>
      <c r="BK73" s="136" t="e">
        <f t="shared" si="19"/>
        <v>#N/A</v>
      </c>
      <c r="BL73" s="136" t="str">
        <f t="shared" si="19"/>
        <v xml:space="preserve"> </v>
      </c>
      <c r="BM73" s="136" t="str">
        <f t="shared" si="19"/>
        <v xml:space="preserve"> </v>
      </c>
      <c r="BN73" s="136" t="str">
        <f t="shared" si="19"/>
        <v xml:space="preserve"> </v>
      </c>
      <c r="BO73" s="136" t="str">
        <f t="shared" si="19"/>
        <v xml:space="preserve"> </v>
      </c>
      <c r="BP73" s="136" t="str">
        <f t="shared" si="19"/>
        <v xml:space="preserve"> </v>
      </c>
      <c r="BQ73" s="136" t="str">
        <f t="shared" si="19"/>
        <v xml:space="preserve"> </v>
      </c>
      <c r="BR73" s="136" t="str">
        <f t="shared" si="19"/>
        <v xml:space="preserve"> </v>
      </c>
      <c r="BS73" s="136" t="str">
        <f t="shared" si="19"/>
        <v xml:space="preserve"> </v>
      </c>
      <c r="BT73" s="136" t="str">
        <f t="shared" si="19"/>
        <v xml:space="preserve"> </v>
      </c>
      <c r="BU73" s="136" t="str">
        <f t="shared" si="19"/>
        <v xml:space="preserve"> </v>
      </c>
      <c r="BV73" s="136" t="str">
        <f t="shared" si="19"/>
        <v xml:space="preserve"> </v>
      </c>
      <c r="BW73" s="136" t="str">
        <f t="shared" si="19"/>
        <v xml:space="preserve"> </v>
      </c>
      <c r="BX73" s="136" t="str">
        <f t="shared" si="19"/>
        <v xml:space="preserve"> </v>
      </c>
      <c r="BY73" s="136" t="str">
        <f t="shared" si="19"/>
        <v xml:space="preserve"> </v>
      </c>
      <c r="BZ73" s="136" t="str">
        <f t="shared" si="17"/>
        <v xml:space="preserve"> </v>
      </c>
      <c r="CA73" s="136" t="str">
        <f t="shared" si="17"/>
        <v xml:space="preserve"> </v>
      </c>
      <c r="CB73" s="136" t="str">
        <f t="shared" si="17"/>
        <v xml:space="preserve"> </v>
      </c>
      <c r="CC73" s="136" t="str">
        <f t="shared" si="17"/>
        <v xml:space="preserve"> </v>
      </c>
      <c r="CD73" s="136" t="str">
        <f t="shared" si="17"/>
        <v xml:space="preserve"> </v>
      </c>
      <c r="CE73" s="136" t="str">
        <f t="shared" si="17"/>
        <v xml:space="preserve"> </v>
      </c>
      <c r="CF73" s="136" t="str">
        <f t="shared" si="17"/>
        <v xml:space="preserve"> </v>
      </c>
      <c r="CG73" s="136" t="str">
        <f t="shared" si="17"/>
        <v xml:space="preserve"> </v>
      </c>
      <c r="CH73" s="136" t="str">
        <f t="shared" si="17"/>
        <v xml:space="preserve"> </v>
      </c>
    </row>
    <row r="74" spans="1:86" x14ac:dyDescent="0.25">
      <c r="A74">
        <v>52</v>
      </c>
      <c r="B74">
        <f t="shared" si="9"/>
        <v>28.249000000000002</v>
      </c>
      <c r="C74" s="75">
        <f>B74*LBP/'G&amp;H'!$K$7</f>
        <v>6149151010.1010122</v>
      </c>
      <c r="D74" s="75">
        <f>0.075/((LOG10(C74)-2)^2)+'G&amp;H'!$D$17/1000</f>
        <v>1.0453246259343402E-3</v>
      </c>
      <c r="E74">
        <f>D74*0.5*1.025*'G&amp;H'!$K$19*Tools1!B74^2</f>
        <v>4658.1011006999488</v>
      </c>
      <c r="AG74" s="135" t="e">
        <f t="shared" si="15"/>
        <v>#N/A</v>
      </c>
      <c r="AH74" s="136">
        <v>73</v>
      </c>
      <c r="AI74" s="138"/>
      <c r="AJ74" s="138"/>
      <c r="AK74" s="138"/>
      <c r="AL74" s="138"/>
      <c r="AM74" s="138"/>
      <c r="AN74" s="138"/>
      <c r="AO74" s="138"/>
      <c r="AP74" s="138"/>
      <c r="AQ74" s="138"/>
      <c r="AR74" s="138"/>
      <c r="AS74" s="138"/>
      <c r="AT74" s="138"/>
      <c r="AU74" s="138"/>
      <c r="AV74" s="138"/>
      <c r="AW74" s="138"/>
      <c r="AX74" s="138"/>
      <c r="AY74" s="138"/>
      <c r="AZ74" s="138"/>
      <c r="BA74" s="138"/>
      <c r="BB74" s="138"/>
      <c r="BC74" s="138"/>
      <c r="BD74" s="138"/>
      <c r="BE74" s="138"/>
      <c r="BF74" s="138"/>
      <c r="BG74" s="136" t="b">
        <f t="shared" si="16"/>
        <v>0</v>
      </c>
      <c r="BH74" s="136">
        <f>ROW()</f>
        <v>74</v>
      </c>
      <c r="BI74" s="136">
        <v>73</v>
      </c>
      <c r="BJ74" s="136" t="str">
        <f t="shared" si="18"/>
        <v>NA</v>
      </c>
      <c r="BK74" s="136" t="e">
        <f t="shared" si="19"/>
        <v>#N/A</v>
      </c>
      <c r="BL74" s="136" t="str">
        <f t="shared" si="19"/>
        <v xml:space="preserve"> </v>
      </c>
      <c r="BM74" s="136" t="str">
        <f t="shared" si="19"/>
        <v xml:space="preserve"> </v>
      </c>
      <c r="BN74" s="136" t="str">
        <f t="shared" si="19"/>
        <v xml:space="preserve"> </v>
      </c>
      <c r="BO74" s="136" t="str">
        <f t="shared" si="19"/>
        <v xml:space="preserve"> </v>
      </c>
      <c r="BP74" s="136" t="str">
        <f t="shared" si="19"/>
        <v xml:space="preserve"> </v>
      </c>
      <c r="BQ74" s="136" t="str">
        <f t="shared" si="19"/>
        <v xml:space="preserve"> </v>
      </c>
      <c r="BR74" s="136" t="str">
        <f t="shared" si="19"/>
        <v xml:space="preserve"> </v>
      </c>
      <c r="BS74" s="136" t="str">
        <f t="shared" si="19"/>
        <v xml:space="preserve"> </v>
      </c>
      <c r="BT74" s="136" t="str">
        <f t="shared" si="19"/>
        <v xml:space="preserve"> </v>
      </c>
      <c r="BU74" s="136" t="str">
        <f t="shared" si="19"/>
        <v xml:space="preserve"> </v>
      </c>
      <c r="BV74" s="136" t="str">
        <f t="shared" si="19"/>
        <v xml:space="preserve"> </v>
      </c>
      <c r="BW74" s="136" t="str">
        <f t="shared" si="19"/>
        <v xml:space="preserve"> </v>
      </c>
      <c r="BX74" s="136" t="str">
        <f t="shared" si="19"/>
        <v xml:space="preserve"> </v>
      </c>
      <c r="BY74" s="136" t="str">
        <f t="shared" si="19"/>
        <v xml:space="preserve"> </v>
      </c>
      <c r="BZ74" s="136" t="str">
        <f t="shared" si="17"/>
        <v xml:space="preserve"> </v>
      </c>
      <c r="CA74" s="136" t="str">
        <f t="shared" si="17"/>
        <v xml:space="preserve"> </v>
      </c>
      <c r="CB74" s="136" t="str">
        <f t="shared" si="17"/>
        <v xml:space="preserve"> </v>
      </c>
      <c r="CC74" s="136" t="str">
        <f t="shared" si="17"/>
        <v xml:space="preserve"> </v>
      </c>
      <c r="CD74" s="136" t="str">
        <f t="shared" si="17"/>
        <v xml:space="preserve"> </v>
      </c>
      <c r="CE74" s="136" t="str">
        <f t="shared" si="17"/>
        <v xml:space="preserve"> </v>
      </c>
      <c r="CF74" s="136" t="str">
        <f t="shared" si="17"/>
        <v xml:space="preserve"> </v>
      </c>
      <c r="CG74" s="136" t="str">
        <f t="shared" si="17"/>
        <v xml:space="preserve"> </v>
      </c>
      <c r="CH74" s="136" t="str">
        <f t="shared" si="17"/>
        <v xml:space="preserve"> </v>
      </c>
    </row>
    <row r="75" spans="1:86" x14ac:dyDescent="0.25">
      <c r="A75">
        <v>53</v>
      </c>
      <c r="B75">
        <f t="shared" si="9"/>
        <v>28.792249999999999</v>
      </c>
      <c r="C75" s="75">
        <f>B75*LBP/'G&amp;H'!$K$7</f>
        <v>6267403914.1414156</v>
      </c>
      <c r="D75" s="75">
        <f>0.075/((LOG10(C75)-2)^2)+'G&amp;H'!$D$17/1000</f>
        <v>1.0427026799781317E-3</v>
      </c>
      <c r="E75">
        <f>D75*0.5*1.025*'G&amp;H'!$K$19*Tools1!B75^2</f>
        <v>4826.8440820696351</v>
      </c>
      <c r="AG75" s="135" t="e">
        <f t="shared" si="15"/>
        <v>#N/A</v>
      </c>
      <c r="AH75" s="136">
        <v>74</v>
      </c>
      <c r="AI75" s="138"/>
      <c r="AJ75" s="138"/>
      <c r="AK75" s="138"/>
      <c r="AL75" s="138"/>
      <c r="AM75" s="138"/>
      <c r="AN75" s="138"/>
      <c r="AO75" s="138"/>
      <c r="AP75" s="138"/>
      <c r="AQ75" s="138"/>
      <c r="AR75" s="138"/>
      <c r="AS75" s="138"/>
      <c r="AT75" s="138"/>
      <c r="AU75" s="138"/>
      <c r="AV75" s="138"/>
      <c r="AW75" s="138"/>
      <c r="AX75" s="138"/>
      <c r="AY75" s="138"/>
      <c r="AZ75" s="138"/>
      <c r="BA75" s="138"/>
      <c r="BB75" s="138"/>
      <c r="BC75" s="138"/>
      <c r="BD75" s="138"/>
      <c r="BE75" s="138"/>
      <c r="BF75" s="138"/>
      <c r="BG75" s="136" t="b">
        <f t="shared" si="16"/>
        <v>0</v>
      </c>
      <c r="BH75" s="136">
        <f>ROW()</f>
        <v>75</v>
      </c>
      <c r="BI75" s="136">
        <v>74</v>
      </c>
      <c r="BJ75" s="136" t="str">
        <f t="shared" si="18"/>
        <v>NA</v>
      </c>
      <c r="BK75" s="136" t="e">
        <f t="shared" si="19"/>
        <v>#N/A</v>
      </c>
      <c r="BL75" s="136" t="str">
        <f t="shared" si="19"/>
        <v xml:space="preserve"> </v>
      </c>
      <c r="BM75" s="136" t="str">
        <f t="shared" si="19"/>
        <v xml:space="preserve"> </v>
      </c>
      <c r="BN75" s="136" t="str">
        <f t="shared" si="19"/>
        <v xml:space="preserve"> </v>
      </c>
      <c r="BO75" s="136" t="str">
        <f t="shared" si="19"/>
        <v xml:space="preserve"> </v>
      </c>
      <c r="BP75" s="136" t="str">
        <f t="shared" si="19"/>
        <v xml:space="preserve"> </v>
      </c>
      <c r="BQ75" s="136" t="str">
        <f t="shared" si="19"/>
        <v xml:space="preserve"> </v>
      </c>
      <c r="BR75" s="136" t="str">
        <f t="shared" si="19"/>
        <v xml:space="preserve"> </v>
      </c>
      <c r="BS75" s="136" t="str">
        <f t="shared" si="19"/>
        <v xml:space="preserve"> </v>
      </c>
      <c r="BT75" s="136" t="str">
        <f t="shared" si="19"/>
        <v xml:space="preserve"> </v>
      </c>
      <c r="BU75" s="136" t="str">
        <f t="shared" si="19"/>
        <v xml:space="preserve"> </v>
      </c>
      <c r="BV75" s="136" t="str">
        <f t="shared" si="19"/>
        <v xml:space="preserve"> </v>
      </c>
      <c r="BW75" s="136" t="str">
        <f t="shared" si="19"/>
        <v xml:space="preserve"> </v>
      </c>
      <c r="BX75" s="136" t="str">
        <f t="shared" si="19"/>
        <v xml:space="preserve"> </v>
      </c>
      <c r="BY75" s="136" t="str">
        <f t="shared" si="19"/>
        <v xml:space="preserve"> </v>
      </c>
      <c r="BZ75" s="136" t="str">
        <f t="shared" si="17"/>
        <v xml:space="preserve"> </v>
      </c>
      <c r="CA75" s="136" t="str">
        <f t="shared" si="17"/>
        <v xml:space="preserve"> </v>
      </c>
      <c r="CB75" s="136" t="str">
        <f t="shared" si="17"/>
        <v xml:space="preserve"> </v>
      </c>
      <c r="CC75" s="136" t="str">
        <f t="shared" si="17"/>
        <v xml:space="preserve"> </v>
      </c>
      <c r="CD75" s="136" t="str">
        <f t="shared" si="17"/>
        <v xml:space="preserve"> </v>
      </c>
      <c r="CE75" s="136" t="str">
        <f t="shared" si="17"/>
        <v xml:space="preserve"> </v>
      </c>
      <c r="CF75" s="136" t="str">
        <f t="shared" si="17"/>
        <v xml:space="preserve"> </v>
      </c>
      <c r="CG75" s="136" t="str">
        <f t="shared" si="17"/>
        <v xml:space="preserve"> </v>
      </c>
      <c r="CH75" s="136" t="str">
        <f t="shared" si="17"/>
        <v xml:space="preserve"> </v>
      </c>
    </row>
    <row r="76" spans="1:86" x14ac:dyDescent="0.25">
      <c r="A76">
        <v>54</v>
      </c>
      <c r="B76">
        <f t="shared" si="9"/>
        <v>29.3355</v>
      </c>
      <c r="C76" s="75">
        <f>B76*LBP/'G&amp;H'!$K$7</f>
        <v>6385656818.181819</v>
      </c>
      <c r="D76" s="75">
        <f>0.075/((LOG10(C76)-2)^2)+'G&amp;H'!$D$17/1000</f>
        <v>1.0401378454860907E-3</v>
      </c>
      <c r="E76">
        <f>D76*0.5*1.025*'G&amp;H'!$K$19*Tools1!B76^2</f>
        <v>4998.3821798222643</v>
      </c>
      <c r="AG76" s="135" t="e">
        <f t="shared" si="15"/>
        <v>#N/A</v>
      </c>
      <c r="AH76" s="136">
        <v>75</v>
      </c>
      <c r="AI76" s="138"/>
      <c r="AJ76" s="138"/>
      <c r="AK76" s="138"/>
      <c r="AL76" s="138"/>
      <c r="AM76" s="138"/>
      <c r="AN76" s="138"/>
      <c r="AO76" s="138"/>
      <c r="AP76" s="138"/>
      <c r="AQ76" s="138"/>
      <c r="AR76" s="138"/>
      <c r="AS76" s="138"/>
      <c r="AT76" s="138"/>
      <c r="AU76" s="138"/>
      <c r="AV76" s="138"/>
      <c r="AW76" s="138"/>
      <c r="AX76" s="138"/>
      <c r="AY76" s="138"/>
      <c r="AZ76" s="138"/>
      <c r="BA76" s="138"/>
      <c r="BB76" s="138"/>
      <c r="BC76" s="138"/>
      <c r="BD76" s="138"/>
      <c r="BE76" s="138"/>
      <c r="BF76" s="138"/>
      <c r="BG76" s="136" t="b">
        <f t="shared" si="16"/>
        <v>0</v>
      </c>
      <c r="BH76" s="136">
        <f>ROW()</f>
        <v>76</v>
      </c>
      <c r="BI76" s="136">
        <v>75</v>
      </c>
      <c r="BJ76" s="136" t="str">
        <f t="shared" si="18"/>
        <v>NA</v>
      </c>
      <c r="BK76" s="136" t="e">
        <f t="shared" si="19"/>
        <v>#N/A</v>
      </c>
      <c r="BL76" s="136" t="str">
        <f t="shared" si="19"/>
        <v xml:space="preserve"> </v>
      </c>
      <c r="BM76" s="136" t="str">
        <f t="shared" si="19"/>
        <v xml:space="preserve"> </v>
      </c>
      <c r="BN76" s="136" t="str">
        <f t="shared" si="19"/>
        <v xml:space="preserve"> </v>
      </c>
      <c r="BO76" s="136" t="str">
        <f t="shared" si="19"/>
        <v xml:space="preserve"> </v>
      </c>
      <c r="BP76" s="136" t="str">
        <f t="shared" si="19"/>
        <v xml:space="preserve"> </v>
      </c>
      <c r="BQ76" s="136" t="str">
        <f t="shared" si="19"/>
        <v xml:space="preserve"> </v>
      </c>
      <c r="BR76" s="136" t="str">
        <f t="shared" si="19"/>
        <v xml:space="preserve"> </v>
      </c>
      <c r="BS76" s="136" t="str">
        <f t="shared" si="19"/>
        <v xml:space="preserve"> </v>
      </c>
      <c r="BT76" s="136" t="str">
        <f t="shared" si="19"/>
        <v xml:space="preserve"> </v>
      </c>
      <c r="BU76" s="136" t="str">
        <f t="shared" si="19"/>
        <v xml:space="preserve"> </v>
      </c>
      <c r="BV76" s="136" t="str">
        <f t="shared" si="19"/>
        <v xml:space="preserve"> </v>
      </c>
      <c r="BW76" s="136" t="str">
        <f t="shared" si="19"/>
        <v xml:space="preserve"> </v>
      </c>
      <c r="BX76" s="136" t="str">
        <f t="shared" si="19"/>
        <v xml:space="preserve"> </v>
      </c>
      <c r="BY76" s="136" t="str">
        <f t="shared" si="19"/>
        <v xml:space="preserve"> </v>
      </c>
      <c r="BZ76" s="136" t="str">
        <f t="shared" si="17"/>
        <v xml:space="preserve"> </v>
      </c>
      <c r="CA76" s="136" t="str">
        <f t="shared" si="17"/>
        <v xml:space="preserve"> </v>
      </c>
      <c r="CB76" s="136" t="str">
        <f t="shared" si="17"/>
        <v xml:space="preserve"> </v>
      </c>
      <c r="CC76" s="136" t="str">
        <f t="shared" si="17"/>
        <v xml:space="preserve"> </v>
      </c>
      <c r="CD76" s="136" t="str">
        <f t="shared" si="17"/>
        <v xml:space="preserve"> </v>
      </c>
      <c r="CE76" s="136" t="str">
        <f t="shared" si="17"/>
        <v xml:space="preserve"> </v>
      </c>
      <c r="CF76" s="136" t="str">
        <f t="shared" si="17"/>
        <v xml:space="preserve"> </v>
      </c>
      <c r="CG76" s="136" t="str">
        <f t="shared" si="17"/>
        <v xml:space="preserve"> </v>
      </c>
      <c r="CH76" s="136" t="str">
        <f t="shared" si="17"/>
        <v xml:space="preserve"> </v>
      </c>
    </row>
    <row r="77" spans="1:86" x14ac:dyDescent="0.25">
      <c r="A77">
        <v>55</v>
      </c>
      <c r="B77">
        <f t="shared" si="9"/>
        <v>29.87875</v>
      </c>
      <c r="C77" s="75">
        <f>B77*LBP/'G&amp;H'!$K$7</f>
        <v>6503909722.2222233</v>
      </c>
      <c r="D77" s="75">
        <f>0.075/((LOG10(C77)-2)^2)+'G&amp;H'!$D$17/1000</f>
        <v>1.037627846741951E-3</v>
      </c>
      <c r="E77">
        <f>D77*0.5*1.025*'G&amp;H'!$K$19*Tools1!B77^2</f>
        <v>5172.7089004872796</v>
      </c>
      <c r="AG77" s="135" t="e">
        <f t="shared" si="15"/>
        <v>#N/A</v>
      </c>
      <c r="AH77" s="136">
        <v>76</v>
      </c>
      <c r="AI77" s="138"/>
      <c r="AJ77" s="138"/>
      <c r="AK77" s="138"/>
      <c r="AL77" s="138"/>
      <c r="AM77" s="138"/>
      <c r="AN77" s="138"/>
      <c r="AO77" s="138"/>
      <c r="AP77" s="138"/>
      <c r="AQ77" s="138"/>
      <c r="AR77" s="138"/>
      <c r="AS77" s="138"/>
      <c r="AT77" s="138"/>
      <c r="AU77" s="138"/>
      <c r="AV77" s="138"/>
      <c r="AW77" s="138"/>
      <c r="AX77" s="138"/>
      <c r="AY77" s="138"/>
      <c r="AZ77" s="138"/>
      <c r="BA77" s="138"/>
      <c r="BB77" s="138"/>
      <c r="BC77" s="138"/>
      <c r="BD77" s="138"/>
      <c r="BE77" s="138"/>
      <c r="BF77" s="138"/>
      <c r="BG77" s="136" t="b">
        <f t="shared" si="16"/>
        <v>0</v>
      </c>
      <c r="BH77" s="136">
        <f>ROW()</f>
        <v>77</v>
      </c>
      <c r="BI77" s="136">
        <v>76</v>
      </c>
      <c r="BJ77" s="136" t="str">
        <f t="shared" si="18"/>
        <v>NA</v>
      </c>
      <c r="BK77" s="136" t="e">
        <f t="shared" si="19"/>
        <v>#N/A</v>
      </c>
      <c r="BL77" s="136" t="str">
        <f t="shared" si="19"/>
        <v xml:space="preserve"> </v>
      </c>
      <c r="BM77" s="136" t="str">
        <f t="shared" si="19"/>
        <v xml:space="preserve"> </v>
      </c>
      <c r="BN77" s="136" t="str">
        <f t="shared" si="19"/>
        <v xml:space="preserve"> </v>
      </c>
      <c r="BO77" s="136" t="str">
        <f t="shared" si="19"/>
        <v xml:space="preserve"> </v>
      </c>
      <c r="BP77" s="136" t="str">
        <f t="shared" si="19"/>
        <v xml:space="preserve"> </v>
      </c>
      <c r="BQ77" s="136" t="str">
        <f t="shared" si="19"/>
        <v xml:space="preserve"> </v>
      </c>
      <c r="BR77" s="136" t="str">
        <f t="shared" si="19"/>
        <v xml:space="preserve"> </v>
      </c>
      <c r="BS77" s="136" t="str">
        <f t="shared" si="19"/>
        <v xml:space="preserve"> </v>
      </c>
      <c r="BT77" s="136" t="str">
        <f t="shared" si="19"/>
        <v xml:space="preserve"> </v>
      </c>
      <c r="BU77" s="136" t="str">
        <f t="shared" si="19"/>
        <v xml:space="preserve"> </v>
      </c>
      <c r="BV77" s="136" t="str">
        <f t="shared" si="19"/>
        <v xml:space="preserve"> </v>
      </c>
      <c r="BW77" s="136" t="str">
        <f t="shared" si="19"/>
        <v xml:space="preserve"> </v>
      </c>
      <c r="BX77" s="136" t="str">
        <f t="shared" si="19"/>
        <v xml:space="preserve"> </v>
      </c>
      <c r="BY77" s="136" t="str">
        <f t="shared" si="19"/>
        <v xml:space="preserve"> </v>
      </c>
      <c r="BZ77" s="136" t="str">
        <f t="shared" si="17"/>
        <v xml:space="preserve"> </v>
      </c>
      <c r="CA77" s="136" t="str">
        <f t="shared" si="17"/>
        <v xml:space="preserve"> </v>
      </c>
      <c r="CB77" s="136" t="str">
        <f t="shared" si="17"/>
        <v xml:space="preserve"> </v>
      </c>
      <c r="CC77" s="136" t="str">
        <f t="shared" si="17"/>
        <v xml:space="preserve"> </v>
      </c>
      <c r="CD77" s="136" t="str">
        <f t="shared" si="17"/>
        <v xml:space="preserve"> </v>
      </c>
      <c r="CE77" s="136" t="str">
        <f t="shared" si="17"/>
        <v xml:space="preserve"> </v>
      </c>
      <c r="CF77" s="136" t="str">
        <f t="shared" si="17"/>
        <v xml:space="preserve"> </v>
      </c>
      <c r="CG77" s="136" t="str">
        <f t="shared" si="17"/>
        <v xml:space="preserve"> </v>
      </c>
      <c r="CH77" s="136" t="str">
        <f t="shared" si="17"/>
        <v xml:space="preserve"> </v>
      </c>
    </row>
    <row r="78" spans="1:86" x14ac:dyDescent="0.25">
      <c r="A78">
        <v>56</v>
      </c>
      <c r="B78">
        <f t="shared" si="9"/>
        <v>30.422000000000001</v>
      </c>
      <c r="C78" s="75">
        <f>B78*LBP/'G&amp;H'!$K$7</f>
        <v>6622162626.2626276</v>
      </c>
      <c r="D78" s="75">
        <f>0.075/((LOG10(C78)-2)^2)+'G&amp;H'!$D$17/1000</f>
        <v>1.0351705382047481E-3</v>
      </c>
      <c r="E78">
        <f>D78*0.5*1.025*'G&amp;H'!$K$19*Tools1!B78^2</f>
        <v>5349.8178876222091</v>
      </c>
      <c r="AG78" s="135" t="e">
        <f t="shared" si="15"/>
        <v>#N/A</v>
      </c>
      <c r="AH78" s="136">
        <v>77</v>
      </c>
      <c r="AI78" s="138"/>
      <c r="AJ78" s="138"/>
      <c r="AK78" s="138"/>
      <c r="AL78" s="138"/>
      <c r="AM78" s="138"/>
      <c r="AN78" s="138"/>
      <c r="AO78" s="138"/>
      <c r="AP78" s="138"/>
      <c r="AQ78" s="138"/>
      <c r="AR78" s="138"/>
      <c r="AS78" s="138"/>
      <c r="AT78" s="138"/>
      <c r="AU78" s="138"/>
      <c r="AV78" s="138"/>
      <c r="AW78" s="138"/>
      <c r="AX78" s="138"/>
      <c r="AY78" s="138"/>
      <c r="AZ78" s="138"/>
      <c r="BA78" s="138"/>
      <c r="BB78" s="138"/>
      <c r="BC78" s="138"/>
      <c r="BD78" s="138"/>
      <c r="BE78" s="138"/>
      <c r="BF78" s="138"/>
      <c r="BG78" s="136" t="b">
        <f t="shared" si="16"/>
        <v>0</v>
      </c>
      <c r="BH78" s="136">
        <f>ROW()</f>
        <v>78</v>
      </c>
      <c r="BI78" s="136">
        <v>77</v>
      </c>
      <c r="BJ78" s="136" t="str">
        <f t="shared" si="18"/>
        <v>NA</v>
      </c>
      <c r="BK78" s="136" t="e">
        <f t="shared" si="19"/>
        <v>#N/A</v>
      </c>
      <c r="BL78" s="136" t="str">
        <f t="shared" si="19"/>
        <v xml:space="preserve"> </v>
      </c>
      <c r="BM78" s="136" t="str">
        <f t="shared" si="19"/>
        <v xml:space="preserve"> </v>
      </c>
      <c r="BN78" s="136" t="str">
        <f t="shared" si="19"/>
        <v xml:space="preserve"> </v>
      </c>
      <c r="BO78" s="136" t="str">
        <f t="shared" si="19"/>
        <v xml:space="preserve"> </v>
      </c>
      <c r="BP78" s="136" t="str">
        <f t="shared" si="19"/>
        <v xml:space="preserve"> </v>
      </c>
      <c r="BQ78" s="136" t="str">
        <f t="shared" si="19"/>
        <v xml:space="preserve"> </v>
      </c>
      <c r="BR78" s="136" t="str">
        <f t="shared" si="19"/>
        <v xml:space="preserve"> </v>
      </c>
      <c r="BS78" s="136" t="str">
        <f t="shared" si="19"/>
        <v xml:space="preserve"> </v>
      </c>
      <c r="BT78" s="136" t="str">
        <f t="shared" si="19"/>
        <v xml:space="preserve"> </v>
      </c>
      <c r="BU78" s="136" t="str">
        <f t="shared" si="19"/>
        <v xml:space="preserve"> </v>
      </c>
      <c r="BV78" s="136" t="str">
        <f t="shared" si="19"/>
        <v xml:space="preserve"> </v>
      </c>
      <c r="BW78" s="136" t="str">
        <f t="shared" si="19"/>
        <v xml:space="preserve"> </v>
      </c>
      <c r="BX78" s="136" t="str">
        <f t="shared" si="19"/>
        <v xml:space="preserve"> </v>
      </c>
      <c r="BY78" s="136" t="str">
        <f t="shared" si="19"/>
        <v xml:space="preserve"> </v>
      </c>
      <c r="BZ78" s="136" t="str">
        <f t="shared" si="17"/>
        <v xml:space="preserve"> </v>
      </c>
      <c r="CA78" s="136" t="str">
        <f t="shared" si="17"/>
        <v xml:space="preserve"> </v>
      </c>
      <c r="CB78" s="136" t="str">
        <f t="shared" si="17"/>
        <v xml:space="preserve"> </v>
      </c>
      <c r="CC78" s="136" t="str">
        <f t="shared" si="17"/>
        <v xml:space="preserve"> </v>
      </c>
      <c r="CD78" s="136" t="str">
        <f t="shared" si="17"/>
        <v xml:space="preserve"> </v>
      </c>
      <c r="CE78" s="136" t="str">
        <f t="shared" si="17"/>
        <v xml:space="preserve"> </v>
      </c>
      <c r="CF78" s="136" t="str">
        <f t="shared" si="17"/>
        <v xml:space="preserve"> </v>
      </c>
      <c r="CG78" s="136" t="str">
        <f t="shared" si="17"/>
        <v xml:space="preserve"> </v>
      </c>
      <c r="CH78" s="136" t="str">
        <f t="shared" si="17"/>
        <v xml:space="preserve"> </v>
      </c>
    </row>
    <row r="79" spans="1:86" x14ac:dyDescent="0.25">
      <c r="A79">
        <v>57</v>
      </c>
      <c r="B79">
        <f t="shared" si="9"/>
        <v>30.965250000000001</v>
      </c>
      <c r="C79" s="75">
        <f>B79*LBP/'G&amp;H'!$K$7</f>
        <v>6740415530.3030319</v>
      </c>
      <c r="D79" s="75">
        <f>0.075/((LOG10(C79)-2)^2)+'G&amp;H'!$D$17/1000</f>
        <v>1.0327638948862078E-3</v>
      </c>
      <c r="E79">
        <f>D79*0.5*1.025*'G&amp;H'!$K$19*Tools1!B79^2</f>
        <v>5529.7029164911273</v>
      </c>
      <c r="AG79" s="135" t="e">
        <f t="shared" si="15"/>
        <v>#N/A</v>
      </c>
      <c r="AH79" s="136">
        <v>78</v>
      </c>
      <c r="AI79" s="138"/>
      <c r="AJ79" s="138"/>
      <c r="AK79" s="138"/>
      <c r="AL79" s="138"/>
      <c r="AM79" s="138"/>
      <c r="AN79" s="138"/>
      <c r="AO79" s="138"/>
      <c r="AP79" s="138"/>
      <c r="AQ79" s="138"/>
      <c r="AR79" s="138"/>
      <c r="AS79" s="138"/>
      <c r="AT79" s="138"/>
      <c r="AU79" s="138"/>
      <c r="AV79" s="138"/>
      <c r="AW79" s="138"/>
      <c r="AX79" s="138"/>
      <c r="AY79" s="138"/>
      <c r="AZ79" s="138"/>
      <c r="BA79" s="138"/>
      <c r="BB79" s="138"/>
      <c r="BC79" s="138"/>
      <c r="BD79" s="138"/>
      <c r="BE79" s="138"/>
      <c r="BF79" s="138"/>
      <c r="BG79" s="136" t="b">
        <f t="shared" si="16"/>
        <v>0</v>
      </c>
      <c r="BH79" s="136">
        <f>ROW()</f>
        <v>79</v>
      </c>
      <c r="BI79" s="136">
        <v>78</v>
      </c>
      <c r="BJ79" s="136" t="str">
        <f t="shared" si="18"/>
        <v>NA</v>
      </c>
      <c r="BK79" s="136" t="e">
        <f t="shared" si="19"/>
        <v>#N/A</v>
      </c>
      <c r="BL79" s="136" t="str">
        <f t="shared" si="19"/>
        <v xml:space="preserve"> </v>
      </c>
      <c r="BM79" s="136" t="str">
        <f t="shared" si="19"/>
        <v xml:space="preserve"> </v>
      </c>
      <c r="BN79" s="136" t="str">
        <f t="shared" si="19"/>
        <v xml:space="preserve"> </v>
      </c>
      <c r="BO79" s="136" t="str">
        <f t="shared" si="19"/>
        <v xml:space="preserve"> </v>
      </c>
      <c r="BP79" s="136" t="str">
        <f t="shared" si="19"/>
        <v xml:space="preserve"> </v>
      </c>
      <c r="BQ79" s="136" t="str">
        <f t="shared" si="19"/>
        <v xml:space="preserve"> </v>
      </c>
      <c r="BR79" s="136" t="str">
        <f t="shared" si="19"/>
        <v xml:space="preserve"> </v>
      </c>
      <c r="BS79" s="136" t="str">
        <f t="shared" si="19"/>
        <v xml:space="preserve"> </v>
      </c>
      <c r="BT79" s="136" t="str">
        <f t="shared" si="19"/>
        <v xml:space="preserve"> </v>
      </c>
      <c r="BU79" s="136" t="str">
        <f t="shared" si="19"/>
        <v xml:space="preserve"> </v>
      </c>
      <c r="BV79" s="136" t="str">
        <f t="shared" si="19"/>
        <v xml:space="preserve"> </v>
      </c>
      <c r="BW79" s="136" t="str">
        <f t="shared" si="19"/>
        <v xml:space="preserve"> </v>
      </c>
      <c r="BX79" s="136" t="str">
        <f t="shared" si="19"/>
        <v xml:space="preserve"> </v>
      </c>
      <c r="BY79" s="136" t="str">
        <f t="shared" si="19"/>
        <v xml:space="preserve"> </v>
      </c>
      <c r="BZ79" s="136" t="str">
        <f t="shared" si="17"/>
        <v xml:space="preserve"> </v>
      </c>
      <c r="CA79" s="136" t="str">
        <f t="shared" si="17"/>
        <v xml:space="preserve"> </v>
      </c>
      <c r="CB79" s="136" t="str">
        <f t="shared" si="17"/>
        <v xml:space="preserve"> </v>
      </c>
      <c r="CC79" s="136" t="str">
        <f t="shared" si="17"/>
        <v xml:space="preserve"> </v>
      </c>
      <c r="CD79" s="136" t="str">
        <f t="shared" si="17"/>
        <v xml:space="preserve"> </v>
      </c>
      <c r="CE79" s="136" t="str">
        <f t="shared" si="17"/>
        <v xml:space="preserve"> </v>
      </c>
      <c r="CF79" s="136" t="str">
        <f t="shared" si="17"/>
        <v xml:space="preserve"> </v>
      </c>
      <c r="CG79" s="136" t="str">
        <f t="shared" si="17"/>
        <v xml:space="preserve"> </v>
      </c>
      <c r="CH79" s="136" t="str">
        <f t="shared" si="17"/>
        <v xml:space="preserve"> </v>
      </c>
    </row>
    <row r="80" spans="1:86" x14ac:dyDescent="0.25">
      <c r="A80">
        <v>58</v>
      </c>
      <c r="B80">
        <f t="shared" si="9"/>
        <v>31.508500000000002</v>
      </c>
      <c r="C80" s="75">
        <f>B80*LBP/'G&amp;H'!$K$7</f>
        <v>6858668434.3434362</v>
      </c>
      <c r="D80" s="75">
        <f>0.075/((LOG10(C80)-2)^2)+'G&amp;H'!$D$17/1000</f>
        <v>1.0304060035946133E-3</v>
      </c>
      <c r="E80">
        <f>D80*0.5*1.025*'G&amp;H'!$K$19*Tools1!B80^2</f>
        <v>5712.357889040527</v>
      </c>
      <c r="AG80" s="135" t="e">
        <f t="shared" si="15"/>
        <v>#N/A</v>
      </c>
      <c r="AH80" s="136">
        <v>79</v>
      </c>
      <c r="AI80" s="138"/>
      <c r="AJ80" s="138"/>
      <c r="AK80" s="138"/>
      <c r="AL80" s="138"/>
      <c r="AM80" s="138"/>
      <c r="AN80" s="138"/>
      <c r="AO80" s="138"/>
      <c r="AP80" s="138"/>
      <c r="AQ80" s="138"/>
      <c r="AR80" s="138"/>
      <c r="AS80" s="138"/>
      <c r="AT80" s="138"/>
      <c r="AU80" s="138"/>
      <c r="AV80" s="138"/>
      <c r="AW80" s="138"/>
      <c r="AX80" s="138"/>
      <c r="AY80" s="138"/>
      <c r="AZ80" s="138"/>
      <c r="BA80" s="138"/>
      <c r="BB80" s="138"/>
      <c r="BC80" s="138"/>
      <c r="BD80" s="138"/>
      <c r="BE80" s="138"/>
      <c r="BF80" s="138"/>
      <c r="BG80" s="136" t="b">
        <f t="shared" si="16"/>
        <v>0</v>
      </c>
      <c r="BH80" s="136">
        <f>ROW()</f>
        <v>80</v>
      </c>
      <c r="BI80" s="136">
        <v>79</v>
      </c>
      <c r="BJ80" s="136" t="str">
        <f t="shared" si="18"/>
        <v>NA</v>
      </c>
      <c r="BK80" s="136" t="e">
        <f t="shared" si="19"/>
        <v>#N/A</v>
      </c>
      <c r="BL80" s="136" t="str">
        <f t="shared" si="19"/>
        <v xml:space="preserve"> </v>
      </c>
      <c r="BM80" s="136" t="str">
        <f t="shared" si="19"/>
        <v xml:space="preserve"> </v>
      </c>
      <c r="BN80" s="136" t="str">
        <f t="shared" si="19"/>
        <v xml:space="preserve"> </v>
      </c>
      <c r="BO80" s="136" t="str">
        <f t="shared" si="19"/>
        <v xml:space="preserve"> </v>
      </c>
      <c r="BP80" s="136" t="str">
        <f t="shared" si="19"/>
        <v xml:space="preserve"> </v>
      </c>
      <c r="BQ80" s="136" t="str">
        <f t="shared" si="19"/>
        <v xml:space="preserve"> </v>
      </c>
      <c r="BR80" s="136" t="str">
        <f t="shared" si="19"/>
        <v xml:space="preserve"> </v>
      </c>
      <c r="BS80" s="136" t="str">
        <f t="shared" si="19"/>
        <v xml:space="preserve"> </v>
      </c>
      <c r="BT80" s="136" t="str">
        <f t="shared" si="19"/>
        <v xml:space="preserve"> </v>
      </c>
      <c r="BU80" s="136" t="str">
        <f t="shared" si="19"/>
        <v xml:space="preserve"> </v>
      </c>
      <c r="BV80" s="136" t="str">
        <f t="shared" si="19"/>
        <v xml:space="preserve"> </v>
      </c>
      <c r="BW80" s="136" t="str">
        <f t="shared" si="19"/>
        <v xml:space="preserve"> </v>
      </c>
      <c r="BX80" s="136" t="str">
        <f t="shared" si="19"/>
        <v xml:space="preserve"> </v>
      </c>
      <c r="BY80" s="136" t="str">
        <f t="shared" si="19"/>
        <v xml:space="preserve"> </v>
      </c>
      <c r="BZ80" s="136" t="str">
        <f t="shared" si="17"/>
        <v xml:space="preserve"> </v>
      </c>
      <c r="CA80" s="136" t="str">
        <f t="shared" si="17"/>
        <v xml:space="preserve"> </v>
      </c>
      <c r="CB80" s="136" t="str">
        <f t="shared" si="17"/>
        <v xml:space="preserve"> </v>
      </c>
      <c r="CC80" s="136" t="str">
        <f t="shared" si="17"/>
        <v xml:space="preserve"> </v>
      </c>
      <c r="CD80" s="136" t="str">
        <f t="shared" si="17"/>
        <v xml:space="preserve"> </v>
      </c>
      <c r="CE80" s="136" t="str">
        <f t="shared" si="17"/>
        <v xml:space="preserve"> </v>
      </c>
      <c r="CF80" s="136" t="str">
        <f t="shared" si="17"/>
        <v xml:space="preserve"> </v>
      </c>
      <c r="CG80" s="136" t="str">
        <f t="shared" si="17"/>
        <v xml:space="preserve"> </v>
      </c>
      <c r="CH80" s="136" t="str">
        <f t="shared" si="17"/>
        <v xml:space="preserve"> </v>
      </c>
    </row>
    <row r="81" spans="1:86" x14ac:dyDescent="0.25">
      <c r="A81">
        <v>59</v>
      </c>
      <c r="B81">
        <f t="shared" si="9"/>
        <v>32.051749999999998</v>
      </c>
      <c r="C81" s="75">
        <f>B81*LBP/'G&amp;H'!$K$7</f>
        <v>6976921338.3838396</v>
      </c>
      <c r="D81" s="75">
        <f>0.075/((LOG10(C81)-2)^2)+'G&amp;H'!$D$17/1000</f>
        <v>1.0280950549536364E-3</v>
      </c>
      <c r="E81">
        <f>D81*0.5*1.025*'G&amp;H'!$K$19*Tools1!B81^2</f>
        <v>5897.7768291511347</v>
      </c>
      <c r="AG81" s="135" t="e">
        <f t="shared" si="15"/>
        <v>#N/A</v>
      </c>
      <c r="AH81" s="136">
        <v>80</v>
      </c>
      <c r="AI81" s="138"/>
      <c r="AJ81" s="138"/>
      <c r="AK81" s="138"/>
      <c r="AL81" s="138"/>
      <c r="AM81" s="138"/>
      <c r="AN81" s="138"/>
      <c r="AO81" s="138"/>
      <c r="AP81" s="138"/>
      <c r="AQ81" s="138"/>
      <c r="AR81" s="138"/>
      <c r="AS81" s="138"/>
      <c r="AT81" s="138"/>
      <c r="AU81" s="138"/>
      <c r="AV81" s="138"/>
      <c r="AW81" s="138"/>
      <c r="AX81" s="138"/>
      <c r="AY81" s="138"/>
      <c r="AZ81" s="138"/>
      <c r="BA81" s="138"/>
      <c r="BB81" s="138"/>
      <c r="BC81" s="138"/>
      <c r="BD81" s="138"/>
      <c r="BE81" s="138"/>
      <c r="BF81" s="138"/>
      <c r="BG81" s="136" t="b">
        <f t="shared" si="16"/>
        <v>0</v>
      </c>
      <c r="BH81" s="136">
        <f>ROW()</f>
        <v>81</v>
      </c>
      <c r="BI81" s="136">
        <v>80</v>
      </c>
      <c r="BJ81" s="136" t="str">
        <f t="shared" si="18"/>
        <v>NA</v>
      </c>
      <c r="BK81" s="136" t="e">
        <f t="shared" si="19"/>
        <v>#N/A</v>
      </c>
      <c r="BL81" s="136" t="str">
        <f t="shared" si="19"/>
        <v xml:space="preserve"> </v>
      </c>
      <c r="BM81" s="136" t="str">
        <f t="shared" si="19"/>
        <v xml:space="preserve"> </v>
      </c>
      <c r="BN81" s="136" t="str">
        <f t="shared" si="19"/>
        <v xml:space="preserve"> </v>
      </c>
      <c r="BO81" s="136" t="str">
        <f t="shared" si="19"/>
        <v xml:space="preserve"> </v>
      </c>
      <c r="BP81" s="136" t="str">
        <f t="shared" si="19"/>
        <v xml:space="preserve"> </v>
      </c>
      <c r="BQ81" s="136" t="str">
        <f t="shared" si="19"/>
        <v xml:space="preserve"> </v>
      </c>
      <c r="BR81" s="136" t="str">
        <f t="shared" si="19"/>
        <v xml:space="preserve"> </v>
      </c>
      <c r="BS81" s="136" t="str">
        <f t="shared" si="19"/>
        <v xml:space="preserve"> </v>
      </c>
      <c r="BT81" s="136" t="str">
        <f t="shared" si="19"/>
        <v xml:space="preserve"> </v>
      </c>
      <c r="BU81" s="136" t="str">
        <f t="shared" si="19"/>
        <v xml:space="preserve"> </v>
      </c>
      <c r="BV81" s="136" t="str">
        <f t="shared" si="19"/>
        <v xml:space="preserve"> </v>
      </c>
      <c r="BW81" s="136" t="str">
        <f t="shared" si="19"/>
        <v xml:space="preserve"> </v>
      </c>
      <c r="BX81" s="136" t="str">
        <f t="shared" si="19"/>
        <v xml:space="preserve"> </v>
      </c>
      <c r="BY81" s="136" t="str">
        <f t="shared" si="19"/>
        <v xml:space="preserve"> </v>
      </c>
      <c r="BZ81" s="136" t="str">
        <f t="shared" si="17"/>
        <v xml:space="preserve"> </v>
      </c>
      <c r="CA81" s="136" t="str">
        <f t="shared" si="17"/>
        <v xml:space="preserve"> </v>
      </c>
      <c r="CB81" s="136" t="str">
        <f t="shared" si="17"/>
        <v xml:space="preserve"> </v>
      </c>
      <c r="CC81" s="136" t="str">
        <f t="shared" si="17"/>
        <v xml:space="preserve"> </v>
      </c>
      <c r="CD81" s="136" t="str">
        <f t="shared" si="17"/>
        <v xml:space="preserve"> </v>
      </c>
      <c r="CE81" s="136" t="str">
        <f t="shared" si="17"/>
        <v xml:space="preserve"> </v>
      </c>
      <c r="CF81" s="136" t="str">
        <f t="shared" si="17"/>
        <v xml:space="preserve"> </v>
      </c>
      <c r="CG81" s="136" t="str">
        <f t="shared" si="17"/>
        <v xml:space="preserve"> </v>
      </c>
      <c r="CH81" s="136" t="str">
        <f t="shared" si="17"/>
        <v xml:space="preserve"> </v>
      </c>
    </row>
    <row r="82" spans="1:86" x14ac:dyDescent="0.25">
      <c r="A82">
        <v>60</v>
      </c>
      <c r="B82">
        <f t="shared" si="9"/>
        <v>32.594999999999999</v>
      </c>
      <c r="C82" s="75">
        <f>B82*LBP/'G&amp;H'!$K$7</f>
        <v>7095174242.4242439</v>
      </c>
      <c r="D82" s="75">
        <f>0.075/((LOG10(C82)-2)^2)+'G&amp;H'!$D$17/1000</f>
        <v>1.0258293361156698E-3</v>
      </c>
      <c r="E82">
        <f>D82*0.5*1.025*'G&amp;H'!$K$19*Tools1!B82^2</f>
        <v>6085.9538781460533</v>
      </c>
      <c r="AG82" s="135" t="e">
        <f t="shared" si="15"/>
        <v>#N/A</v>
      </c>
      <c r="AH82" s="136">
        <v>81</v>
      </c>
      <c r="AI82" s="138"/>
      <c r="AJ82" s="138"/>
      <c r="AK82" s="138"/>
      <c r="AL82" s="138"/>
      <c r="AM82" s="138"/>
      <c r="AN82" s="138"/>
      <c r="AO82" s="138"/>
      <c r="AP82" s="138"/>
      <c r="AQ82" s="138"/>
      <c r="AR82" s="138"/>
      <c r="AS82" s="138"/>
      <c r="AT82" s="138"/>
      <c r="AU82" s="138"/>
      <c r="AV82" s="138"/>
      <c r="AW82" s="138"/>
      <c r="AX82" s="138"/>
      <c r="AY82" s="138"/>
      <c r="AZ82" s="138"/>
      <c r="BA82" s="138"/>
      <c r="BB82" s="138"/>
      <c r="BC82" s="138"/>
      <c r="BD82" s="138"/>
      <c r="BE82" s="138"/>
      <c r="BF82" s="138"/>
      <c r="BG82" s="136" t="b">
        <f t="shared" si="16"/>
        <v>0</v>
      </c>
      <c r="BH82" s="136">
        <f>ROW()</f>
        <v>82</v>
      </c>
      <c r="BI82" s="136">
        <v>81</v>
      </c>
      <c r="BJ82" s="136" t="str">
        <f t="shared" si="18"/>
        <v>NA</v>
      </c>
      <c r="BK82" s="136" t="e">
        <f t="shared" si="19"/>
        <v>#N/A</v>
      </c>
      <c r="BL82" s="136" t="str">
        <f t="shared" si="19"/>
        <v xml:space="preserve"> </v>
      </c>
      <c r="BM82" s="136" t="str">
        <f t="shared" si="19"/>
        <v xml:space="preserve"> </v>
      </c>
      <c r="BN82" s="136" t="str">
        <f t="shared" si="19"/>
        <v xml:space="preserve"> </v>
      </c>
      <c r="BO82" s="136" t="str">
        <f t="shared" si="19"/>
        <v xml:space="preserve"> </v>
      </c>
      <c r="BP82" s="136" t="str">
        <f t="shared" si="19"/>
        <v xml:space="preserve"> </v>
      </c>
      <c r="BQ82" s="136" t="str">
        <f t="shared" si="19"/>
        <v xml:space="preserve"> </v>
      </c>
      <c r="BR82" s="136" t="str">
        <f t="shared" si="19"/>
        <v xml:space="preserve"> </v>
      </c>
      <c r="BS82" s="136" t="str">
        <f t="shared" si="19"/>
        <v xml:space="preserve"> </v>
      </c>
      <c r="BT82" s="136" t="str">
        <f t="shared" si="19"/>
        <v xml:space="preserve"> </v>
      </c>
      <c r="BU82" s="136" t="str">
        <f t="shared" si="19"/>
        <v xml:space="preserve"> </v>
      </c>
      <c r="BV82" s="136" t="str">
        <f t="shared" si="19"/>
        <v xml:space="preserve"> </v>
      </c>
      <c r="BW82" s="136" t="str">
        <f t="shared" si="19"/>
        <v xml:space="preserve"> </v>
      </c>
      <c r="BX82" s="136" t="str">
        <f t="shared" si="19"/>
        <v xml:space="preserve"> </v>
      </c>
      <c r="BY82" s="136" t="str">
        <f t="shared" si="19"/>
        <v xml:space="preserve"> </v>
      </c>
      <c r="BZ82" s="136" t="str">
        <f t="shared" si="17"/>
        <v xml:space="preserve"> </v>
      </c>
      <c r="CA82" s="136" t="str">
        <f t="shared" si="17"/>
        <v xml:space="preserve"> </v>
      </c>
      <c r="CB82" s="136" t="str">
        <f t="shared" si="17"/>
        <v xml:space="preserve"> </v>
      </c>
      <c r="CC82" s="136" t="str">
        <f t="shared" si="17"/>
        <v xml:space="preserve"> </v>
      </c>
      <c r="CD82" s="136" t="str">
        <f t="shared" si="17"/>
        <v xml:space="preserve"> </v>
      </c>
      <c r="CE82" s="136" t="str">
        <f t="shared" si="17"/>
        <v xml:space="preserve"> </v>
      </c>
      <c r="CF82" s="136" t="str">
        <f t="shared" si="17"/>
        <v xml:space="preserve"> </v>
      </c>
      <c r="CG82" s="136" t="str">
        <f t="shared" si="17"/>
        <v xml:space="preserve"> </v>
      </c>
      <c r="CH82" s="136" t="str">
        <f t="shared" si="17"/>
        <v xml:space="preserve"> </v>
      </c>
    </row>
    <row r="83" spans="1:86" x14ac:dyDescent="0.25">
      <c r="A83">
        <v>61</v>
      </c>
      <c r="B83">
        <f t="shared" si="9"/>
        <v>33.138249999999999</v>
      </c>
      <c r="C83" s="75">
        <f>B83*LBP/'G&amp;H'!$K$7</f>
        <v>7213427146.4646482</v>
      </c>
      <c r="D83" s="75">
        <f>0.075/((LOG10(C83)-2)^2)+'G&amp;H'!$D$17/1000</f>
        <v>1.0236072240987269E-3</v>
      </c>
      <c r="E83">
        <f>D83*0.5*1.025*'G&amp;H'!$K$19*Tools1!B83^2</f>
        <v>6276.8832905372446</v>
      </c>
      <c r="AG83" s="135" t="e">
        <f t="shared" si="15"/>
        <v>#N/A</v>
      </c>
      <c r="AH83" s="136">
        <v>82</v>
      </c>
      <c r="AI83" s="138"/>
      <c r="AJ83" s="138"/>
      <c r="AK83" s="138"/>
      <c r="AL83" s="138"/>
      <c r="AM83" s="138"/>
      <c r="AN83" s="138"/>
      <c r="AO83" s="138"/>
      <c r="AP83" s="138"/>
      <c r="AQ83" s="138"/>
      <c r="AR83" s="138"/>
      <c r="AS83" s="138"/>
      <c r="AT83" s="138"/>
      <c r="AU83" s="138"/>
      <c r="AV83" s="138"/>
      <c r="AW83" s="138"/>
      <c r="AX83" s="138"/>
      <c r="AY83" s="138"/>
      <c r="AZ83" s="138"/>
      <c r="BA83" s="138"/>
      <c r="BB83" s="138"/>
      <c r="BC83" s="138"/>
      <c r="BD83" s="138"/>
      <c r="BE83" s="138"/>
      <c r="BF83" s="138"/>
      <c r="BG83" s="136" t="b">
        <f t="shared" si="16"/>
        <v>0</v>
      </c>
      <c r="BH83" s="136">
        <f>ROW()</f>
        <v>83</v>
      </c>
      <c r="BI83" s="136">
        <v>82</v>
      </c>
      <c r="BJ83" s="136" t="str">
        <f t="shared" si="18"/>
        <v>NA</v>
      </c>
      <c r="BK83" s="136" t="e">
        <f t="shared" si="19"/>
        <v>#N/A</v>
      </c>
      <c r="BL83" s="136" t="str">
        <f t="shared" si="19"/>
        <v xml:space="preserve"> </v>
      </c>
      <c r="BM83" s="136" t="str">
        <f t="shared" si="19"/>
        <v xml:space="preserve"> </v>
      </c>
      <c r="BN83" s="136" t="str">
        <f t="shared" si="19"/>
        <v xml:space="preserve"> </v>
      </c>
      <c r="BO83" s="136" t="str">
        <f t="shared" si="19"/>
        <v xml:space="preserve"> </v>
      </c>
      <c r="BP83" s="136" t="str">
        <f t="shared" si="19"/>
        <v xml:space="preserve"> </v>
      </c>
      <c r="BQ83" s="136" t="str">
        <f t="shared" si="19"/>
        <v xml:space="preserve"> </v>
      </c>
      <c r="BR83" s="136" t="str">
        <f t="shared" si="19"/>
        <v xml:space="preserve"> </v>
      </c>
      <c r="BS83" s="136" t="str">
        <f t="shared" si="19"/>
        <v xml:space="preserve"> </v>
      </c>
      <c r="BT83" s="136" t="str">
        <f t="shared" si="19"/>
        <v xml:space="preserve"> </v>
      </c>
      <c r="BU83" s="136" t="str">
        <f t="shared" si="19"/>
        <v xml:space="preserve"> </v>
      </c>
      <c r="BV83" s="136" t="str">
        <f t="shared" si="19"/>
        <v xml:space="preserve"> </v>
      </c>
      <c r="BW83" s="136" t="str">
        <f t="shared" si="19"/>
        <v xml:space="preserve"> </v>
      </c>
      <c r="BX83" s="136" t="str">
        <f t="shared" si="19"/>
        <v xml:space="preserve"> </v>
      </c>
      <c r="BY83" s="136" t="str">
        <f t="shared" si="19"/>
        <v xml:space="preserve"> </v>
      </c>
      <c r="BZ83" s="136" t="str">
        <f t="shared" si="17"/>
        <v xml:space="preserve"> </v>
      </c>
      <c r="CA83" s="136" t="str">
        <f t="shared" si="17"/>
        <v xml:space="preserve"> </v>
      </c>
      <c r="CB83" s="136" t="str">
        <f t="shared" si="17"/>
        <v xml:space="preserve"> </v>
      </c>
      <c r="CC83" s="136" t="str">
        <f t="shared" si="17"/>
        <v xml:space="preserve"> </v>
      </c>
      <c r="CD83" s="136" t="str">
        <f t="shared" si="17"/>
        <v xml:space="preserve"> </v>
      </c>
      <c r="CE83" s="136" t="str">
        <f t="shared" si="17"/>
        <v xml:space="preserve"> </v>
      </c>
      <c r="CF83" s="136" t="str">
        <f t="shared" si="17"/>
        <v xml:space="preserve"> </v>
      </c>
      <c r="CG83" s="136" t="str">
        <f t="shared" si="17"/>
        <v xml:space="preserve"> </v>
      </c>
      <c r="CH83" s="136" t="str">
        <f t="shared" si="17"/>
        <v xml:space="preserve"> </v>
      </c>
    </row>
    <row r="84" spans="1:86" x14ac:dyDescent="0.25">
      <c r="A84">
        <v>62</v>
      </c>
      <c r="B84">
        <f t="shared" si="9"/>
        <v>33.6815</v>
      </c>
      <c r="C84" s="75">
        <f>B84*LBP/'G&amp;H'!$K$7</f>
        <v>7331680050.5050516</v>
      </c>
      <c r="D84" s="75">
        <f>0.075/((LOG10(C84)-2)^2)+'G&amp;H'!$D$17/1000</f>
        <v>1.0214271796842752E-3</v>
      </c>
      <c r="E84">
        <f>D84*0.5*1.025*'G&amp;H'!$K$19*Tools1!B84^2</f>
        <v>6470.5594299940576</v>
      </c>
      <c r="AG84" s="135" t="e">
        <f t="shared" si="15"/>
        <v>#N/A</v>
      </c>
      <c r="AH84" s="136">
        <v>83</v>
      </c>
      <c r="AI84" s="138"/>
      <c r="AJ84" s="138"/>
      <c r="AK84" s="138"/>
      <c r="AL84" s="138"/>
      <c r="AM84" s="138"/>
      <c r="AN84" s="138"/>
      <c r="AO84" s="138"/>
      <c r="AP84" s="138"/>
      <c r="AQ84" s="138"/>
      <c r="AR84" s="138"/>
      <c r="AS84" s="138"/>
      <c r="AT84" s="138"/>
      <c r="AU84" s="138"/>
      <c r="AV84" s="138"/>
      <c r="AW84" s="138"/>
      <c r="AX84" s="138"/>
      <c r="AY84" s="138"/>
      <c r="AZ84" s="138"/>
      <c r="BA84" s="138"/>
      <c r="BB84" s="138"/>
      <c r="BC84" s="138"/>
      <c r="BD84" s="138"/>
      <c r="BE84" s="138"/>
      <c r="BF84" s="138"/>
      <c r="BG84" s="136" t="b">
        <f t="shared" si="16"/>
        <v>0</v>
      </c>
      <c r="BH84" s="136">
        <f>ROW()</f>
        <v>84</v>
      </c>
      <c r="BI84" s="136">
        <v>83</v>
      </c>
      <c r="BJ84" s="136" t="str">
        <f t="shared" si="18"/>
        <v>NA</v>
      </c>
      <c r="BK84" s="136" t="e">
        <f t="shared" si="19"/>
        <v>#N/A</v>
      </c>
      <c r="BL84" s="136" t="str">
        <f t="shared" si="19"/>
        <v xml:space="preserve"> </v>
      </c>
      <c r="BM84" s="136" t="str">
        <f t="shared" si="19"/>
        <v xml:space="preserve"> </v>
      </c>
      <c r="BN84" s="136" t="str">
        <f t="shared" si="19"/>
        <v xml:space="preserve"> </v>
      </c>
      <c r="BO84" s="136" t="str">
        <f t="shared" si="19"/>
        <v xml:space="preserve"> </v>
      </c>
      <c r="BP84" s="136" t="str">
        <f t="shared" si="19"/>
        <v xml:space="preserve"> </v>
      </c>
      <c r="BQ84" s="136" t="str">
        <f t="shared" si="19"/>
        <v xml:space="preserve"> </v>
      </c>
      <c r="BR84" s="136" t="str">
        <f t="shared" si="19"/>
        <v xml:space="preserve"> </v>
      </c>
      <c r="BS84" s="136" t="str">
        <f t="shared" si="19"/>
        <v xml:space="preserve"> </v>
      </c>
      <c r="BT84" s="136" t="str">
        <f t="shared" si="19"/>
        <v xml:space="preserve"> </v>
      </c>
      <c r="BU84" s="136" t="str">
        <f t="shared" si="19"/>
        <v xml:space="preserve"> </v>
      </c>
      <c r="BV84" s="136" t="str">
        <f t="shared" si="19"/>
        <v xml:space="preserve"> </v>
      </c>
      <c r="BW84" s="136" t="str">
        <f t="shared" si="19"/>
        <v xml:space="preserve"> </v>
      </c>
      <c r="BX84" s="136" t="str">
        <f t="shared" si="19"/>
        <v xml:space="preserve"> </v>
      </c>
      <c r="BY84" s="136" t="str">
        <f t="shared" si="19"/>
        <v xml:space="preserve"> </v>
      </c>
      <c r="BZ84" s="136" t="str">
        <f t="shared" si="19"/>
        <v xml:space="preserve"> </v>
      </c>
      <c r="CA84" s="136" t="str">
        <f t="shared" ref="CA84:CH99" si="20">IF(VLOOKUP($BJ84,$AH$2:$BF$111,1+CA$1,FALSE)="(NA)",NA(),VLOOKUP($BJ84,$AH$2:$BF$111,1+CA$1,FALSE))</f>
        <v xml:space="preserve"> </v>
      </c>
      <c r="CB84" s="136" t="str">
        <f t="shared" si="20"/>
        <v xml:space="preserve"> </v>
      </c>
      <c r="CC84" s="136" t="str">
        <f t="shared" si="20"/>
        <v xml:space="preserve"> </v>
      </c>
      <c r="CD84" s="136" t="str">
        <f t="shared" si="20"/>
        <v xml:space="preserve"> </v>
      </c>
      <c r="CE84" s="136" t="str">
        <f t="shared" si="20"/>
        <v xml:space="preserve"> </v>
      </c>
      <c r="CF84" s="136" t="str">
        <f t="shared" si="20"/>
        <v xml:space="preserve"> </v>
      </c>
      <c r="CG84" s="136" t="str">
        <f t="shared" si="20"/>
        <v xml:space="preserve"> </v>
      </c>
      <c r="CH84" s="136" t="str">
        <f t="shared" si="20"/>
        <v xml:space="preserve"> </v>
      </c>
    </row>
    <row r="85" spans="1:86" x14ac:dyDescent="0.25">
      <c r="A85">
        <v>63</v>
      </c>
      <c r="B85">
        <f t="shared" si="9"/>
        <v>34.22475</v>
      </c>
      <c r="C85" s="75">
        <f>B85*LBP/'G&amp;H'!$K$7</f>
        <v>7449932954.5454559</v>
      </c>
      <c r="D85" s="75">
        <f>0.075/((LOG10(C85)-2)^2)+'G&amp;H'!$D$17/1000</f>
        <v>1.0192877418205529E-3</v>
      </c>
      <c r="E85">
        <f>D85*0.5*1.025*'G&amp;H'!$K$19*Tools1!B85^2</f>
        <v>6666.9767655187343</v>
      </c>
      <c r="AG85" s="135" t="e">
        <f t="shared" si="15"/>
        <v>#N/A</v>
      </c>
      <c r="AH85" s="136">
        <v>84</v>
      </c>
      <c r="AI85" s="138"/>
      <c r="AJ85" s="138"/>
      <c r="AK85" s="138"/>
      <c r="AL85" s="138"/>
      <c r="AM85" s="138"/>
      <c r="AN85" s="138"/>
      <c r="AO85" s="138"/>
      <c r="AP85" s="138"/>
      <c r="AQ85" s="138"/>
      <c r="AR85" s="138"/>
      <c r="AS85" s="138"/>
      <c r="AT85" s="138"/>
      <c r="AU85" s="138"/>
      <c r="AV85" s="138"/>
      <c r="AW85" s="138"/>
      <c r="AX85" s="138"/>
      <c r="AY85" s="138"/>
      <c r="AZ85" s="138"/>
      <c r="BA85" s="138"/>
      <c r="BB85" s="138"/>
      <c r="BC85" s="138"/>
      <c r="BD85" s="138"/>
      <c r="BE85" s="138"/>
      <c r="BF85" s="138"/>
      <c r="BG85" s="136" t="b">
        <f t="shared" si="16"/>
        <v>0</v>
      </c>
      <c r="BH85" s="136">
        <f>ROW()</f>
        <v>85</v>
      </c>
      <c r="BI85" s="136">
        <v>84</v>
      </c>
      <c r="BJ85" s="136" t="str">
        <f t="shared" si="18"/>
        <v>NA</v>
      </c>
      <c r="BK85" s="136" t="e">
        <f t="shared" ref="BK85:BZ100" si="21">IF(VLOOKUP($BJ85,$AH$2:$BF$111,1+BK$1,FALSE)="(NA)",NA(),VLOOKUP($BJ85,$AH$2:$BF$111,1+BK$1,FALSE))</f>
        <v>#N/A</v>
      </c>
      <c r="BL85" s="136" t="str">
        <f t="shared" si="21"/>
        <v xml:space="preserve"> </v>
      </c>
      <c r="BM85" s="136" t="str">
        <f t="shared" si="21"/>
        <v xml:space="preserve"> </v>
      </c>
      <c r="BN85" s="136" t="str">
        <f t="shared" si="21"/>
        <v xml:space="preserve"> </v>
      </c>
      <c r="BO85" s="136" t="str">
        <f t="shared" si="21"/>
        <v xml:space="preserve"> </v>
      </c>
      <c r="BP85" s="136" t="str">
        <f t="shared" si="21"/>
        <v xml:space="preserve"> </v>
      </c>
      <c r="BQ85" s="136" t="str">
        <f t="shared" si="21"/>
        <v xml:space="preserve"> </v>
      </c>
      <c r="BR85" s="136" t="str">
        <f t="shared" si="21"/>
        <v xml:space="preserve"> </v>
      </c>
      <c r="BS85" s="136" t="str">
        <f t="shared" si="21"/>
        <v xml:space="preserve"> </v>
      </c>
      <c r="BT85" s="136" t="str">
        <f t="shared" si="21"/>
        <v xml:space="preserve"> </v>
      </c>
      <c r="BU85" s="136" t="str">
        <f t="shared" si="21"/>
        <v xml:space="preserve"> </v>
      </c>
      <c r="BV85" s="136" t="str">
        <f t="shared" si="21"/>
        <v xml:space="preserve"> </v>
      </c>
      <c r="BW85" s="136" t="str">
        <f t="shared" si="21"/>
        <v xml:space="preserve"> </v>
      </c>
      <c r="BX85" s="136" t="str">
        <f t="shared" si="21"/>
        <v xml:space="preserve"> </v>
      </c>
      <c r="BY85" s="136" t="str">
        <f t="shared" si="21"/>
        <v xml:space="preserve"> </v>
      </c>
      <c r="BZ85" s="136" t="str">
        <f t="shared" si="21"/>
        <v xml:space="preserve"> </v>
      </c>
      <c r="CA85" s="136" t="str">
        <f t="shared" si="20"/>
        <v xml:space="preserve"> </v>
      </c>
      <c r="CB85" s="136" t="str">
        <f t="shared" si="20"/>
        <v xml:space="preserve"> </v>
      </c>
      <c r="CC85" s="136" t="str">
        <f t="shared" si="20"/>
        <v xml:space="preserve"> </v>
      </c>
      <c r="CD85" s="136" t="str">
        <f t="shared" si="20"/>
        <v xml:space="preserve"> </v>
      </c>
      <c r="CE85" s="136" t="str">
        <f t="shared" si="20"/>
        <v xml:space="preserve"> </v>
      </c>
      <c r="CF85" s="136" t="str">
        <f t="shared" si="20"/>
        <v xml:space="preserve"> </v>
      </c>
      <c r="CG85" s="136" t="str">
        <f t="shared" si="20"/>
        <v xml:space="preserve"> </v>
      </c>
      <c r="CH85" s="136" t="str">
        <f t="shared" si="20"/>
        <v xml:space="preserve"> </v>
      </c>
    </row>
    <row r="86" spans="1:86" x14ac:dyDescent="0.25">
      <c r="A86">
        <v>64</v>
      </c>
      <c r="B86">
        <f t="shared" si="9"/>
        <v>34.768000000000001</v>
      </c>
      <c r="C86" s="75">
        <f>B86*LBP/'G&amp;H'!$K$7</f>
        <v>7568185858.5858603</v>
      </c>
      <c r="D86" s="75">
        <f>0.075/((LOG10(C86)-2)^2)+'G&amp;H'!$D$17/1000</f>
        <v>1.0171875224821818E-3</v>
      </c>
      <c r="E86">
        <f>D86*0.5*1.025*'G&amp;H'!$K$19*Tools1!B86^2</f>
        <v>6866.1298678151006</v>
      </c>
      <c r="AG86" s="135" t="e">
        <f t="shared" si="15"/>
        <v>#N/A</v>
      </c>
      <c r="AH86" s="136">
        <v>85</v>
      </c>
      <c r="AI86" s="138"/>
      <c r="AJ86" s="138"/>
      <c r="AK86" s="138"/>
      <c r="AL86" s="138"/>
      <c r="AM86" s="138"/>
      <c r="AN86" s="138"/>
      <c r="AO86" s="138"/>
      <c r="AP86" s="138"/>
      <c r="AQ86" s="138"/>
      <c r="AR86" s="138"/>
      <c r="AS86" s="138"/>
      <c r="AT86" s="138"/>
      <c r="AU86" s="138"/>
      <c r="AV86" s="138"/>
      <c r="AW86" s="138"/>
      <c r="AX86" s="138"/>
      <c r="AY86" s="138"/>
      <c r="AZ86" s="138"/>
      <c r="BA86" s="138"/>
      <c r="BB86" s="138"/>
      <c r="BC86" s="138"/>
      <c r="BD86" s="138"/>
      <c r="BE86" s="138"/>
      <c r="BF86" s="138"/>
      <c r="BG86" s="136" t="b">
        <f t="shared" si="16"/>
        <v>0</v>
      </c>
      <c r="BH86" s="136">
        <f>ROW()</f>
        <v>86</v>
      </c>
      <c r="BI86" s="136">
        <v>85</v>
      </c>
      <c r="BJ86" s="136" t="str">
        <f t="shared" si="18"/>
        <v>NA</v>
      </c>
      <c r="BK86" s="136" t="e">
        <f t="shared" si="21"/>
        <v>#N/A</v>
      </c>
      <c r="BL86" s="136" t="str">
        <f t="shared" si="21"/>
        <v xml:space="preserve"> </v>
      </c>
      <c r="BM86" s="136" t="str">
        <f t="shared" si="21"/>
        <v xml:space="preserve"> </v>
      </c>
      <c r="BN86" s="136" t="str">
        <f t="shared" si="21"/>
        <v xml:space="preserve"> </v>
      </c>
      <c r="BO86" s="136" t="str">
        <f t="shared" si="21"/>
        <v xml:space="preserve"> </v>
      </c>
      <c r="BP86" s="136" t="str">
        <f t="shared" si="21"/>
        <v xml:space="preserve"> </v>
      </c>
      <c r="BQ86" s="136" t="str">
        <f t="shared" si="21"/>
        <v xml:space="preserve"> </v>
      </c>
      <c r="BR86" s="136" t="str">
        <f t="shared" si="21"/>
        <v xml:space="preserve"> </v>
      </c>
      <c r="BS86" s="136" t="str">
        <f t="shared" si="21"/>
        <v xml:space="preserve"> </v>
      </c>
      <c r="BT86" s="136" t="str">
        <f t="shared" si="21"/>
        <v xml:space="preserve"> </v>
      </c>
      <c r="BU86" s="136" t="str">
        <f t="shared" si="21"/>
        <v xml:space="preserve"> </v>
      </c>
      <c r="BV86" s="136" t="str">
        <f t="shared" si="21"/>
        <v xml:space="preserve"> </v>
      </c>
      <c r="BW86" s="136" t="str">
        <f t="shared" si="21"/>
        <v xml:space="preserve"> </v>
      </c>
      <c r="BX86" s="136" t="str">
        <f t="shared" si="21"/>
        <v xml:space="preserve"> </v>
      </c>
      <c r="BY86" s="136" t="str">
        <f t="shared" si="21"/>
        <v xml:space="preserve"> </v>
      </c>
      <c r="BZ86" s="136" t="str">
        <f t="shared" si="21"/>
        <v xml:space="preserve"> </v>
      </c>
      <c r="CA86" s="136" t="str">
        <f t="shared" si="20"/>
        <v xml:space="preserve"> </v>
      </c>
      <c r="CB86" s="136" t="str">
        <f t="shared" si="20"/>
        <v xml:space="preserve"> </v>
      </c>
      <c r="CC86" s="136" t="str">
        <f t="shared" si="20"/>
        <v xml:space="preserve"> </v>
      </c>
      <c r="CD86" s="136" t="str">
        <f t="shared" si="20"/>
        <v xml:space="preserve"> </v>
      </c>
      <c r="CE86" s="136" t="str">
        <f t="shared" si="20"/>
        <v xml:space="preserve"> </v>
      </c>
      <c r="CF86" s="136" t="str">
        <f t="shared" si="20"/>
        <v xml:space="preserve"> </v>
      </c>
      <c r="CG86" s="136" t="str">
        <f t="shared" si="20"/>
        <v xml:space="preserve"> </v>
      </c>
      <c r="CH86" s="136" t="str">
        <f t="shared" si="20"/>
        <v xml:space="preserve"> </v>
      </c>
    </row>
    <row r="87" spans="1:86" x14ac:dyDescent="0.25">
      <c r="A87">
        <v>65</v>
      </c>
      <c r="B87">
        <f t="shared" si="9"/>
        <v>35.311250000000001</v>
      </c>
      <c r="C87" s="75">
        <f>B87*LBP/'G&amp;H'!$K$7</f>
        <v>7686438762.6262636</v>
      </c>
      <c r="D87" s="75">
        <f>0.075/((LOG10(C87)-2)^2)+'G&amp;H'!$D$17/1000</f>
        <v>1.0151252019423816E-3</v>
      </c>
      <c r="E87">
        <f>D87*0.5*1.025*'G&amp;H'!$K$19*Tools1!B87^2</f>
        <v>7068.0134058378508</v>
      </c>
      <c r="AG87" s="135" t="e">
        <f t="shared" si="15"/>
        <v>#N/A</v>
      </c>
      <c r="AH87" s="136">
        <v>86</v>
      </c>
      <c r="AI87" s="138"/>
      <c r="AJ87" s="138"/>
      <c r="AK87" s="138"/>
      <c r="AL87" s="138"/>
      <c r="AM87" s="138"/>
      <c r="AN87" s="138"/>
      <c r="AO87" s="138"/>
      <c r="AP87" s="138"/>
      <c r="AQ87" s="138"/>
      <c r="AR87" s="138"/>
      <c r="AS87" s="138"/>
      <c r="AT87" s="138"/>
      <c r="AU87" s="138"/>
      <c r="AV87" s="138"/>
      <c r="AW87" s="138"/>
      <c r="AX87" s="138"/>
      <c r="AY87" s="138"/>
      <c r="AZ87" s="138"/>
      <c r="BA87" s="138"/>
      <c r="BB87" s="138"/>
      <c r="BC87" s="138"/>
      <c r="BD87" s="138"/>
      <c r="BE87" s="138"/>
      <c r="BF87" s="138"/>
      <c r="BG87" s="136" t="b">
        <f t="shared" si="16"/>
        <v>0</v>
      </c>
      <c r="BH87" s="136">
        <f>ROW()</f>
        <v>87</v>
      </c>
      <c r="BI87" s="136">
        <v>86</v>
      </c>
      <c r="BJ87" s="136" t="str">
        <f t="shared" si="18"/>
        <v>NA</v>
      </c>
      <c r="BK87" s="136" t="e">
        <f t="shared" si="21"/>
        <v>#N/A</v>
      </c>
      <c r="BL87" s="136" t="str">
        <f t="shared" si="21"/>
        <v xml:space="preserve"> </v>
      </c>
      <c r="BM87" s="136" t="str">
        <f t="shared" si="21"/>
        <v xml:space="preserve"> </v>
      </c>
      <c r="BN87" s="136" t="str">
        <f t="shared" si="21"/>
        <v xml:space="preserve"> </v>
      </c>
      <c r="BO87" s="136" t="str">
        <f t="shared" si="21"/>
        <v xml:space="preserve"> </v>
      </c>
      <c r="BP87" s="136" t="str">
        <f t="shared" si="21"/>
        <v xml:space="preserve"> </v>
      </c>
      <c r="BQ87" s="136" t="str">
        <f t="shared" si="21"/>
        <v xml:space="preserve"> </v>
      </c>
      <c r="BR87" s="136" t="str">
        <f t="shared" si="21"/>
        <v xml:space="preserve"> </v>
      </c>
      <c r="BS87" s="136" t="str">
        <f t="shared" si="21"/>
        <v xml:space="preserve"> </v>
      </c>
      <c r="BT87" s="136" t="str">
        <f t="shared" si="21"/>
        <v xml:space="preserve"> </v>
      </c>
      <c r="BU87" s="136" t="str">
        <f t="shared" si="21"/>
        <v xml:space="preserve"> </v>
      </c>
      <c r="BV87" s="136" t="str">
        <f t="shared" si="21"/>
        <v xml:space="preserve"> </v>
      </c>
      <c r="BW87" s="136" t="str">
        <f t="shared" si="21"/>
        <v xml:space="preserve"> </v>
      </c>
      <c r="BX87" s="136" t="str">
        <f t="shared" si="21"/>
        <v xml:space="preserve"> </v>
      </c>
      <c r="BY87" s="136" t="str">
        <f t="shared" si="21"/>
        <v xml:space="preserve"> </v>
      </c>
      <c r="BZ87" s="136" t="str">
        <f t="shared" si="21"/>
        <v xml:space="preserve"> </v>
      </c>
      <c r="CA87" s="136" t="str">
        <f t="shared" si="20"/>
        <v xml:space="preserve"> </v>
      </c>
      <c r="CB87" s="136" t="str">
        <f t="shared" si="20"/>
        <v xml:space="preserve"> </v>
      </c>
      <c r="CC87" s="136" t="str">
        <f t="shared" si="20"/>
        <v xml:space="preserve"> </v>
      </c>
      <c r="CD87" s="136" t="str">
        <f t="shared" si="20"/>
        <v xml:space="preserve"> </v>
      </c>
      <c r="CE87" s="136" t="str">
        <f t="shared" si="20"/>
        <v xml:space="preserve"> </v>
      </c>
      <c r="CF87" s="136" t="str">
        <f t="shared" si="20"/>
        <v xml:space="preserve"> </v>
      </c>
      <c r="CG87" s="136" t="str">
        <f t="shared" si="20"/>
        <v xml:space="preserve"> </v>
      </c>
      <c r="CH87" s="136" t="str">
        <f t="shared" si="20"/>
        <v xml:space="preserve"> </v>
      </c>
    </row>
    <row r="88" spans="1:86" x14ac:dyDescent="0.25">
      <c r="A88">
        <v>66</v>
      </c>
      <c r="B88">
        <f t="shared" ref="B88:B122" si="22">A88*0.54325</f>
        <v>35.854500000000002</v>
      </c>
      <c r="C88" s="75">
        <f>B88*LBP/'G&amp;H'!$K$7</f>
        <v>7804691666.6666679</v>
      </c>
      <c r="D88" s="75">
        <f>0.075/((LOG10(C88)-2)^2)+'G&amp;H'!$D$17/1000</f>
        <v>1.0130995244188596E-3</v>
      </c>
      <c r="E88">
        <f>D88*0.5*1.025*'G&amp;H'!$K$19*Tools1!B88^2</f>
        <v>7272.6221435107063</v>
      </c>
      <c r="AG88" s="135" t="e">
        <f t="shared" si="15"/>
        <v>#N/A</v>
      </c>
      <c r="AH88" s="136">
        <v>87</v>
      </c>
      <c r="AI88" s="138"/>
      <c r="AJ88" s="138"/>
      <c r="AK88" s="138"/>
      <c r="AL88" s="138"/>
      <c r="AM88" s="138"/>
      <c r="AN88" s="138"/>
      <c r="AO88" s="138"/>
      <c r="AP88" s="138"/>
      <c r="AQ88" s="138"/>
      <c r="AR88" s="138"/>
      <c r="AS88" s="138"/>
      <c r="AT88" s="138"/>
      <c r="AU88" s="138"/>
      <c r="AV88" s="138"/>
      <c r="AW88" s="138"/>
      <c r="AX88" s="138"/>
      <c r="AY88" s="138"/>
      <c r="AZ88" s="138"/>
      <c r="BA88" s="138"/>
      <c r="BB88" s="138"/>
      <c r="BC88" s="138"/>
      <c r="BD88" s="138"/>
      <c r="BE88" s="138"/>
      <c r="BF88" s="138"/>
      <c r="BG88" s="136" t="b">
        <f t="shared" si="16"/>
        <v>0</v>
      </c>
      <c r="BH88" s="136">
        <f>ROW()</f>
        <v>88</v>
      </c>
      <c r="BI88" s="136">
        <v>87</v>
      </c>
      <c r="BJ88" s="136" t="str">
        <f t="shared" si="18"/>
        <v>NA</v>
      </c>
      <c r="BK88" s="136" t="e">
        <f t="shared" si="21"/>
        <v>#N/A</v>
      </c>
      <c r="BL88" s="136" t="str">
        <f t="shared" si="21"/>
        <v xml:space="preserve"> </v>
      </c>
      <c r="BM88" s="136" t="str">
        <f t="shared" si="21"/>
        <v xml:space="preserve"> </v>
      </c>
      <c r="BN88" s="136" t="str">
        <f t="shared" si="21"/>
        <v xml:space="preserve"> </v>
      </c>
      <c r="BO88" s="136" t="str">
        <f t="shared" si="21"/>
        <v xml:space="preserve"> </v>
      </c>
      <c r="BP88" s="136" t="str">
        <f t="shared" si="21"/>
        <v xml:space="preserve"> </v>
      </c>
      <c r="BQ88" s="136" t="str">
        <f t="shared" si="21"/>
        <v xml:space="preserve"> </v>
      </c>
      <c r="BR88" s="136" t="str">
        <f t="shared" si="21"/>
        <v xml:space="preserve"> </v>
      </c>
      <c r="BS88" s="136" t="str">
        <f t="shared" si="21"/>
        <v xml:space="preserve"> </v>
      </c>
      <c r="BT88" s="136" t="str">
        <f t="shared" si="21"/>
        <v xml:space="preserve"> </v>
      </c>
      <c r="BU88" s="136" t="str">
        <f t="shared" si="21"/>
        <v xml:space="preserve"> </v>
      </c>
      <c r="BV88" s="136" t="str">
        <f t="shared" si="21"/>
        <v xml:space="preserve"> </v>
      </c>
      <c r="BW88" s="136" t="str">
        <f t="shared" si="21"/>
        <v xml:space="preserve"> </v>
      </c>
      <c r="BX88" s="136" t="str">
        <f t="shared" si="21"/>
        <v xml:space="preserve"> </v>
      </c>
      <c r="BY88" s="136" t="str">
        <f t="shared" si="21"/>
        <v xml:space="preserve"> </v>
      </c>
      <c r="BZ88" s="136" t="str">
        <f t="shared" si="21"/>
        <v xml:space="preserve"> </v>
      </c>
      <c r="CA88" s="136" t="str">
        <f t="shared" si="20"/>
        <v xml:space="preserve"> </v>
      </c>
      <c r="CB88" s="136" t="str">
        <f t="shared" si="20"/>
        <v xml:space="preserve"> </v>
      </c>
      <c r="CC88" s="136" t="str">
        <f t="shared" si="20"/>
        <v xml:space="preserve"> </v>
      </c>
      <c r="CD88" s="136" t="str">
        <f t="shared" si="20"/>
        <v xml:space="preserve"> </v>
      </c>
      <c r="CE88" s="136" t="str">
        <f t="shared" si="20"/>
        <v xml:space="preserve"> </v>
      </c>
      <c r="CF88" s="136" t="str">
        <f t="shared" si="20"/>
        <v xml:space="preserve"> </v>
      </c>
      <c r="CG88" s="136" t="str">
        <f t="shared" si="20"/>
        <v xml:space="preserve"> </v>
      </c>
      <c r="CH88" s="136" t="str">
        <f t="shared" si="20"/>
        <v xml:space="preserve"> </v>
      </c>
    </row>
    <row r="89" spans="1:86" x14ac:dyDescent="0.25">
      <c r="A89">
        <v>67</v>
      </c>
      <c r="B89">
        <f t="shared" si="22"/>
        <v>36.397750000000002</v>
      </c>
      <c r="C89" s="75">
        <f>B89*LBP/'G&amp;H'!$K$7</f>
        <v>7922944570.7070732</v>
      </c>
      <c r="D89" s="75">
        <f>0.075/((LOG10(C89)-2)^2)+'G&amp;H'!$D$17/1000</f>
        <v>1.0111092940586668E-3</v>
      </c>
      <c r="E89">
        <f>D89*0.5*1.025*'G&amp;H'!$K$19*Tools1!B89^2</f>
        <v>7479.9509366027987</v>
      </c>
      <c r="AG89" s="135" t="e">
        <f t="shared" si="15"/>
        <v>#N/A</v>
      </c>
      <c r="AH89" s="136">
        <v>88</v>
      </c>
      <c r="AI89" s="138"/>
      <c r="AJ89" s="138"/>
      <c r="AK89" s="138"/>
      <c r="AL89" s="138"/>
      <c r="AM89" s="138"/>
      <c r="AN89" s="138"/>
      <c r="AO89" s="138"/>
      <c r="AP89" s="138"/>
      <c r="AQ89" s="138"/>
      <c r="AR89" s="138"/>
      <c r="AS89" s="138"/>
      <c r="AT89" s="138"/>
      <c r="AU89" s="138"/>
      <c r="AV89" s="138"/>
      <c r="AW89" s="138"/>
      <c r="AX89" s="138"/>
      <c r="AY89" s="138"/>
      <c r="AZ89" s="138"/>
      <c r="BA89" s="138"/>
      <c r="BB89" s="138"/>
      <c r="BC89" s="138"/>
      <c r="BD89" s="138"/>
      <c r="BE89" s="138"/>
      <c r="BF89" s="138"/>
      <c r="BG89" s="136" t="b">
        <f t="shared" si="16"/>
        <v>0</v>
      </c>
      <c r="BH89" s="136">
        <f>ROW()</f>
        <v>89</v>
      </c>
      <c r="BI89" s="136">
        <v>88</v>
      </c>
      <c r="BJ89" s="136" t="str">
        <f t="shared" si="18"/>
        <v>NA</v>
      </c>
      <c r="BK89" s="136" t="e">
        <f t="shared" si="21"/>
        <v>#N/A</v>
      </c>
      <c r="BL89" s="136" t="str">
        <f t="shared" si="21"/>
        <v xml:space="preserve"> </v>
      </c>
      <c r="BM89" s="136" t="str">
        <f t="shared" si="21"/>
        <v xml:space="preserve"> </v>
      </c>
      <c r="BN89" s="136" t="str">
        <f t="shared" si="21"/>
        <v xml:space="preserve"> </v>
      </c>
      <c r="BO89" s="136" t="str">
        <f t="shared" si="21"/>
        <v xml:space="preserve"> </v>
      </c>
      <c r="BP89" s="136" t="str">
        <f t="shared" si="21"/>
        <v xml:space="preserve"> </v>
      </c>
      <c r="BQ89" s="136" t="str">
        <f t="shared" si="21"/>
        <v xml:space="preserve"> </v>
      </c>
      <c r="BR89" s="136" t="str">
        <f t="shared" si="21"/>
        <v xml:space="preserve"> </v>
      </c>
      <c r="BS89" s="136" t="str">
        <f t="shared" si="21"/>
        <v xml:space="preserve"> </v>
      </c>
      <c r="BT89" s="136" t="str">
        <f t="shared" si="21"/>
        <v xml:space="preserve"> </v>
      </c>
      <c r="BU89" s="136" t="str">
        <f t="shared" si="21"/>
        <v xml:space="preserve"> </v>
      </c>
      <c r="BV89" s="136" t="str">
        <f t="shared" si="21"/>
        <v xml:space="preserve"> </v>
      </c>
      <c r="BW89" s="136" t="str">
        <f t="shared" si="21"/>
        <v xml:space="preserve"> </v>
      </c>
      <c r="BX89" s="136" t="str">
        <f t="shared" si="21"/>
        <v xml:space="preserve"> </v>
      </c>
      <c r="BY89" s="136" t="str">
        <f t="shared" si="21"/>
        <v xml:space="preserve"> </v>
      </c>
      <c r="BZ89" s="136" t="str">
        <f t="shared" si="21"/>
        <v xml:space="preserve"> </v>
      </c>
      <c r="CA89" s="136" t="str">
        <f t="shared" si="20"/>
        <v xml:space="preserve"> </v>
      </c>
      <c r="CB89" s="136" t="str">
        <f t="shared" si="20"/>
        <v xml:space="preserve"> </v>
      </c>
      <c r="CC89" s="136" t="str">
        <f t="shared" si="20"/>
        <v xml:space="preserve"> </v>
      </c>
      <c r="CD89" s="136" t="str">
        <f t="shared" si="20"/>
        <v xml:space="preserve"> </v>
      </c>
      <c r="CE89" s="136" t="str">
        <f t="shared" si="20"/>
        <v xml:space="preserve"> </v>
      </c>
      <c r="CF89" s="136" t="str">
        <f t="shared" si="20"/>
        <v xml:space="preserve"> </v>
      </c>
      <c r="CG89" s="136" t="str">
        <f t="shared" si="20"/>
        <v xml:space="preserve"> </v>
      </c>
      <c r="CH89" s="136" t="str">
        <f t="shared" si="20"/>
        <v xml:space="preserve"> </v>
      </c>
    </row>
    <row r="90" spans="1:86" x14ac:dyDescent="0.25">
      <c r="A90">
        <v>68</v>
      </c>
      <c r="B90">
        <f t="shared" si="22"/>
        <v>36.941000000000003</v>
      </c>
      <c r="C90" s="75">
        <f>B90*LBP/'G&amp;H'!$K$7</f>
        <v>8041197474.7474775</v>
      </c>
      <c r="D90" s="75">
        <f>0.075/((LOG10(C90)-2)^2)+'G&amp;H'!$D$17/1000</f>
        <v>1.0091533712309926E-3</v>
      </c>
      <c r="E90">
        <f>D90*0.5*1.025*'G&amp;H'!$K$19*Tools1!B90^2</f>
        <v>7689.9947297533181</v>
      </c>
      <c r="AG90" s="135" t="e">
        <f t="shared" si="15"/>
        <v>#N/A</v>
      </c>
      <c r="AH90" s="136">
        <v>89</v>
      </c>
      <c r="AI90" s="138"/>
      <c r="AJ90" s="138"/>
      <c r="AK90" s="138"/>
      <c r="AL90" s="138"/>
      <c r="AM90" s="138"/>
      <c r="AN90" s="138"/>
      <c r="AO90" s="138"/>
      <c r="AP90" s="138"/>
      <c r="AQ90" s="138"/>
      <c r="AR90" s="138"/>
      <c r="AS90" s="138"/>
      <c r="AT90" s="138"/>
      <c r="AU90" s="138"/>
      <c r="AV90" s="138"/>
      <c r="AW90" s="138"/>
      <c r="AX90" s="138"/>
      <c r="AY90" s="138"/>
      <c r="AZ90" s="138"/>
      <c r="BA90" s="138"/>
      <c r="BB90" s="138"/>
      <c r="BC90" s="138"/>
      <c r="BD90" s="138"/>
      <c r="BE90" s="138"/>
      <c r="BF90" s="138"/>
      <c r="BG90" s="136" t="b">
        <f t="shared" si="16"/>
        <v>0</v>
      </c>
      <c r="BH90" s="136">
        <f>ROW()</f>
        <v>90</v>
      </c>
      <c r="BI90" s="136">
        <v>89</v>
      </c>
      <c r="BJ90" s="136" t="str">
        <f t="shared" si="18"/>
        <v>NA</v>
      </c>
      <c r="BK90" s="136" t="e">
        <f t="shared" si="21"/>
        <v>#N/A</v>
      </c>
      <c r="BL90" s="136" t="str">
        <f t="shared" si="21"/>
        <v xml:space="preserve"> </v>
      </c>
      <c r="BM90" s="136" t="str">
        <f t="shared" si="21"/>
        <v xml:space="preserve"> </v>
      </c>
      <c r="BN90" s="136" t="str">
        <f t="shared" si="21"/>
        <v xml:space="preserve"> </v>
      </c>
      <c r="BO90" s="136" t="str">
        <f t="shared" si="21"/>
        <v xml:space="preserve"> </v>
      </c>
      <c r="BP90" s="136" t="str">
        <f t="shared" si="21"/>
        <v xml:space="preserve"> </v>
      </c>
      <c r="BQ90" s="136" t="str">
        <f t="shared" si="21"/>
        <v xml:space="preserve"> </v>
      </c>
      <c r="BR90" s="136" t="str">
        <f t="shared" si="21"/>
        <v xml:space="preserve"> </v>
      </c>
      <c r="BS90" s="136" t="str">
        <f t="shared" si="21"/>
        <v xml:space="preserve"> </v>
      </c>
      <c r="BT90" s="136" t="str">
        <f t="shared" si="21"/>
        <v xml:space="preserve"> </v>
      </c>
      <c r="BU90" s="136" t="str">
        <f t="shared" si="21"/>
        <v xml:space="preserve"> </v>
      </c>
      <c r="BV90" s="136" t="str">
        <f t="shared" si="21"/>
        <v xml:space="preserve"> </v>
      </c>
      <c r="BW90" s="136" t="str">
        <f t="shared" si="21"/>
        <v xml:space="preserve"> </v>
      </c>
      <c r="BX90" s="136" t="str">
        <f t="shared" si="21"/>
        <v xml:space="preserve"> </v>
      </c>
      <c r="BY90" s="136" t="str">
        <f t="shared" si="21"/>
        <v xml:space="preserve"> </v>
      </c>
      <c r="BZ90" s="136" t="str">
        <f t="shared" si="21"/>
        <v xml:space="preserve"> </v>
      </c>
      <c r="CA90" s="136" t="str">
        <f t="shared" si="20"/>
        <v xml:space="preserve"> </v>
      </c>
      <c r="CB90" s="136" t="str">
        <f t="shared" si="20"/>
        <v xml:space="preserve"> </v>
      </c>
      <c r="CC90" s="136" t="str">
        <f t="shared" si="20"/>
        <v xml:space="preserve"> </v>
      </c>
      <c r="CD90" s="136" t="str">
        <f t="shared" si="20"/>
        <v xml:space="preserve"> </v>
      </c>
      <c r="CE90" s="136" t="str">
        <f t="shared" si="20"/>
        <v xml:space="preserve"> </v>
      </c>
      <c r="CF90" s="136" t="str">
        <f t="shared" si="20"/>
        <v xml:space="preserve"> </v>
      </c>
      <c r="CG90" s="136" t="str">
        <f t="shared" si="20"/>
        <v xml:space="preserve"> </v>
      </c>
      <c r="CH90" s="136" t="str">
        <f t="shared" si="20"/>
        <v xml:space="preserve"> </v>
      </c>
    </row>
    <row r="91" spans="1:86" x14ac:dyDescent="0.25">
      <c r="A91">
        <v>69</v>
      </c>
      <c r="B91">
        <f t="shared" si="22"/>
        <v>37.484250000000003</v>
      </c>
      <c r="C91" s="75">
        <f>B91*LBP/'G&amp;H'!$K$7</f>
        <v>8159450378.7878809</v>
      </c>
      <c r="D91" s="75">
        <f>0.075/((LOG10(C91)-2)^2)+'G&amp;H'!$D$17/1000</f>
        <v>1.0072306691001317E-3</v>
      </c>
      <c r="E91">
        <f>D91*0.5*1.025*'G&amp;H'!$K$19*Tools1!B91^2</f>
        <v>7902.7485536353443</v>
      </c>
      <c r="AG91" s="135" t="e">
        <f t="shared" si="15"/>
        <v>#N/A</v>
      </c>
      <c r="AH91" s="136">
        <v>90</v>
      </c>
      <c r="AI91" s="138"/>
      <c r="AJ91" s="138"/>
      <c r="AK91" s="138"/>
      <c r="AL91" s="138"/>
      <c r="AM91" s="138"/>
      <c r="AN91" s="138"/>
      <c r="AO91" s="138"/>
      <c r="AP91" s="138"/>
      <c r="AQ91" s="138"/>
      <c r="AR91" s="138"/>
      <c r="AS91" s="138"/>
      <c r="AT91" s="138"/>
      <c r="AU91" s="138"/>
      <c r="AV91" s="138"/>
      <c r="AW91" s="138"/>
      <c r="AX91" s="138"/>
      <c r="AY91" s="138"/>
      <c r="AZ91" s="138"/>
      <c r="BA91" s="138"/>
      <c r="BB91" s="138"/>
      <c r="BC91" s="138"/>
      <c r="BD91" s="138"/>
      <c r="BE91" s="138"/>
      <c r="BF91" s="138"/>
      <c r="BG91" s="136" t="b">
        <f t="shared" si="16"/>
        <v>0</v>
      </c>
      <c r="BH91" s="136">
        <f>ROW()</f>
        <v>91</v>
      </c>
      <c r="BI91" s="136">
        <v>90</v>
      </c>
      <c r="BJ91" s="136" t="str">
        <f t="shared" si="18"/>
        <v>NA</v>
      </c>
      <c r="BK91" s="136" t="e">
        <f t="shared" si="21"/>
        <v>#N/A</v>
      </c>
      <c r="BL91" s="136" t="str">
        <f t="shared" si="21"/>
        <v xml:space="preserve"> </v>
      </c>
      <c r="BM91" s="136" t="str">
        <f t="shared" si="21"/>
        <v xml:space="preserve"> </v>
      </c>
      <c r="BN91" s="136" t="str">
        <f t="shared" si="21"/>
        <v xml:space="preserve"> </v>
      </c>
      <c r="BO91" s="136" t="str">
        <f t="shared" si="21"/>
        <v xml:space="preserve"> </v>
      </c>
      <c r="BP91" s="136" t="str">
        <f t="shared" si="21"/>
        <v xml:space="preserve"> </v>
      </c>
      <c r="BQ91" s="136" t="str">
        <f t="shared" si="21"/>
        <v xml:space="preserve"> </v>
      </c>
      <c r="BR91" s="136" t="str">
        <f t="shared" si="21"/>
        <v xml:space="preserve"> </v>
      </c>
      <c r="BS91" s="136" t="str">
        <f t="shared" si="21"/>
        <v xml:space="preserve"> </v>
      </c>
      <c r="BT91" s="136" t="str">
        <f t="shared" si="21"/>
        <v xml:space="preserve"> </v>
      </c>
      <c r="BU91" s="136" t="str">
        <f t="shared" si="21"/>
        <v xml:space="preserve"> </v>
      </c>
      <c r="BV91" s="136" t="str">
        <f t="shared" si="21"/>
        <v xml:space="preserve"> </v>
      </c>
      <c r="BW91" s="136" t="str">
        <f t="shared" si="21"/>
        <v xml:space="preserve"> </v>
      </c>
      <c r="BX91" s="136" t="str">
        <f t="shared" si="21"/>
        <v xml:space="preserve"> </v>
      </c>
      <c r="BY91" s="136" t="str">
        <f t="shared" si="21"/>
        <v xml:space="preserve"> </v>
      </c>
      <c r="BZ91" s="136" t="str">
        <f t="shared" si="21"/>
        <v xml:space="preserve"> </v>
      </c>
      <c r="CA91" s="136" t="str">
        <f t="shared" si="20"/>
        <v xml:space="preserve"> </v>
      </c>
      <c r="CB91" s="136" t="str">
        <f t="shared" si="20"/>
        <v xml:space="preserve"> </v>
      </c>
      <c r="CC91" s="136" t="str">
        <f t="shared" si="20"/>
        <v xml:space="preserve"> </v>
      </c>
      <c r="CD91" s="136" t="str">
        <f t="shared" si="20"/>
        <v xml:space="preserve"> </v>
      </c>
      <c r="CE91" s="136" t="str">
        <f t="shared" si="20"/>
        <v xml:space="preserve"> </v>
      </c>
      <c r="CF91" s="136" t="str">
        <f t="shared" si="20"/>
        <v xml:space="preserve"> </v>
      </c>
      <c r="CG91" s="136" t="str">
        <f t="shared" si="20"/>
        <v xml:space="preserve"> </v>
      </c>
      <c r="CH91" s="136" t="str">
        <f t="shared" si="20"/>
        <v xml:space="preserve"> </v>
      </c>
    </row>
    <row r="92" spans="1:86" x14ac:dyDescent="0.25">
      <c r="A92">
        <v>70</v>
      </c>
      <c r="B92">
        <f t="shared" si="22"/>
        <v>38.027500000000003</v>
      </c>
      <c r="C92" s="75">
        <f>B92*LBP/'G&amp;H'!$K$7</f>
        <v>8277703282.8282852</v>
      </c>
      <c r="D92" s="75">
        <f>0.075/((LOG10(C92)-2)^2)+'G&amp;H'!$D$17/1000</f>
        <v>1.0053401504537111E-3</v>
      </c>
      <c r="E92">
        <f>D92*0.5*1.025*'G&amp;H'!$K$19*Tools1!B92^2</f>
        <v>8118.2075222503518</v>
      </c>
      <c r="AG92" s="135" t="e">
        <f t="shared" si="15"/>
        <v>#N/A</v>
      </c>
      <c r="AH92" s="136">
        <v>91</v>
      </c>
      <c r="AI92" s="138"/>
      <c r="AJ92" s="138"/>
      <c r="AK92" s="138"/>
      <c r="AL92" s="138"/>
      <c r="AM92" s="138"/>
      <c r="AN92" s="138"/>
      <c r="AO92" s="138"/>
      <c r="AP92" s="138"/>
      <c r="AQ92" s="138"/>
      <c r="AR92" s="138"/>
      <c r="AS92" s="138"/>
      <c r="AT92" s="138"/>
      <c r="AU92" s="138"/>
      <c r="AV92" s="138"/>
      <c r="AW92" s="138"/>
      <c r="AX92" s="138"/>
      <c r="AY92" s="138"/>
      <c r="AZ92" s="138"/>
      <c r="BA92" s="138"/>
      <c r="BB92" s="138"/>
      <c r="BC92" s="138"/>
      <c r="BD92" s="138"/>
      <c r="BE92" s="138"/>
      <c r="BF92" s="138"/>
      <c r="BG92" s="136" t="b">
        <f t="shared" si="16"/>
        <v>0</v>
      </c>
      <c r="BH92" s="136">
        <f>ROW()</f>
        <v>92</v>
      </c>
      <c r="BI92" s="136">
        <v>91</v>
      </c>
      <c r="BJ92" s="136" t="str">
        <f t="shared" si="18"/>
        <v>NA</v>
      </c>
      <c r="BK92" s="136" t="e">
        <f t="shared" si="21"/>
        <v>#N/A</v>
      </c>
      <c r="BL92" s="136" t="str">
        <f t="shared" si="21"/>
        <v xml:space="preserve"> </v>
      </c>
      <c r="BM92" s="136" t="str">
        <f t="shared" si="21"/>
        <v xml:space="preserve"> </v>
      </c>
      <c r="BN92" s="136" t="str">
        <f t="shared" si="21"/>
        <v xml:space="preserve"> </v>
      </c>
      <c r="BO92" s="136" t="str">
        <f t="shared" si="21"/>
        <v xml:space="preserve"> </v>
      </c>
      <c r="BP92" s="136" t="str">
        <f t="shared" si="21"/>
        <v xml:space="preserve"> </v>
      </c>
      <c r="BQ92" s="136" t="str">
        <f t="shared" si="21"/>
        <v xml:space="preserve"> </v>
      </c>
      <c r="BR92" s="136" t="str">
        <f t="shared" si="21"/>
        <v xml:space="preserve"> </v>
      </c>
      <c r="BS92" s="136" t="str">
        <f t="shared" si="21"/>
        <v xml:space="preserve"> </v>
      </c>
      <c r="BT92" s="136" t="str">
        <f t="shared" si="21"/>
        <v xml:space="preserve"> </v>
      </c>
      <c r="BU92" s="136" t="str">
        <f t="shared" si="21"/>
        <v xml:space="preserve"> </v>
      </c>
      <c r="BV92" s="136" t="str">
        <f t="shared" si="21"/>
        <v xml:space="preserve"> </v>
      </c>
      <c r="BW92" s="136" t="str">
        <f t="shared" si="21"/>
        <v xml:space="preserve"> </v>
      </c>
      <c r="BX92" s="136" t="str">
        <f t="shared" si="21"/>
        <v xml:space="preserve"> </v>
      </c>
      <c r="BY92" s="136" t="str">
        <f t="shared" si="21"/>
        <v xml:space="preserve"> </v>
      </c>
      <c r="BZ92" s="136" t="str">
        <f t="shared" si="21"/>
        <v xml:space="preserve"> </v>
      </c>
      <c r="CA92" s="136" t="str">
        <f t="shared" si="20"/>
        <v xml:space="preserve"> </v>
      </c>
      <c r="CB92" s="136" t="str">
        <f t="shared" si="20"/>
        <v xml:space="preserve"> </v>
      </c>
      <c r="CC92" s="136" t="str">
        <f t="shared" si="20"/>
        <v xml:space="preserve"> </v>
      </c>
      <c r="CD92" s="136" t="str">
        <f t="shared" si="20"/>
        <v xml:space="preserve"> </v>
      </c>
      <c r="CE92" s="136" t="str">
        <f t="shared" si="20"/>
        <v xml:space="preserve"> </v>
      </c>
      <c r="CF92" s="136" t="str">
        <f t="shared" si="20"/>
        <v xml:space="preserve"> </v>
      </c>
      <c r="CG92" s="136" t="str">
        <f t="shared" si="20"/>
        <v xml:space="preserve"> </v>
      </c>
      <c r="CH92" s="136" t="str">
        <f t="shared" si="20"/>
        <v xml:space="preserve"> </v>
      </c>
    </row>
    <row r="93" spans="1:86" x14ac:dyDescent="0.25">
      <c r="A93">
        <v>71</v>
      </c>
      <c r="B93">
        <f t="shared" si="22"/>
        <v>38.570750000000004</v>
      </c>
      <c r="C93" s="75">
        <f>B93*LBP/'G&amp;H'!$K$7</f>
        <v>8395956186.8686895</v>
      </c>
      <c r="D93" s="75">
        <f>0.075/((LOG10(C93)-2)^2)+'G&amp;H'!$D$17/1000</f>
        <v>1.0034808247638188E-3</v>
      </c>
      <c r="E93">
        <f>D93*0.5*1.025*'G&amp;H'!$K$19*Tools1!B93^2</f>
        <v>8336.3668303456489</v>
      </c>
      <c r="AG93" s="135" t="e">
        <f t="shared" si="15"/>
        <v>#N/A</v>
      </c>
      <c r="AH93" s="136">
        <v>92</v>
      </c>
      <c r="AI93" s="138"/>
      <c r="AJ93" s="138"/>
      <c r="AK93" s="138"/>
      <c r="AL93" s="138"/>
      <c r="AM93" s="138"/>
      <c r="AN93" s="138"/>
      <c r="AO93" s="138"/>
      <c r="AP93" s="138"/>
      <c r="AQ93" s="138"/>
      <c r="AR93" s="138"/>
      <c r="AS93" s="138"/>
      <c r="AT93" s="138"/>
      <c r="AU93" s="138"/>
      <c r="AV93" s="138"/>
      <c r="AW93" s="138"/>
      <c r="AX93" s="138"/>
      <c r="AY93" s="138"/>
      <c r="AZ93" s="138"/>
      <c r="BA93" s="138"/>
      <c r="BB93" s="138"/>
      <c r="BC93" s="138"/>
      <c r="BD93" s="138"/>
      <c r="BE93" s="138"/>
      <c r="BF93" s="138"/>
      <c r="BG93" s="136" t="b">
        <f t="shared" si="16"/>
        <v>0</v>
      </c>
      <c r="BH93" s="136">
        <f>ROW()</f>
        <v>93</v>
      </c>
      <c r="BI93" s="136">
        <v>92</v>
      </c>
      <c r="BJ93" s="136" t="str">
        <f t="shared" si="18"/>
        <v>NA</v>
      </c>
      <c r="BK93" s="136" t="e">
        <f t="shared" si="21"/>
        <v>#N/A</v>
      </c>
      <c r="BL93" s="136" t="str">
        <f t="shared" si="21"/>
        <v xml:space="preserve"> </v>
      </c>
      <c r="BM93" s="136" t="str">
        <f t="shared" si="21"/>
        <v xml:space="preserve"> </v>
      </c>
      <c r="BN93" s="136" t="str">
        <f t="shared" si="21"/>
        <v xml:space="preserve"> </v>
      </c>
      <c r="BO93" s="136" t="str">
        <f t="shared" si="21"/>
        <v xml:space="preserve"> </v>
      </c>
      <c r="BP93" s="136" t="str">
        <f t="shared" si="21"/>
        <v xml:space="preserve"> </v>
      </c>
      <c r="BQ93" s="136" t="str">
        <f t="shared" si="21"/>
        <v xml:space="preserve"> </v>
      </c>
      <c r="BR93" s="136" t="str">
        <f t="shared" si="21"/>
        <v xml:space="preserve"> </v>
      </c>
      <c r="BS93" s="136" t="str">
        <f t="shared" si="21"/>
        <v xml:space="preserve"> </v>
      </c>
      <c r="BT93" s="136" t="str">
        <f t="shared" si="21"/>
        <v xml:space="preserve"> </v>
      </c>
      <c r="BU93" s="136" t="str">
        <f t="shared" si="21"/>
        <v xml:space="preserve"> </v>
      </c>
      <c r="BV93" s="136" t="str">
        <f t="shared" si="21"/>
        <v xml:space="preserve"> </v>
      </c>
      <c r="BW93" s="136" t="str">
        <f t="shared" si="21"/>
        <v xml:space="preserve"> </v>
      </c>
      <c r="BX93" s="136" t="str">
        <f t="shared" si="21"/>
        <v xml:space="preserve"> </v>
      </c>
      <c r="BY93" s="136" t="str">
        <f t="shared" si="21"/>
        <v xml:space="preserve"> </v>
      </c>
      <c r="BZ93" s="136" t="str">
        <f t="shared" si="21"/>
        <v xml:space="preserve"> </v>
      </c>
      <c r="CA93" s="136" t="str">
        <f t="shared" si="20"/>
        <v xml:space="preserve"> </v>
      </c>
      <c r="CB93" s="136" t="str">
        <f t="shared" si="20"/>
        <v xml:space="preserve"> </v>
      </c>
      <c r="CC93" s="136" t="str">
        <f t="shared" si="20"/>
        <v xml:space="preserve"> </v>
      </c>
      <c r="CD93" s="136" t="str">
        <f t="shared" si="20"/>
        <v xml:space="preserve"> </v>
      </c>
      <c r="CE93" s="136" t="str">
        <f t="shared" si="20"/>
        <v xml:space="preserve"> </v>
      </c>
      <c r="CF93" s="136" t="str">
        <f t="shared" si="20"/>
        <v xml:space="preserve"> </v>
      </c>
      <c r="CG93" s="136" t="str">
        <f t="shared" si="20"/>
        <v xml:space="preserve"> </v>
      </c>
      <c r="CH93" s="136" t="str">
        <f t="shared" si="20"/>
        <v xml:space="preserve"> </v>
      </c>
    </row>
    <row r="94" spans="1:86" x14ac:dyDescent="0.25">
      <c r="A94">
        <v>72</v>
      </c>
      <c r="B94">
        <f t="shared" si="22"/>
        <v>39.114000000000004</v>
      </c>
      <c r="C94" s="75">
        <f>B94*LBP/'G&amp;H'!$K$7</f>
        <v>8514209090.9090929</v>
      </c>
      <c r="D94" s="75">
        <f>0.075/((LOG10(C94)-2)^2)+'G&amp;H'!$D$17/1000</f>
        <v>1.0016517454609036E-3</v>
      </c>
      <c r="E94">
        <f>D94*0.5*1.025*'G&amp;H'!$K$19*Tools1!B94^2</f>
        <v>8557.221750947414</v>
      </c>
      <c r="AG94" s="135" t="e">
        <f t="shared" si="15"/>
        <v>#N/A</v>
      </c>
      <c r="AH94" s="136">
        <v>93</v>
      </c>
      <c r="AI94" s="138"/>
      <c r="AJ94" s="138"/>
      <c r="AK94" s="138"/>
      <c r="AL94" s="138"/>
      <c r="AM94" s="138"/>
      <c r="AN94" s="138"/>
      <c r="AO94" s="138"/>
      <c r="AP94" s="138"/>
      <c r="AQ94" s="138"/>
      <c r="AR94" s="138"/>
      <c r="AS94" s="138"/>
      <c r="AT94" s="138"/>
      <c r="AU94" s="138"/>
      <c r="AV94" s="138"/>
      <c r="AW94" s="138"/>
      <c r="AX94" s="138"/>
      <c r="AY94" s="138"/>
      <c r="AZ94" s="138"/>
      <c r="BA94" s="138"/>
      <c r="BB94" s="138"/>
      <c r="BC94" s="138"/>
      <c r="BD94" s="138"/>
      <c r="BE94" s="138"/>
      <c r="BF94" s="138"/>
      <c r="BG94" s="136" t="b">
        <f t="shared" si="16"/>
        <v>0</v>
      </c>
      <c r="BH94" s="136">
        <f>ROW()</f>
        <v>94</v>
      </c>
      <c r="BI94" s="136">
        <v>93</v>
      </c>
      <c r="BJ94" s="136" t="str">
        <f t="shared" si="18"/>
        <v>NA</v>
      </c>
      <c r="BK94" s="136" t="e">
        <f t="shared" si="21"/>
        <v>#N/A</v>
      </c>
      <c r="BL94" s="136" t="str">
        <f t="shared" si="21"/>
        <v xml:space="preserve"> </v>
      </c>
      <c r="BM94" s="136" t="str">
        <f t="shared" si="21"/>
        <v xml:space="preserve"> </v>
      </c>
      <c r="BN94" s="136" t="str">
        <f t="shared" si="21"/>
        <v xml:space="preserve"> </v>
      </c>
      <c r="BO94" s="136" t="str">
        <f t="shared" si="21"/>
        <v xml:space="preserve"> </v>
      </c>
      <c r="BP94" s="136" t="str">
        <f t="shared" si="21"/>
        <v xml:space="preserve"> </v>
      </c>
      <c r="BQ94" s="136" t="str">
        <f t="shared" si="21"/>
        <v xml:space="preserve"> </v>
      </c>
      <c r="BR94" s="136" t="str">
        <f t="shared" si="21"/>
        <v xml:space="preserve"> </v>
      </c>
      <c r="BS94" s="136" t="str">
        <f t="shared" si="21"/>
        <v xml:space="preserve"> </v>
      </c>
      <c r="BT94" s="136" t="str">
        <f t="shared" si="21"/>
        <v xml:space="preserve"> </v>
      </c>
      <c r="BU94" s="136" t="str">
        <f t="shared" si="21"/>
        <v xml:space="preserve"> </v>
      </c>
      <c r="BV94" s="136" t="str">
        <f t="shared" si="21"/>
        <v xml:space="preserve"> </v>
      </c>
      <c r="BW94" s="136" t="str">
        <f t="shared" si="21"/>
        <v xml:space="preserve"> </v>
      </c>
      <c r="BX94" s="136" t="str">
        <f t="shared" si="21"/>
        <v xml:space="preserve"> </v>
      </c>
      <c r="BY94" s="136" t="str">
        <f t="shared" si="21"/>
        <v xml:space="preserve"> </v>
      </c>
      <c r="BZ94" s="136" t="str">
        <f t="shared" si="21"/>
        <v xml:space="preserve"> </v>
      </c>
      <c r="CA94" s="136" t="str">
        <f t="shared" si="20"/>
        <v xml:space="preserve"> </v>
      </c>
      <c r="CB94" s="136" t="str">
        <f t="shared" si="20"/>
        <v xml:space="preserve"> </v>
      </c>
      <c r="CC94" s="136" t="str">
        <f t="shared" si="20"/>
        <v xml:space="preserve"> </v>
      </c>
      <c r="CD94" s="136" t="str">
        <f t="shared" si="20"/>
        <v xml:space="preserve"> </v>
      </c>
      <c r="CE94" s="136" t="str">
        <f t="shared" si="20"/>
        <v xml:space="preserve"> </v>
      </c>
      <c r="CF94" s="136" t="str">
        <f t="shared" si="20"/>
        <v xml:space="preserve"> </v>
      </c>
      <c r="CG94" s="136" t="str">
        <f t="shared" si="20"/>
        <v xml:space="preserve"> </v>
      </c>
      <c r="CH94" s="136" t="str">
        <f t="shared" si="20"/>
        <v xml:space="preserve"> </v>
      </c>
    </row>
    <row r="95" spans="1:86" x14ac:dyDescent="0.25">
      <c r="A95">
        <v>73</v>
      </c>
      <c r="B95">
        <f t="shared" si="22"/>
        <v>39.657249999999998</v>
      </c>
      <c r="C95" s="75">
        <f>B95*LBP/'G&amp;H'!$K$7</f>
        <v>8632461994.9494953</v>
      </c>
      <c r="D95" s="75">
        <f>0.075/((LOG10(C95)-2)^2)+'G&amp;H'!$D$17/1000</f>
        <v>9.9985200740232362E-4</v>
      </c>
      <c r="E95">
        <f>D95*0.5*1.025*'G&amp;H'!$K$19*Tools1!B95^2</f>
        <v>8780.7676330026825</v>
      </c>
      <c r="AG95" s="135" t="e">
        <f t="shared" si="15"/>
        <v>#N/A</v>
      </c>
      <c r="AH95" s="136">
        <v>94</v>
      </c>
      <c r="AI95" s="138"/>
      <c r="AJ95" s="138"/>
      <c r="AK95" s="138"/>
      <c r="AL95" s="138"/>
      <c r="AM95" s="138"/>
      <c r="AN95" s="138"/>
      <c r="AO95" s="138"/>
      <c r="AP95" s="138"/>
      <c r="AQ95" s="138"/>
      <c r="AR95" s="138"/>
      <c r="AS95" s="138"/>
      <c r="AT95" s="138"/>
      <c r="AU95" s="138"/>
      <c r="AV95" s="138"/>
      <c r="AW95" s="138"/>
      <c r="AX95" s="138"/>
      <c r="AY95" s="138"/>
      <c r="AZ95" s="138"/>
      <c r="BA95" s="138"/>
      <c r="BB95" s="138"/>
      <c r="BC95" s="138"/>
      <c r="BD95" s="138"/>
      <c r="BE95" s="138"/>
      <c r="BF95" s="138"/>
      <c r="BG95" s="136" t="b">
        <f t="shared" si="16"/>
        <v>0</v>
      </c>
      <c r="BH95" s="136">
        <f>ROW()</f>
        <v>95</v>
      </c>
      <c r="BI95" s="136">
        <v>94</v>
      </c>
      <c r="BJ95" s="136" t="str">
        <f t="shared" si="18"/>
        <v>NA</v>
      </c>
      <c r="BK95" s="136" t="e">
        <f t="shared" si="21"/>
        <v>#N/A</v>
      </c>
      <c r="BL95" s="136" t="str">
        <f t="shared" si="21"/>
        <v xml:space="preserve"> </v>
      </c>
      <c r="BM95" s="136" t="str">
        <f t="shared" si="21"/>
        <v xml:space="preserve"> </v>
      </c>
      <c r="BN95" s="136" t="str">
        <f t="shared" si="21"/>
        <v xml:space="preserve"> </v>
      </c>
      <c r="BO95" s="136" t="str">
        <f t="shared" si="21"/>
        <v xml:space="preserve"> </v>
      </c>
      <c r="BP95" s="136" t="str">
        <f t="shared" si="21"/>
        <v xml:space="preserve"> </v>
      </c>
      <c r="BQ95" s="136" t="str">
        <f t="shared" si="21"/>
        <v xml:space="preserve"> </v>
      </c>
      <c r="BR95" s="136" t="str">
        <f t="shared" si="21"/>
        <v xml:space="preserve"> </v>
      </c>
      <c r="BS95" s="136" t="str">
        <f t="shared" si="21"/>
        <v xml:space="preserve"> </v>
      </c>
      <c r="BT95" s="136" t="str">
        <f t="shared" si="21"/>
        <v xml:space="preserve"> </v>
      </c>
      <c r="BU95" s="136" t="str">
        <f t="shared" si="21"/>
        <v xml:space="preserve"> </v>
      </c>
      <c r="BV95" s="136" t="str">
        <f t="shared" si="21"/>
        <v xml:space="preserve"> </v>
      </c>
      <c r="BW95" s="136" t="str">
        <f t="shared" si="21"/>
        <v xml:space="preserve"> </v>
      </c>
      <c r="BX95" s="136" t="str">
        <f t="shared" si="21"/>
        <v xml:space="preserve"> </v>
      </c>
      <c r="BY95" s="136" t="str">
        <f t="shared" si="21"/>
        <v xml:space="preserve"> </v>
      </c>
      <c r="BZ95" s="136" t="str">
        <f t="shared" si="21"/>
        <v xml:space="preserve"> </v>
      </c>
      <c r="CA95" s="136" t="str">
        <f t="shared" si="20"/>
        <v xml:space="preserve"> </v>
      </c>
      <c r="CB95" s="136" t="str">
        <f t="shared" si="20"/>
        <v xml:space="preserve"> </v>
      </c>
      <c r="CC95" s="136" t="str">
        <f t="shared" si="20"/>
        <v xml:space="preserve"> </v>
      </c>
      <c r="CD95" s="136" t="str">
        <f t="shared" si="20"/>
        <v xml:space="preserve"> </v>
      </c>
      <c r="CE95" s="136" t="str">
        <f t="shared" si="20"/>
        <v xml:space="preserve"> </v>
      </c>
      <c r="CF95" s="136" t="str">
        <f t="shared" si="20"/>
        <v xml:space="preserve"> </v>
      </c>
      <c r="CG95" s="136" t="str">
        <f t="shared" si="20"/>
        <v xml:space="preserve"> </v>
      </c>
      <c r="CH95" s="136" t="str">
        <f t="shared" si="20"/>
        <v xml:space="preserve"> </v>
      </c>
    </row>
    <row r="96" spans="1:86" x14ac:dyDescent="0.25">
      <c r="A96">
        <v>74</v>
      </c>
      <c r="B96">
        <f t="shared" si="22"/>
        <v>40.200499999999998</v>
      </c>
      <c r="C96" s="75">
        <f>B96*LBP/'G&amp;H'!$K$7</f>
        <v>8750714898.9899006</v>
      </c>
      <c r="D96" s="75">
        <f>0.075/((LOG10(C96)-2)^2)+'G&amp;H'!$D$17/1000</f>
        <v>9.9808074451917194E-4</v>
      </c>
      <c r="E96">
        <f>D96*0.5*1.025*'G&amp;H'!$K$19*Tools1!B96^2</f>
        <v>9006.9998991239536</v>
      </c>
      <c r="AG96" s="135" t="e">
        <f t="shared" si="15"/>
        <v>#N/A</v>
      </c>
      <c r="AH96" s="136">
        <v>95</v>
      </c>
      <c r="AI96" s="138"/>
      <c r="AJ96" s="138"/>
      <c r="AK96" s="138"/>
      <c r="AL96" s="138"/>
      <c r="AM96" s="138"/>
      <c r="AN96" s="138"/>
      <c r="AO96" s="138"/>
      <c r="AP96" s="138"/>
      <c r="AQ96" s="138"/>
      <c r="AR96" s="138"/>
      <c r="AS96" s="138"/>
      <c r="AT96" s="138"/>
      <c r="AU96" s="138"/>
      <c r="AV96" s="138"/>
      <c r="AW96" s="138"/>
      <c r="AX96" s="138"/>
      <c r="AY96" s="138"/>
      <c r="AZ96" s="138"/>
      <c r="BA96" s="138"/>
      <c r="BB96" s="138"/>
      <c r="BC96" s="138"/>
      <c r="BD96" s="138"/>
      <c r="BE96" s="138"/>
      <c r="BF96" s="138"/>
      <c r="BG96" s="136" t="b">
        <f t="shared" si="16"/>
        <v>0</v>
      </c>
      <c r="BH96" s="136">
        <f>ROW()</f>
        <v>96</v>
      </c>
      <c r="BI96" s="136">
        <v>95</v>
      </c>
      <c r="BJ96" s="136" t="str">
        <f t="shared" si="18"/>
        <v>NA</v>
      </c>
      <c r="BK96" s="136" t="e">
        <f t="shared" si="21"/>
        <v>#N/A</v>
      </c>
      <c r="BL96" s="136" t="str">
        <f t="shared" si="21"/>
        <v xml:space="preserve"> </v>
      </c>
      <c r="BM96" s="136" t="str">
        <f t="shared" si="21"/>
        <v xml:space="preserve"> </v>
      </c>
      <c r="BN96" s="136" t="str">
        <f t="shared" si="21"/>
        <v xml:space="preserve"> </v>
      </c>
      <c r="BO96" s="136" t="str">
        <f t="shared" si="21"/>
        <v xml:space="preserve"> </v>
      </c>
      <c r="BP96" s="136" t="str">
        <f t="shared" si="21"/>
        <v xml:space="preserve"> </v>
      </c>
      <c r="BQ96" s="136" t="str">
        <f t="shared" si="21"/>
        <v xml:space="preserve"> </v>
      </c>
      <c r="BR96" s="136" t="str">
        <f t="shared" si="21"/>
        <v xml:space="preserve"> </v>
      </c>
      <c r="BS96" s="136" t="str">
        <f t="shared" si="21"/>
        <v xml:space="preserve"> </v>
      </c>
      <c r="BT96" s="136" t="str">
        <f t="shared" si="21"/>
        <v xml:space="preserve"> </v>
      </c>
      <c r="BU96" s="136" t="str">
        <f t="shared" si="21"/>
        <v xml:space="preserve"> </v>
      </c>
      <c r="BV96" s="136" t="str">
        <f t="shared" si="21"/>
        <v xml:space="preserve"> </v>
      </c>
      <c r="BW96" s="136" t="str">
        <f t="shared" si="21"/>
        <v xml:space="preserve"> </v>
      </c>
      <c r="BX96" s="136" t="str">
        <f t="shared" si="21"/>
        <v xml:space="preserve"> </v>
      </c>
      <c r="BY96" s="136" t="str">
        <f t="shared" si="21"/>
        <v xml:space="preserve"> </v>
      </c>
      <c r="BZ96" s="136" t="str">
        <f t="shared" si="21"/>
        <v xml:space="preserve"> </v>
      </c>
      <c r="CA96" s="136" t="str">
        <f t="shared" si="20"/>
        <v xml:space="preserve"> </v>
      </c>
      <c r="CB96" s="136" t="str">
        <f t="shared" si="20"/>
        <v xml:space="preserve"> </v>
      </c>
      <c r="CC96" s="136" t="str">
        <f t="shared" si="20"/>
        <v xml:space="preserve"> </v>
      </c>
      <c r="CD96" s="136" t="str">
        <f t="shared" si="20"/>
        <v xml:space="preserve"> </v>
      </c>
      <c r="CE96" s="136" t="str">
        <f t="shared" si="20"/>
        <v xml:space="preserve"> </v>
      </c>
      <c r="CF96" s="136" t="str">
        <f t="shared" si="20"/>
        <v xml:space="preserve"> </v>
      </c>
      <c r="CG96" s="136" t="str">
        <f t="shared" si="20"/>
        <v xml:space="preserve"> </v>
      </c>
      <c r="CH96" s="136" t="str">
        <f t="shared" si="20"/>
        <v xml:space="preserve"> </v>
      </c>
    </row>
    <row r="97" spans="1:86" x14ac:dyDescent="0.25">
      <c r="A97">
        <v>75</v>
      </c>
      <c r="B97">
        <f t="shared" si="22"/>
        <v>40.743749999999999</v>
      </c>
      <c r="C97" s="75">
        <f>B97*LBP/'G&amp;H'!$K$7</f>
        <v>8868967803.030304</v>
      </c>
      <c r="D97" s="75">
        <f>0.075/((LOG10(C97)-2)^2)+'G&amp;H'!$D$17/1000</f>
        <v>9.9633712762661666E-4</v>
      </c>
      <c r="E97">
        <f>D97*0.5*1.025*'G&amp;H'!$K$19*Tools1!B97^2</f>
        <v>9235.9140434307101</v>
      </c>
      <c r="AG97" s="135" t="e">
        <f t="shared" si="15"/>
        <v>#N/A</v>
      </c>
      <c r="AH97" s="136">
        <v>96</v>
      </c>
      <c r="AI97" s="138"/>
      <c r="AJ97" s="138"/>
      <c r="AK97" s="138"/>
      <c r="AL97" s="138"/>
      <c r="AM97" s="138"/>
      <c r="AN97" s="138"/>
      <c r="AO97" s="138"/>
      <c r="AP97" s="138"/>
      <c r="AQ97" s="138"/>
      <c r="AR97" s="138"/>
      <c r="AS97" s="138"/>
      <c r="AT97" s="138"/>
      <c r="AU97" s="138"/>
      <c r="AV97" s="138"/>
      <c r="AW97" s="138"/>
      <c r="AX97" s="138"/>
      <c r="AY97" s="138"/>
      <c r="AZ97" s="138"/>
      <c r="BA97" s="138"/>
      <c r="BB97" s="138"/>
      <c r="BC97" s="138"/>
      <c r="BD97" s="138"/>
      <c r="BE97" s="138"/>
      <c r="BF97" s="138"/>
      <c r="BG97" s="136" t="b">
        <f t="shared" si="16"/>
        <v>0</v>
      </c>
      <c r="BH97" s="136">
        <f>ROW()</f>
        <v>97</v>
      </c>
      <c r="BI97" s="136">
        <v>96</v>
      </c>
      <c r="BJ97" s="136" t="str">
        <f t="shared" si="18"/>
        <v>NA</v>
      </c>
      <c r="BK97" s="136" t="e">
        <f t="shared" si="21"/>
        <v>#N/A</v>
      </c>
      <c r="BL97" s="136" t="str">
        <f t="shared" si="21"/>
        <v xml:space="preserve"> </v>
      </c>
      <c r="BM97" s="136" t="str">
        <f t="shared" si="21"/>
        <v xml:space="preserve"> </v>
      </c>
      <c r="BN97" s="136" t="str">
        <f t="shared" si="21"/>
        <v xml:space="preserve"> </v>
      </c>
      <c r="BO97" s="136" t="str">
        <f t="shared" si="21"/>
        <v xml:space="preserve"> </v>
      </c>
      <c r="BP97" s="136" t="str">
        <f t="shared" si="21"/>
        <v xml:space="preserve"> </v>
      </c>
      <c r="BQ97" s="136" t="str">
        <f t="shared" si="21"/>
        <v xml:space="preserve"> </v>
      </c>
      <c r="BR97" s="136" t="str">
        <f t="shared" si="21"/>
        <v xml:space="preserve"> </v>
      </c>
      <c r="BS97" s="136" t="str">
        <f t="shared" si="21"/>
        <v xml:space="preserve"> </v>
      </c>
      <c r="BT97" s="136" t="str">
        <f t="shared" si="21"/>
        <v xml:space="preserve"> </v>
      </c>
      <c r="BU97" s="136" t="str">
        <f t="shared" si="21"/>
        <v xml:space="preserve"> </v>
      </c>
      <c r="BV97" s="136" t="str">
        <f t="shared" si="21"/>
        <v xml:space="preserve"> </v>
      </c>
      <c r="BW97" s="136" t="str">
        <f t="shared" si="21"/>
        <v xml:space="preserve"> </v>
      </c>
      <c r="BX97" s="136" t="str">
        <f t="shared" si="21"/>
        <v xml:space="preserve"> </v>
      </c>
      <c r="BY97" s="136" t="str">
        <f t="shared" si="21"/>
        <v xml:space="preserve"> </v>
      </c>
      <c r="BZ97" s="136" t="str">
        <f t="shared" si="21"/>
        <v xml:space="preserve"> </v>
      </c>
      <c r="CA97" s="136" t="str">
        <f t="shared" si="20"/>
        <v xml:space="preserve"> </v>
      </c>
      <c r="CB97" s="136" t="str">
        <f t="shared" si="20"/>
        <v xml:space="preserve"> </v>
      </c>
      <c r="CC97" s="136" t="str">
        <f t="shared" si="20"/>
        <v xml:space="preserve"> </v>
      </c>
      <c r="CD97" s="136" t="str">
        <f t="shared" si="20"/>
        <v xml:space="preserve"> </v>
      </c>
      <c r="CE97" s="136" t="str">
        <f t="shared" si="20"/>
        <v xml:space="preserve"> </v>
      </c>
      <c r="CF97" s="136" t="str">
        <f t="shared" si="20"/>
        <v xml:space="preserve"> </v>
      </c>
      <c r="CG97" s="136" t="str">
        <f t="shared" si="20"/>
        <v xml:space="preserve"> </v>
      </c>
      <c r="CH97" s="136" t="str">
        <f t="shared" si="20"/>
        <v xml:space="preserve"> </v>
      </c>
    </row>
    <row r="98" spans="1:86" x14ac:dyDescent="0.25">
      <c r="A98">
        <v>76</v>
      </c>
      <c r="B98">
        <f t="shared" si="22"/>
        <v>41.286999999999999</v>
      </c>
      <c r="C98" s="75">
        <f>B98*LBP/'G&amp;H'!$K$7</f>
        <v>8987220707.0707092</v>
      </c>
      <c r="D98" s="75">
        <f>0.075/((LOG10(C98)-2)^2)+'G&amp;H'!$D$17/1000</f>
        <v>9.9462036238435374E-4</v>
      </c>
      <c r="E98">
        <f>D98*0.5*1.025*'G&amp;H'!$K$19*Tools1!B98^2</f>
        <v>9467.5056294823407</v>
      </c>
      <c r="AG98" s="135" t="e">
        <f t="shared" si="15"/>
        <v>#N/A</v>
      </c>
      <c r="AH98" s="136">
        <v>97</v>
      </c>
      <c r="AI98" s="138"/>
      <c r="AJ98" s="138"/>
      <c r="AK98" s="138"/>
      <c r="AL98" s="138"/>
      <c r="AM98" s="138"/>
      <c r="AN98" s="138"/>
      <c r="AO98" s="138"/>
      <c r="AP98" s="138"/>
      <c r="AQ98" s="138"/>
      <c r="AR98" s="138"/>
      <c r="AS98" s="138"/>
      <c r="AT98" s="138"/>
      <c r="AU98" s="138"/>
      <c r="AV98" s="138"/>
      <c r="AW98" s="138"/>
      <c r="AX98" s="138"/>
      <c r="AY98" s="138"/>
      <c r="AZ98" s="138"/>
      <c r="BA98" s="138"/>
      <c r="BB98" s="138"/>
      <c r="BC98" s="138"/>
      <c r="BD98" s="138"/>
      <c r="BE98" s="138"/>
      <c r="BF98" s="138"/>
      <c r="BG98" s="136" t="b">
        <f t="shared" si="16"/>
        <v>0</v>
      </c>
      <c r="BH98" s="136">
        <f>ROW()</f>
        <v>98</v>
      </c>
      <c r="BI98" s="136">
        <v>97</v>
      </c>
      <c r="BJ98" s="136" t="str">
        <f t="shared" si="18"/>
        <v>NA</v>
      </c>
      <c r="BK98" s="136" t="e">
        <f t="shared" si="21"/>
        <v>#N/A</v>
      </c>
      <c r="BL98" s="136" t="str">
        <f t="shared" si="21"/>
        <v xml:space="preserve"> </v>
      </c>
      <c r="BM98" s="136" t="str">
        <f t="shared" si="21"/>
        <v xml:space="preserve"> </v>
      </c>
      <c r="BN98" s="136" t="str">
        <f t="shared" si="21"/>
        <v xml:space="preserve"> </v>
      </c>
      <c r="BO98" s="136" t="str">
        <f t="shared" si="21"/>
        <v xml:space="preserve"> </v>
      </c>
      <c r="BP98" s="136" t="str">
        <f t="shared" si="21"/>
        <v xml:space="preserve"> </v>
      </c>
      <c r="BQ98" s="136" t="str">
        <f t="shared" si="21"/>
        <v xml:space="preserve"> </v>
      </c>
      <c r="BR98" s="136" t="str">
        <f t="shared" si="21"/>
        <v xml:space="preserve"> </v>
      </c>
      <c r="BS98" s="136" t="str">
        <f t="shared" si="21"/>
        <v xml:space="preserve"> </v>
      </c>
      <c r="BT98" s="136" t="str">
        <f t="shared" si="21"/>
        <v xml:space="preserve"> </v>
      </c>
      <c r="BU98" s="136" t="str">
        <f t="shared" si="21"/>
        <v xml:space="preserve"> </v>
      </c>
      <c r="BV98" s="136" t="str">
        <f t="shared" si="21"/>
        <v xml:space="preserve"> </v>
      </c>
      <c r="BW98" s="136" t="str">
        <f t="shared" si="21"/>
        <v xml:space="preserve"> </v>
      </c>
      <c r="BX98" s="136" t="str">
        <f t="shared" si="21"/>
        <v xml:space="preserve"> </v>
      </c>
      <c r="BY98" s="136" t="str">
        <f t="shared" si="21"/>
        <v xml:space="preserve"> </v>
      </c>
      <c r="BZ98" s="136" t="str">
        <f t="shared" si="21"/>
        <v xml:space="preserve"> </v>
      </c>
      <c r="CA98" s="136" t="str">
        <f t="shared" si="20"/>
        <v xml:space="preserve"> </v>
      </c>
      <c r="CB98" s="136" t="str">
        <f t="shared" si="20"/>
        <v xml:space="preserve"> </v>
      </c>
      <c r="CC98" s="136" t="str">
        <f t="shared" si="20"/>
        <v xml:space="preserve"> </v>
      </c>
      <c r="CD98" s="136" t="str">
        <f t="shared" si="20"/>
        <v xml:space="preserve"> </v>
      </c>
      <c r="CE98" s="136" t="str">
        <f t="shared" si="20"/>
        <v xml:space="preserve"> </v>
      </c>
      <c r="CF98" s="136" t="str">
        <f t="shared" si="20"/>
        <v xml:space="preserve"> </v>
      </c>
      <c r="CG98" s="136" t="str">
        <f t="shared" si="20"/>
        <v xml:space="preserve"> </v>
      </c>
      <c r="CH98" s="136" t="str">
        <f t="shared" si="20"/>
        <v xml:space="preserve"> </v>
      </c>
    </row>
    <row r="99" spans="1:86" x14ac:dyDescent="0.25">
      <c r="A99">
        <v>77</v>
      </c>
      <c r="B99">
        <f t="shared" si="22"/>
        <v>41.830249999999999</v>
      </c>
      <c r="C99" s="75">
        <f>B99*LBP/'G&amp;H'!$K$7</f>
        <v>9105473611.1111126</v>
      </c>
      <c r="D99" s="75">
        <f>0.075/((LOG10(C99)-2)^2)+'G&amp;H'!$D$17/1000</f>
        <v>9.9292968739506863E-4</v>
      </c>
      <c r="E99">
        <f>D99*0.5*1.025*'G&amp;H'!$K$19*Tools1!B99^2</f>
        <v>9701.7702882975118</v>
      </c>
      <c r="AG99" s="135" t="e">
        <f t="shared" si="15"/>
        <v>#N/A</v>
      </c>
      <c r="AH99" s="136">
        <v>98</v>
      </c>
      <c r="AI99" s="138"/>
      <c r="AJ99" s="138"/>
      <c r="AK99" s="138"/>
      <c r="AL99" s="138"/>
      <c r="AM99" s="138"/>
      <c r="AN99" s="138"/>
      <c r="AO99" s="138"/>
      <c r="AP99" s="138"/>
      <c r="AQ99" s="138"/>
      <c r="AR99" s="138"/>
      <c r="AS99" s="138"/>
      <c r="AT99" s="138"/>
      <c r="AU99" s="138"/>
      <c r="AV99" s="138"/>
      <c r="AW99" s="138"/>
      <c r="AX99" s="138"/>
      <c r="AY99" s="138"/>
      <c r="AZ99" s="138"/>
      <c r="BA99" s="138"/>
      <c r="BB99" s="138"/>
      <c r="BC99" s="138"/>
      <c r="BD99" s="138"/>
      <c r="BE99" s="138"/>
      <c r="BF99" s="138"/>
      <c r="BG99" s="136" t="b">
        <f t="shared" si="16"/>
        <v>0</v>
      </c>
      <c r="BH99" s="136">
        <f>ROW()</f>
        <v>99</v>
      </c>
      <c r="BI99" s="136">
        <v>98</v>
      </c>
      <c r="BJ99" s="136" t="str">
        <f t="shared" si="18"/>
        <v>NA</v>
      </c>
      <c r="BK99" s="136" t="e">
        <f t="shared" si="21"/>
        <v>#N/A</v>
      </c>
      <c r="BL99" s="136" t="str">
        <f t="shared" si="21"/>
        <v xml:space="preserve"> </v>
      </c>
      <c r="BM99" s="136" t="str">
        <f t="shared" si="21"/>
        <v xml:space="preserve"> </v>
      </c>
      <c r="BN99" s="136" t="str">
        <f t="shared" si="21"/>
        <v xml:space="preserve"> </v>
      </c>
      <c r="BO99" s="136" t="str">
        <f t="shared" si="21"/>
        <v xml:space="preserve"> </v>
      </c>
      <c r="BP99" s="136" t="str">
        <f t="shared" si="21"/>
        <v xml:space="preserve"> </v>
      </c>
      <c r="BQ99" s="136" t="str">
        <f t="shared" si="21"/>
        <v xml:space="preserve"> </v>
      </c>
      <c r="BR99" s="136" t="str">
        <f t="shared" si="21"/>
        <v xml:space="preserve"> </v>
      </c>
      <c r="BS99" s="136" t="str">
        <f t="shared" si="21"/>
        <v xml:space="preserve"> </v>
      </c>
      <c r="BT99" s="136" t="str">
        <f t="shared" si="21"/>
        <v xml:space="preserve"> </v>
      </c>
      <c r="BU99" s="136" t="str">
        <f t="shared" si="21"/>
        <v xml:space="preserve"> </v>
      </c>
      <c r="BV99" s="136" t="str">
        <f t="shared" si="21"/>
        <v xml:space="preserve"> </v>
      </c>
      <c r="BW99" s="136" t="str">
        <f t="shared" si="21"/>
        <v xml:space="preserve"> </v>
      </c>
      <c r="BX99" s="136" t="str">
        <f t="shared" si="21"/>
        <v xml:space="preserve"> </v>
      </c>
      <c r="BY99" s="136" t="str">
        <f t="shared" si="21"/>
        <v xml:space="preserve"> </v>
      </c>
      <c r="BZ99" s="136" t="str">
        <f t="shared" si="21"/>
        <v xml:space="preserve"> </v>
      </c>
      <c r="CA99" s="136" t="str">
        <f t="shared" si="20"/>
        <v xml:space="preserve"> </v>
      </c>
      <c r="CB99" s="136" t="str">
        <f t="shared" si="20"/>
        <v xml:space="preserve"> </v>
      </c>
      <c r="CC99" s="136" t="str">
        <f t="shared" si="20"/>
        <v xml:space="preserve"> </v>
      </c>
      <c r="CD99" s="136" t="str">
        <f t="shared" si="20"/>
        <v xml:space="preserve"> </v>
      </c>
      <c r="CE99" s="136" t="str">
        <f t="shared" si="20"/>
        <v xml:space="preserve"> </v>
      </c>
      <c r="CF99" s="136" t="str">
        <f t="shared" si="20"/>
        <v xml:space="preserve"> </v>
      </c>
      <c r="CG99" s="136" t="str">
        <f t="shared" si="20"/>
        <v xml:space="preserve"> </v>
      </c>
      <c r="CH99" s="136" t="str">
        <f t="shared" si="20"/>
        <v xml:space="preserve"> </v>
      </c>
    </row>
    <row r="100" spans="1:86" x14ac:dyDescent="0.25">
      <c r="A100">
        <v>78</v>
      </c>
      <c r="B100">
        <f t="shared" si="22"/>
        <v>42.3735</v>
      </c>
      <c r="C100" s="75">
        <f>B100*LBP/'G&amp;H'!$K$7</f>
        <v>9223726515.1515179</v>
      </c>
      <c r="D100" s="75">
        <f>0.075/((LOG10(C100)-2)^2)+'G&amp;H'!$D$17/1000</f>
        <v>9.9126437242989958E-4</v>
      </c>
      <c r="E100">
        <f>D100*0.5*1.025*'G&amp;H'!$K$19*Tools1!B100^2</f>
        <v>9938.7037164552385</v>
      </c>
      <c r="AG100" s="135" t="e">
        <f t="shared" si="15"/>
        <v>#N/A</v>
      </c>
      <c r="AH100" s="136">
        <v>99</v>
      </c>
      <c r="AI100" s="138"/>
      <c r="AJ100" s="138"/>
      <c r="AK100" s="138"/>
      <c r="AL100" s="138"/>
      <c r="AM100" s="138"/>
      <c r="AN100" s="138"/>
      <c r="AO100" s="138"/>
      <c r="AP100" s="138"/>
      <c r="AQ100" s="138"/>
      <c r="AR100" s="138"/>
      <c r="AS100" s="138"/>
      <c r="AT100" s="138"/>
      <c r="AU100" s="138"/>
      <c r="AV100" s="138"/>
      <c r="AW100" s="138"/>
      <c r="AX100" s="138"/>
      <c r="AY100" s="138"/>
      <c r="AZ100" s="138"/>
      <c r="BA100" s="138"/>
      <c r="BB100" s="138"/>
      <c r="BC100" s="138"/>
      <c r="BD100" s="138"/>
      <c r="BE100" s="138"/>
      <c r="BF100" s="138"/>
      <c r="BG100" s="136" t="b">
        <f t="shared" si="16"/>
        <v>0</v>
      </c>
      <c r="BH100" s="136">
        <f>ROW()</f>
        <v>100</v>
      </c>
      <c r="BI100" s="136">
        <v>99</v>
      </c>
      <c r="BJ100" s="136" t="str">
        <f t="shared" si="18"/>
        <v>NA</v>
      </c>
      <c r="BK100" s="136" t="e">
        <f t="shared" si="21"/>
        <v>#N/A</v>
      </c>
      <c r="BL100" s="136" t="str">
        <f t="shared" si="21"/>
        <v xml:space="preserve"> </v>
      </c>
      <c r="BM100" s="136" t="str">
        <f t="shared" si="21"/>
        <v xml:space="preserve"> </v>
      </c>
      <c r="BN100" s="136" t="str">
        <f t="shared" si="21"/>
        <v xml:space="preserve"> </v>
      </c>
      <c r="BO100" s="136" t="str">
        <f t="shared" si="21"/>
        <v xml:space="preserve"> </v>
      </c>
      <c r="BP100" s="136" t="str">
        <f t="shared" si="21"/>
        <v xml:space="preserve"> </v>
      </c>
      <c r="BQ100" s="136" t="str">
        <f t="shared" si="21"/>
        <v xml:space="preserve"> </v>
      </c>
      <c r="BR100" s="136" t="str">
        <f t="shared" si="21"/>
        <v xml:space="preserve"> </v>
      </c>
      <c r="BS100" s="136" t="str">
        <f t="shared" si="21"/>
        <v xml:space="preserve"> </v>
      </c>
      <c r="BT100" s="136" t="str">
        <f t="shared" si="21"/>
        <v xml:space="preserve"> </v>
      </c>
      <c r="BU100" s="136" t="str">
        <f t="shared" si="21"/>
        <v xml:space="preserve"> </v>
      </c>
      <c r="BV100" s="136" t="str">
        <f t="shared" si="21"/>
        <v xml:space="preserve"> </v>
      </c>
      <c r="BW100" s="136" t="str">
        <f t="shared" si="21"/>
        <v xml:space="preserve"> </v>
      </c>
      <c r="BX100" s="136" t="str">
        <f t="shared" si="21"/>
        <v xml:space="preserve"> </v>
      </c>
      <c r="BY100" s="136" t="str">
        <f t="shared" si="21"/>
        <v xml:space="preserve"> </v>
      </c>
      <c r="BZ100" s="136" t="str">
        <f t="shared" ref="BZ100:CH111" si="23">IF(VLOOKUP($BJ100,$AH$2:$BF$111,1+BZ$1,FALSE)="(NA)",NA(),VLOOKUP($BJ100,$AH$2:$BF$111,1+BZ$1,FALSE))</f>
        <v xml:space="preserve"> </v>
      </c>
      <c r="CA100" s="136" t="str">
        <f t="shared" si="23"/>
        <v xml:space="preserve"> </v>
      </c>
      <c r="CB100" s="136" t="str">
        <f t="shared" si="23"/>
        <v xml:space="preserve"> </v>
      </c>
      <c r="CC100" s="136" t="str">
        <f t="shared" si="23"/>
        <v xml:space="preserve"> </v>
      </c>
      <c r="CD100" s="136" t="str">
        <f t="shared" si="23"/>
        <v xml:space="preserve"> </v>
      </c>
      <c r="CE100" s="136" t="str">
        <f t="shared" si="23"/>
        <v xml:space="preserve"> </v>
      </c>
      <c r="CF100" s="136" t="str">
        <f t="shared" si="23"/>
        <v xml:space="preserve"> </v>
      </c>
      <c r="CG100" s="136" t="str">
        <f t="shared" si="23"/>
        <v xml:space="preserve"> </v>
      </c>
      <c r="CH100" s="136" t="str">
        <f t="shared" si="23"/>
        <v xml:space="preserve"> </v>
      </c>
    </row>
    <row r="101" spans="1:86" x14ac:dyDescent="0.25">
      <c r="A101">
        <v>79</v>
      </c>
      <c r="B101">
        <f t="shared" si="22"/>
        <v>42.91675</v>
      </c>
      <c r="C101" s="75">
        <f>B101*LBP/'G&amp;H'!$K$7</f>
        <v>9341979419.1919212</v>
      </c>
      <c r="D101" s="75">
        <f>0.075/((LOG10(C101)-2)^2)+'G&amp;H'!$D$17/1000</f>
        <v>9.8962371677090632E-4</v>
      </c>
      <c r="E101">
        <f>D101*0.5*1.025*'G&amp;H'!$K$19*Tools1!B101^2</f>
        <v>10178.30167427328</v>
      </c>
      <c r="AG101" s="135" t="e">
        <f t="shared" si="15"/>
        <v>#N/A</v>
      </c>
      <c r="AH101" s="136">
        <v>100</v>
      </c>
      <c r="AI101" s="138"/>
      <c r="AJ101" s="138"/>
      <c r="AK101" s="138"/>
      <c r="AL101" s="138"/>
      <c r="AM101" s="138"/>
      <c r="AN101" s="138"/>
      <c r="AO101" s="138"/>
      <c r="AP101" s="138"/>
      <c r="AQ101" s="138"/>
      <c r="AR101" s="138"/>
      <c r="AS101" s="138"/>
      <c r="AT101" s="138"/>
      <c r="AU101" s="138"/>
      <c r="AV101" s="138"/>
      <c r="AW101" s="138"/>
      <c r="AX101" s="138"/>
      <c r="AY101" s="138"/>
      <c r="AZ101" s="138"/>
      <c r="BA101" s="138"/>
      <c r="BB101" s="138"/>
      <c r="BC101" s="138"/>
      <c r="BD101" s="138"/>
      <c r="BE101" s="138"/>
      <c r="BF101" s="138"/>
      <c r="BG101" s="136" t="b">
        <f t="shared" si="16"/>
        <v>0</v>
      </c>
      <c r="BH101" s="136">
        <f>ROW()</f>
        <v>101</v>
      </c>
      <c r="BI101" s="136">
        <v>100</v>
      </c>
      <c r="BJ101" s="136" t="str">
        <f t="shared" si="18"/>
        <v>NA</v>
      </c>
      <c r="BK101" s="136" t="e">
        <f t="shared" ref="BK101:BY111" si="24">IF(VLOOKUP($BJ101,$AH$2:$BF$111,1+BK$1,FALSE)="(NA)",NA(),VLOOKUP($BJ101,$AH$2:$BF$111,1+BK$1,FALSE))</f>
        <v>#N/A</v>
      </c>
      <c r="BL101" s="136" t="str">
        <f t="shared" si="24"/>
        <v xml:space="preserve"> </v>
      </c>
      <c r="BM101" s="136" t="str">
        <f t="shared" si="24"/>
        <v xml:space="preserve"> </v>
      </c>
      <c r="BN101" s="136" t="str">
        <f t="shared" si="24"/>
        <v xml:space="preserve"> </v>
      </c>
      <c r="BO101" s="136" t="str">
        <f t="shared" si="24"/>
        <v xml:space="preserve"> </v>
      </c>
      <c r="BP101" s="136" t="str">
        <f t="shared" si="24"/>
        <v xml:space="preserve"> </v>
      </c>
      <c r="BQ101" s="136" t="str">
        <f t="shared" si="24"/>
        <v xml:space="preserve"> </v>
      </c>
      <c r="BR101" s="136" t="str">
        <f t="shared" si="24"/>
        <v xml:space="preserve"> </v>
      </c>
      <c r="BS101" s="136" t="str">
        <f t="shared" si="24"/>
        <v xml:space="preserve"> </v>
      </c>
      <c r="BT101" s="136" t="str">
        <f t="shared" si="24"/>
        <v xml:space="preserve"> </v>
      </c>
      <c r="BU101" s="136" t="str">
        <f t="shared" si="24"/>
        <v xml:space="preserve"> </v>
      </c>
      <c r="BV101" s="136" t="str">
        <f t="shared" si="24"/>
        <v xml:space="preserve"> </v>
      </c>
      <c r="BW101" s="136" t="str">
        <f t="shared" si="24"/>
        <v xml:space="preserve"> </v>
      </c>
      <c r="BX101" s="136" t="str">
        <f t="shared" si="24"/>
        <v xml:space="preserve"> </v>
      </c>
      <c r="BY101" s="136" t="str">
        <f t="shared" si="24"/>
        <v xml:space="preserve"> </v>
      </c>
      <c r="BZ101" s="136" t="str">
        <f t="shared" si="23"/>
        <v xml:space="preserve"> </v>
      </c>
      <c r="CA101" s="136" t="str">
        <f t="shared" si="23"/>
        <v xml:space="preserve"> </v>
      </c>
      <c r="CB101" s="136" t="str">
        <f t="shared" si="23"/>
        <v xml:space="preserve"> </v>
      </c>
      <c r="CC101" s="136" t="str">
        <f t="shared" si="23"/>
        <v xml:space="preserve"> </v>
      </c>
      <c r="CD101" s="136" t="str">
        <f t="shared" si="23"/>
        <v xml:space="preserve"> </v>
      </c>
      <c r="CE101" s="136" t="str">
        <f t="shared" si="23"/>
        <v xml:space="preserve"> </v>
      </c>
      <c r="CF101" s="136" t="str">
        <f t="shared" si="23"/>
        <v xml:space="preserve"> </v>
      </c>
      <c r="CG101" s="136" t="str">
        <f t="shared" si="23"/>
        <v xml:space="preserve"> </v>
      </c>
      <c r="CH101" s="136" t="str">
        <f t="shared" si="23"/>
        <v xml:space="preserve"> </v>
      </c>
    </row>
    <row r="102" spans="1:86" x14ac:dyDescent="0.25">
      <c r="A102">
        <v>80</v>
      </c>
      <c r="B102">
        <f t="shared" si="22"/>
        <v>43.46</v>
      </c>
      <c r="C102" s="75">
        <f>B102*LBP/'G&amp;H'!$K$7</f>
        <v>9460232323.2323246</v>
      </c>
      <c r="D102" s="75">
        <f>0.075/((LOG10(C102)-2)^2)+'G&amp;H'!$D$17/1000</f>
        <v>9.8800704766146066E-4</v>
      </c>
      <c r="E102">
        <f>D102*0.5*1.025*'G&amp;H'!$K$19*Tools1!B102^2</f>
        <v>10420.559984059821</v>
      </c>
      <c r="AG102" s="135" t="e">
        <f t="shared" si="15"/>
        <v>#N/A</v>
      </c>
      <c r="AH102" s="136">
        <v>101</v>
      </c>
      <c r="AI102" s="138"/>
      <c r="AJ102" s="138"/>
      <c r="AK102" s="138"/>
      <c r="AL102" s="138"/>
      <c r="AM102" s="138"/>
      <c r="AN102" s="138"/>
      <c r="AO102" s="138"/>
      <c r="AP102" s="138"/>
      <c r="AQ102" s="138"/>
      <c r="AR102" s="138"/>
      <c r="AS102" s="138"/>
      <c r="AT102" s="138"/>
      <c r="AU102" s="138"/>
      <c r="AV102" s="138"/>
      <c r="AW102" s="138"/>
      <c r="AX102" s="138"/>
      <c r="AY102" s="138"/>
      <c r="AZ102" s="138"/>
      <c r="BA102" s="138"/>
      <c r="BB102" s="138"/>
      <c r="BC102" s="138"/>
      <c r="BD102" s="138"/>
      <c r="BE102" s="138"/>
      <c r="BF102" s="138"/>
      <c r="BG102" s="136" t="b">
        <f t="shared" si="16"/>
        <v>0</v>
      </c>
      <c r="BH102" s="136">
        <f>ROW()</f>
        <v>102</v>
      </c>
      <c r="BI102" s="136">
        <v>101</v>
      </c>
      <c r="BJ102" s="136" t="str">
        <f t="shared" si="18"/>
        <v>NA</v>
      </c>
      <c r="BK102" s="136" t="e">
        <f t="shared" si="24"/>
        <v>#N/A</v>
      </c>
      <c r="BL102" s="136" t="str">
        <f t="shared" si="24"/>
        <v xml:space="preserve"> </v>
      </c>
      <c r="BM102" s="136" t="str">
        <f t="shared" si="24"/>
        <v xml:space="preserve"> </v>
      </c>
      <c r="BN102" s="136" t="str">
        <f t="shared" si="24"/>
        <v xml:space="preserve"> </v>
      </c>
      <c r="BO102" s="136" t="str">
        <f t="shared" si="24"/>
        <v xml:space="preserve"> </v>
      </c>
      <c r="BP102" s="136" t="str">
        <f t="shared" si="24"/>
        <v xml:space="preserve"> </v>
      </c>
      <c r="BQ102" s="136" t="str">
        <f t="shared" si="24"/>
        <v xml:space="preserve"> </v>
      </c>
      <c r="BR102" s="136" t="str">
        <f t="shared" si="24"/>
        <v xml:space="preserve"> </v>
      </c>
      <c r="BS102" s="136" t="str">
        <f t="shared" si="24"/>
        <v xml:space="preserve"> </v>
      </c>
      <c r="BT102" s="136" t="str">
        <f t="shared" si="24"/>
        <v xml:space="preserve"> </v>
      </c>
      <c r="BU102" s="136" t="str">
        <f t="shared" si="24"/>
        <v xml:space="preserve"> </v>
      </c>
      <c r="BV102" s="136" t="str">
        <f t="shared" si="24"/>
        <v xml:space="preserve"> </v>
      </c>
      <c r="BW102" s="136" t="str">
        <f t="shared" si="24"/>
        <v xml:space="preserve"> </v>
      </c>
      <c r="BX102" s="136" t="str">
        <f t="shared" si="24"/>
        <v xml:space="preserve"> </v>
      </c>
      <c r="BY102" s="136" t="str">
        <f t="shared" si="24"/>
        <v xml:space="preserve"> </v>
      </c>
      <c r="BZ102" s="136" t="str">
        <f t="shared" si="23"/>
        <v xml:space="preserve"> </v>
      </c>
      <c r="CA102" s="136" t="str">
        <f t="shared" si="23"/>
        <v xml:space="preserve"> </v>
      </c>
      <c r="CB102" s="136" t="str">
        <f t="shared" si="23"/>
        <v xml:space="preserve"> </v>
      </c>
      <c r="CC102" s="136" t="str">
        <f t="shared" si="23"/>
        <v xml:space="preserve"> </v>
      </c>
      <c r="CD102" s="136" t="str">
        <f t="shared" si="23"/>
        <v xml:space="preserve"> </v>
      </c>
      <c r="CE102" s="136" t="str">
        <f t="shared" si="23"/>
        <v xml:space="preserve"> </v>
      </c>
      <c r="CF102" s="136" t="str">
        <f t="shared" si="23"/>
        <v xml:space="preserve"> </v>
      </c>
      <c r="CG102" s="136" t="str">
        <f t="shared" si="23"/>
        <v xml:space="preserve"> </v>
      </c>
      <c r="CH102" s="136" t="str">
        <f t="shared" si="23"/>
        <v xml:space="preserve"> </v>
      </c>
    </row>
    <row r="103" spans="1:86" x14ac:dyDescent="0.25">
      <c r="A103">
        <v>81</v>
      </c>
      <c r="B103">
        <f t="shared" si="22"/>
        <v>44.003250000000001</v>
      </c>
      <c r="C103" s="75">
        <f>B103*LBP/'G&amp;H'!$K$7</f>
        <v>9578485227.2727299</v>
      </c>
      <c r="D103" s="75">
        <f>0.075/((LOG10(C103)-2)^2)+'G&amp;H'!$D$17/1000</f>
        <v>9.8641371885626965E-4</v>
      </c>
      <c r="E103">
        <f>D103*0.5*1.025*'G&amp;H'!$K$19*Tools1!B103^2</f>
        <v>10665.474528434484</v>
      </c>
      <c r="AG103" s="135" t="e">
        <f t="shared" si="15"/>
        <v>#N/A</v>
      </c>
      <c r="AH103" s="136">
        <v>102</v>
      </c>
      <c r="AI103" s="138"/>
      <c r="AJ103" s="138"/>
      <c r="AK103" s="138"/>
      <c r="AL103" s="138"/>
      <c r="AM103" s="138"/>
      <c r="AN103" s="138"/>
      <c r="AO103" s="138"/>
      <c r="AP103" s="138"/>
      <c r="AQ103" s="138"/>
      <c r="AR103" s="138"/>
      <c r="AS103" s="138"/>
      <c r="AT103" s="138"/>
      <c r="AU103" s="138"/>
      <c r="AV103" s="138"/>
      <c r="AW103" s="138"/>
      <c r="AX103" s="138"/>
      <c r="AY103" s="138"/>
      <c r="AZ103" s="138"/>
      <c r="BA103" s="138"/>
      <c r="BB103" s="138"/>
      <c r="BC103" s="138"/>
      <c r="BD103" s="138"/>
      <c r="BE103" s="138"/>
      <c r="BF103" s="138"/>
      <c r="BG103" s="136" t="b">
        <f t="shared" si="16"/>
        <v>0</v>
      </c>
      <c r="BH103" s="136">
        <f>ROW()</f>
        <v>103</v>
      </c>
      <c r="BI103" s="136">
        <v>102</v>
      </c>
      <c r="BJ103" s="136" t="str">
        <f t="shared" si="18"/>
        <v>NA</v>
      </c>
      <c r="BK103" s="136" t="e">
        <f t="shared" si="24"/>
        <v>#N/A</v>
      </c>
      <c r="BL103" s="136" t="str">
        <f t="shared" si="24"/>
        <v xml:space="preserve"> </v>
      </c>
      <c r="BM103" s="136" t="str">
        <f t="shared" si="24"/>
        <v xml:space="preserve"> </v>
      </c>
      <c r="BN103" s="136" t="str">
        <f t="shared" si="24"/>
        <v xml:space="preserve"> </v>
      </c>
      <c r="BO103" s="136" t="str">
        <f t="shared" si="24"/>
        <v xml:space="preserve"> </v>
      </c>
      <c r="BP103" s="136" t="str">
        <f t="shared" si="24"/>
        <v xml:space="preserve"> </v>
      </c>
      <c r="BQ103" s="136" t="str">
        <f t="shared" si="24"/>
        <v xml:space="preserve"> </v>
      </c>
      <c r="BR103" s="136" t="str">
        <f t="shared" si="24"/>
        <v xml:space="preserve"> </v>
      </c>
      <c r="BS103" s="136" t="str">
        <f t="shared" si="24"/>
        <v xml:space="preserve"> </v>
      </c>
      <c r="BT103" s="136" t="str">
        <f t="shared" si="24"/>
        <v xml:space="preserve"> </v>
      </c>
      <c r="BU103" s="136" t="str">
        <f t="shared" si="24"/>
        <v xml:space="preserve"> </v>
      </c>
      <c r="BV103" s="136" t="str">
        <f t="shared" si="24"/>
        <v xml:space="preserve"> </v>
      </c>
      <c r="BW103" s="136" t="str">
        <f t="shared" si="24"/>
        <v xml:space="preserve"> </v>
      </c>
      <c r="BX103" s="136" t="str">
        <f t="shared" si="24"/>
        <v xml:space="preserve"> </v>
      </c>
      <c r="BY103" s="136" t="str">
        <f t="shared" si="24"/>
        <v xml:space="preserve"> </v>
      </c>
      <c r="BZ103" s="136" t="str">
        <f t="shared" si="23"/>
        <v xml:space="preserve"> </v>
      </c>
      <c r="CA103" s="136" t="str">
        <f t="shared" si="23"/>
        <v xml:space="preserve"> </v>
      </c>
      <c r="CB103" s="136" t="str">
        <f t="shared" si="23"/>
        <v xml:space="preserve"> </v>
      </c>
      <c r="CC103" s="136" t="str">
        <f t="shared" si="23"/>
        <v xml:space="preserve"> </v>
      </c>
      <c r="CD103" s="136" t="str">
        <f t="shared" si="23"/>
        <v xml:space="preserve"> </v>
      </c>
      <c r="CE103" s="136" t="str">
        <f t="shared" si="23"/>
        <v xml:space="preserve"> </v>
      </c>
      <c r="CF103" s="136" t="str">
        <f t="shared" si="23"/>
        <v xml:space="preserve"> </v>
      </c>
      <c r="CG103" s="136" t="str">
        <f t="shared" si="23"/>
        <v xml:space="preserve"> </v>
      </c>
      <c r="CH103" s="136" t="str">
        <f t="shared" si="23"/>
        <v xml:space="preserve"> </v>
      </c>
    </row>
    <row r="104" spans="1:86" x14ac:dyDescent="0.25">
      <c r="A104">
        <v>82</v>
      </c>
      <c r="B104">
        <f t="shared" si="22"/>
        <v>44.546500000000002</v>
      </c>
      <c r="C104" s="75">
        <f>B104*LBP/'G&amp;H'!$K$7</f>
        <v>9696738131.3131332</v>
      </c>
      <c r="D104" s="75">
        <f>0.075/((LOG10(C104)-2)^2)+'G&amp;H'!$D$17/1000</f>
        <v>9.8484310926348542E-4</v>
      </c>
      <c r="E104">
        <f>D104*0.5*1.025*'G&amp;H'!$K$19*Tools1!B104^2</f>
        <v>10913.041248715244</v>
      </c>
      <c r="AG104" s="135" t="e">
        <f t="shared" si="15"/>
        <v>#N/A</v>
      </c>
      <c r="AH104" s="136">
        <v>103</v>
      </c>
      <c r="AI104" s="138"/>
      <c r="AJ104" s="138"/>
      <c r="AK104" s="138"/>
      <c r="AL104" s="138"/>
      <c r="AM104" s="138"/>
      <c r="AN104" s="138"/>
      <c r="AO104" s="138"/>
      <c r="AP104" s="138"/>
      <c r="AQ104" s="138"/>
      <c r="AR104" s="138"/>
      <c r="AS104" s="138"/>
      <c r="AT104" s="138"/>
      <c r="AU104" s="138"/>
      <c r="AV104" s="138"/>
      <c r="AW104" s="138"/>
      <c r="AX104" s="138"/>
      <c r="AY104" s="138"/>
      <c r="AZ104" s="138"/>
      <c r="BA104" s="138"/>
      <c r="BB104" s="138"/>
      <c r="BC104" s="138"/>
      <c r="BD104" s="138"/>
      <c r="BE104" s="138"/>
      <c r="BF104" s="138"/>
      <c r="BG104" s="136" t="b">
        <f t="shared" si="16"/>
        <v>0</v>
      </c>
      <c r="BH104" s="136">
        <f>ROW()</f>
        <v>104</v>
      </c>
      <c r="BI104" s="136">
        <v>103</v>
      </c>
      <c r="BJ104" s="136" t="str">
        <f t="shared" si="18"/>
        <v>NA</v>
      </c>
      <c r="BK104" s="136" t="e">
        <f t="shared" si="24"/>
        <v>#N/A</v>
      </c>
      <c r="BL104" s="136" t="str">
        <f t="shared" si="24"/>
        <v xml:space="preserve"> </v>
      </c>
      <c r="BM104" s="136" t="str">
        <f t="shared" si="24"/>
        <v xml:space="preserve"> </v>
      </c>
      <c r="BN104" s="136" t="str">
        <f t="shared" si="24"/>
        <v xml:space="preserve"> </v>
      </c>
      <c r="BO104" s="136" t="str">
        <f t="shared" si="24"/>
        <v xml:space="preserve"> </v>
      </c>
      <c r="BP104" s="136" t="str">
        <f t="shared" si="24"/>
        <v xml:space="preserve"> </v>
      </c>
      <c r="BQ104" s="136" t="str">
        <f t="shared" si="24"/>
        <v xml:space="preserve"> </v>
      </c>
      <c r="BR104" s="136" t="str">
        <f t="shared" si="24"/>
        <v xml:space="preserve"> </v>
      </c>
      <c r="BS104" s="136" t="str">
        <f t="shared" si="24"/>
        <v xml:space="preserve"> </v>
      </c>
      <c r="BT104" s="136" t="str">
        <f t="shared" si="24"/>
        <v xml:space="preserve"> </v>
      </c>
      <c r="BU104" s="136" t="str">
        <f t="shared" si="24"/>
        <v xml:space="preserve"> </v>
      </c>
      <c r="BV104" s="136" t="str">
        <f t="shared" si="24"/>
        <v xml:space="preserve"> </v>
      </c>
      <c r="BW104" s="136" t="str">
        <f t="shared" si="24"/>
        <v xml:space="preserve"> </v>
      </c>
      <c r="BX104" s="136" t="str">
        <f t="shared" si="24"/>
        <v xml:space="preserve"> </v>
      </c>
      <c r="BY104" s="136" t="str">
        <f t="shared" si="24"/>
        <v xml:space="preserve"> </v>
      </c>
      <c r="BZ104" s="136" t="str">
        <f t="shared" si="23"/>
        <v xml:space="preserve"> </v>
      </c>
      <c r="CA104" s="136" t="str">
        <f t="shared" si="23"/>
        <v xml:space="preserve"> </v>
      </c>
      <c r="CB104" s="136" t="str">
        <f t="shared" si="23"/>
        <v xml:space="preserve"> </v>
      </c>
      <c r="CC104" s="136" t="str">
        <f t="shared" si="23"/>
        <v xml:space="preserve"> </v>
      </c>
      <c r="CD104" s="136" t="str">
        <f t="shared" si="23"/>
        <v xml:space="preserve"> </v>
      </c>
      <c r="CE104" s="136" t="str">
        <f t="shared" si="23"/>
        <v xml:space="preserve"> </v>
      </c>
      <c r="CF104" s="136" t="str">
        <f t="shared" si="23"/>
        <v xml:space="preserve"> </v>
      </c>
      <c r="CG104" s="136" t="str">
        <f t="shared" si="23"/>
        <v xml:space="preserve"> </v>
      </c>
      <c r="CH104" s="136" t="str">
        <f t="shared" si="23"/>
        <v xml:space="preserve"> </v>
      </c>
    </row>
    <row r="105" spans="1:86" x14ac:dyDescent="0.25">
      <c r="A105">
        <v>83</v>
      </c>
      <c r="B105">
        <f t="shared" si="22"/>
        <v>45.089750000000002</v>
      </c>
      <c r="C105" s="75">
        <f>B105*LBP/'G&amp;H'!$K$7</f>
        <v>9814991035.3535366</v>
      </c>
      <c r="D105" s="75">
        <f>0.075/((LOG10(C105)-2)^2)+'G&amp;H'!$D$17/1000</f>
        <v>9.8329462167200425E-4</v>
      </c>
      <c r="E105">
        <f>D105*0.5*1.025*'G&amp;H'!$K$19*Tools1!B105^2</f>
        <v>11163.25614336774</v>
      </c>
      <c r="AG105" s="135" t="e">
        <f t="shared" si="15"/>
        <v>#N/A</v>
      </c>
      <c r="AH105" s="136">
        <v>104</v>
      </c>
      <c r="AI105" s="138"/>
      <c r="AJ105" s="138"/>
      <c r="AK105" s="138"/>
      <c r="AL105" s="138"/>
      <c r="AM105" s="138"/>
      <c r="AN105" s="138"/>
      <c r="AO105" s="138"/>
      <c r="AP105" s="138"/>
      <c r="AQ105" s="138"/>
      <c r="AR105" s="138"/>
      <c r="AS105" s="138"/>
      <c r="AT105" s="138"/>
      <c r="AU105" s="138"/>
      <c r="AV105" s="138"/>
      <c r="AW105" s="138"/>
      <c r="AX105" s="138"/>
      <c r="AY105" s="138"/>
      <c r="AZ105" s="138"/>
      <c r="BA105" s="138"/>
      <c r="BB105" s="138"/>
      <c r="BC105" s="138"/>
      <c r="BD105" s="138"/>
      <c r="BE105" s="138"/>
      <c r="BF105" s="138"/>
      <c r="BG105" s="136" t="b">
        <f t="shared" si="16"/>
        <v>0</v>
      </c>
      <c r="BH105" s="136">
        <f>ROW()</f>
        <v>105</v>
      </c>
      <c r="BI105" s="136">
        <v>104</v>
      </c>
      <c r="BJ105" s="136" t="str">
        <f t="shared" si="18"/>
        <v>NA</v>
      </c>
      <c r="BK105" s="136" t="e">
        <f t="shared" si="24"/>
        <v>#N/A</v>
      </c>
      <c r="BL105" s="136" t="str">
        <f t="shared" si="24"/>
        <v xml:space="preserve"> </v>
      </c>
      <c r="BM105" s="136" t="str">
        <f t="shared" si="24"/>
        <v xml:space="preserve"> </v>
      </c>
      <c r="BN105" s="136" t="str">
        <f t="shared" si="24"/>
        <v xml:space="preserve"> </v>
      </c>
      <c r="BO105" s="136" t="str">
        <f t="shared" si="24"/>
        <v xml:space="preserve"> </v>
      </c>
      <c r="BP105" s="136" t="str">
        <f t="shared" si="24"/>
        <v xml:space="preserve"> </v>
      </c>
      <c r="BQ105" s="136" t="str">
        <f t="shared" si="24"/>
        <v xml:space="preserve"> </v>
      </c>
      <c r="BR105" s="136" t="str">
        <f t="shared" si="24"/>
        <v xml:space="preserve"> </v>
      </c>
      <c r="BS105" s="136" t="str">
        <f t="shared" si="24"/>
        <v xml:space="preserve"> </v>
      </c>
      <c r="BT105" s="136" t="str">
        <f t="shared" si="24"/>
        <v xml:space="preserve"> </v>
      </c>
      <c r="BU105" s="136" t="str">
        <f t="shared" si="24"/>
        <v xml:space="preserve"> </v>
      </c>
      <c r="BV105" s="136" t="str">
        <f t="shared" si="24"/>
        <v xml:space="preserve"> </v>
      </c>
      <c r="BW105" s="136" t="str">
        <f t="shared" si="24"/>
        <v xml:space="preserve"> </v>
      </c>
      <c r="BX105" s="136" t="str">
        <f t="shared" si="24"/>
        <v xml:space="preserve"> </v>
      </c>
      <c r="BY105" s="136" t="str">
        <f t="shared" si="24"/>
        <v xml:space="preserve"> </v>
      </c>
      <c r="BZ105" s="136" t="str">
        <f t="shared" si="23"/>
        <v xml:space="preserve"> </v>
      </c>
      <c r="CA105" s="136" t="str">
        <f t="shared" si="23"/>
        <v xml:space="preserve"> </v>
      </c>
      <c r="CB105" s="136" t="str">
        <f t="shared" si="23"/>
        <v xml:space="preserve"> </v>
      </c>
      <c r="CC105" s="136" t="str">
        <f t="shared" si="23"/>
        <v xml:space="preserve"> </v>
      </c>
      <c r="CD105" s="136" t="str">
        <f t="shared" si="23"/>
        <v xml:space="preserve"> </v>
      </c>
      <c r="CE105" s="136" t="str">
        <f t="shared" si="23"/>
        <v xml:space="preserve"> </v>
      </c>
      <c r="CF105" s="136" t="str">
        <f t="shared" si="23"/>
        <v xml:space="preserve"> </v>
      </c>
      <c r="CG105" s="136" t="str">
        <f t="shared" si="23"/>
        <v xml:space="preserve"> </v>
      </c>
      <c r="CH105" s="136" t="str">
        <f t="shared" si="23"/>
        <v xml:space="preserve"> </v>
      </c>
    </row>
    <row r="106" spans="1:86" x14ac:dyDescent="0.25">
      <c r="A106">
        <v>84</v>
      </c>
      <c r="B106">
        <f t="shared" si="22"/>
        <v>45.633000000000003</v>
      </c>
      <c r="C106" s="75">
        <f>B106*LBP/'G&amp;H'!$K$7</f>
        <v>9933243939.3939419</v>
      </c>
      <c r="D106" s="75">
        <f>0.075/((LOG10(C106)-2)^2)+'G&amp;H'!$D$17/1000</f>
        <v>9.8176768155765442E-4</v>
      </c>
      <c r="E106">
        <f>D106*0.5*1.025*'G&amp;H'!$K$19*Tools1!B106^2</f>
        <v>11416.115266513945</v>
      </c>
      <c r="AG106" s="135" t="e">
        <f t="shared" si="15"/>
        <v>#N/A</v>
      </c>
      <c r="AH106" s="136">
        <v>105</v>
      </c>
      <c r="AI106" s="138"/>
      <c r="AJ106" s="138"/>
      <c r="AK106" s="138"/>
      <c r="AL106" s="138"/>
      <c r="AM106" s="138"/>
      <c r="AN106" s="138"/>
      <c r="AO106" s="138"/>
      <c r="AP106" s="138"/>
      <c r="AQ106" s="138"/>
      <c r="AR106" s="138"/>
      <c r="AS106" s="138"/>
      <c r="AT106" s="138"/>
      <c r="AU106" s="138"/>
      <c r="AV106" s="138"/>
      <c r="AW106" s="138"/>
      <c r="AX106" s="138"/>
      <c r="AY106" s="138"/>
      <c r="AZ106" s="138"/>
      <c r="BA106" s="138"/>
      <c r="BB106" s="138"/>
      <c r="BC106" s="138"/>
      <c r="BD106" s="138"/>
      <c r="BE106" s="138"/>
      <c r="BF106" s="138"/>
      <c r="BG106" s="136" t="b">
        <f t="shared" si="16"/>
        <v>0</v>
      </c>
      <c r="BH106" s="136">
        <f>ROW()</f>
        <v>106</v>
      </c>
      <c r="BI106" s="136">
        <v>105</v>
      </c>
      <c r="BJ106" s="136" t="str">
        <f t="shared" si="18"/>
        <v>NA</v>
      </c>
      <c r="BK106" s="136" t="e">
        <f t="shared" si="24"/>
        <v>#N/A</v>
      </c>
      <c r="BL106" s="136" t="str">
        <f t="shared" si="24"/>
        <v xml:space="preserve"> </v>
      </c>
      <c r="BM106" s="136" t="str">
        <f t="shared" si="24"/>
        <v xml:space="preserve"> </v>
      </c>
      <c r="BN106" s="136" t="str">
        <f t="shared" si="24"/>
        <v xml:space="preserve"> </v>
      </c>
      <c r="BO106" s="136" t="str">
        <f t="shared" si="24"/>
        <v xml:space="preserve"> </v>
      </c>
      <c r="BP106" s="136" t="str">
        <f t="shared" si="24"/>
        <v xml:space="preserve"> </v>
      </c>
      <c r="BQ106" s="136" t="str">
        <f t="shared" si="24"/>
        <v xml:space="preserve"> </v>
      </c>
      <c r="BR106" s="136" t="str">
        <f t="shared" si="24"/>
        <v xml:space="preserve"> </v>
      </c>
      <c r="BS106" s="136" t="str">
        <f t="shared" si="24"/>
        <v xml:space="preserve"> </v>
      </c>
      <c r="BT106" s="136" t="str">
        <f t="shared" si="24"/>
        <v xml:space="preserve"> </v>
      </c>
      <c r="BU106" s="136" t="str">
        <f t="shared" si="24"/>
        <v xml:space="preserve"> </v>
      </c>
      <c r="BV106" s="136" t="str">
        <f t="shared" si="24"/>
        <v xml:space="preserve"> </v>
      </c>
      <c r="BW106" s="136" t="str">
        <f t="shared" si="24"/>
        <v xml:space="preserve"> </v>
      </c>
      <c r="BX106" s="136" t="str">
        <f t="shared" si="24"/>
        <v xml:space="preserve"> </v>
      </c>
      <c r="BY106" s="136" t="str">
        <f t="shared" si="24"/>
        <v xml:space="preserve"> </v>
      </c>
      <c r="BZ106" s="136" t="str">
        <f t="shared" si="23"/>
        <v xml:space="preserve"> </v>
      </c>
      <c r="CA106" s="136" t="str">
        <f t="shared" si="23"/>
        <v xml:space="preserve"> </v>
      </c>
      <c r="CB106" s="136" t="str">
        <f t="shared" si="23"/>
        <v xml:space="preserve"> </v>
      </c>
      <c r="CC106" s="136" t="str">
        <f t="shared" si="23"/>
        <v xml:space="preserve"> </v>
      </c>
      <c r="CD106" s="136" t="str">
        <f t="shared" si="23"/>
        <v xml:space="preserve"> </v>
      </c>
      <c r="CE106" s="136" t="str">
        <f t="shared" si="23"/>
        <v xml:space="preserve"> </v>
      </c>
      <c r="CF106" s="136" t="str">
        <f t="shared" si="23"/>
        <v xml:space="preserve"> </v>
      </c>
      <c r="CG106" s="136" t="str">
        <f t="shared" si="23"/>
        <v xml:space="preserve"> </v>
      </c>
      <c r="CH106" s="136" t="str">
        <f t="shared" si="23"/>
        <v xml:space="preserve"> </v>
      </c>
    </row>
    <row r="107" spans="1:86" x14ac:dyDescent="0.25">
      <c r="A107">
        <v>85</v>
      </c>
      <c r="B107">
        <f t="shared" si="22"/>
        <v>46.176250000000003</v>
      </c>
      <c r="C107" s="75">
        <f>B107*LBP/'G&amp;H'!$K$7</f>
        <v>10051496843.434347</v>
      </c>
      <c r="D107" s="75">
        <f>0.075/((LOG10(C107)-2)^2)+'G&amp;H'!$D$17/1000</f>
        <v>9.802617359625065E-4</v>
      </c>
      <c r="E107">
        <f>D107*0.5*1.025*'G&amp;H'!$K$19*Tools1!B107^2</f>
        <v>11671.614726497181</v>
      </c>
      <c r="AG107" s="135" t="e">
        <f t="shared" si="15"/>
        <v>#N/A</v>
      </c>
      <c r="AH107" s="136">
        <v>106</v>
      </c>
      <c r="AI107" s="138"/>
      <c r="AJ107" s="138"/>
      <c r="AK107" s="138"/>
      <c r="AL107" s="138"/>
      <c r="AM107" s="138"/>
      <c r="AN107" s="138"/>
      <c r="AO107" s="138"/>
      <c r="AP107" s="138"/>
      <c r="AQ107" s="138"/>
      <c r="AR107" s="138"/>
      <c r="AS107" s="138"/>
      <c r="AT107" s="138"/>
      <c r="AU107" s="138"/>
      <c r="AV107" s="138"/>
      <c r="AW107" s="138"/>
      <c r="AX107" s="138"/>
      <c r="AY107" s="138"/>
      <c r="AZ107" s="138"/>
      <c r="BA107" s="138"/>
      <c r="BB107" s="138"/>
      <c r="BC107" s="138"/>
      <c r="BD107" s="138"/>
      <c r="BE107" s="138"/>
      <c r="BF107" s="138"/>
      <c r="BG107" s="136" t="b">
        <f t="shared" si="16"/>
        <v>0</v>
      </c>
      <c r="BH107" s="136">
        <f>ROW()</f>
        <v>107</v>
      </c>
      <c r="BI107" s="136">
        <v>106</v>
      </c>
      <c r="BJ107" s="136" t="str">
        <f t="shared" si="18"/>
        <v>NA</v>
      </c>
      <c r="BK107" s="136" t="e">
        <f t="shared" si="24"/>
        <v>#N/A</v>
      </c>
      <c r="BL107" s="136" t="str">
        <f t="shared" si="24"/>
        <v xml:space="preserve"> </v>
      </c>
      <c r="BM107" s="136" t="str">
        <f t="shared" si="24"/>
        <v xml:space="preserve"> </v>
      </c>
      <c r="BN107" s="136" t="str">
        <f t="shared" si="24"/>
        <v xml:space="preserve"> </v>
      </c>
      <c r="BO107" s="136" t="str">
        <f t="shared" si="24"/>
        <v xml:space="preserve"> </v>
      </c>
      <c r="BP107" s="136" t="str">
        <f t="shared" si="24"/>
        <v xml:space="preserve"> </v>
      </c>
      <c r="BQ107" s="136" t="str">
        <f t="shared" si="24"/>
        <v xml:space="preserve"> </v>
      </c>
      <c r="BR107" s="136" t="str">
        <f t="shared" si="24"/>
        <v xml:space="preserve"> </v>
      </c>
      <c r="BS107" s="136" t="str">
        <f t="shared" si="24"/>
        <v xml:space="preserve"> </v>
      </c>
      <c r="BT107" s="136" t="str">
        <f t="shared" si="24"/>
        <v xml:space="preserve"> </v>
      </c>
      <c r="BU107" s="136" t="str">
        <f t="shared" si="24"/>
        <v xml:space="preserve"> </v>
      </c>
      <c r="BV107" s="136" t="str">
        <f t="shared" si="24"/>
        <v xml:space="preserve"> </v>
      </c>
      <c r="BW107" s="136" t="str">
        <f t="shared" si="24"/>
        <v xml:space="preserve"> </v>
      </c>
      <c r="BX107" s="136" t="str">
        <f t="shared" si="24"/>
        <v xml:space="preserve"> </v>
      </c>
      <c r="BY107" s="136" t="str">
        <f t="shared" si="24"/>
        <v xml:space="preserve"> </v>
      </c>
      <c r="BZ107" s="136" t="str">
        <f t="shared" si="23"/>
        <v xml:space="preserve"> </v>
      </c>
      <c r="CA107" s="136" t="str">
        <f t="shared" si="23"/>
        <v xml:space="preserve"> </v>
      </c>
      <c r="CB107" s="136" t="str">
        <f t="shared" si="23"/>
        <v xml:space="preserve"> </v>
      </c>
      <c r="CC107" s="136" t="str">
        <f t="shared" si="23"/>
        <v xml:space="preserve"> </v>
      </c>
      <c r="CD107" s="136" t="str">
        <f t="shared" si="23"/>
        <v xml:space="preserve"> </v>
      </c>
      <c r="CE107" s="136" t="str">
        <f t="shared" si="23"/>
        <v xml:space="preserve"> </v>
      </c>
      <c r="CF107" s="136" t="str">
        <f t="shared" si="23"/>
        <v xml:space="preserve"> </v>
      </c>
      <c r="CG107" s="136" t="str">
        <f t="shared" si="23"/>
        <v xml:space="preserve"> </v>
      </c>
      <c r="CH107" s="136" t="str">
        <f t="shared" si="23"/>
        <v xml:space="preserve"> </v>
      </c>
    </row>
    <row r="108" spans="1:86" x14ac:dyDescent="0.25">
      <c r="A108">
        <v>86</v>
      </c>
      <c r="B108">
        <f t="shared" si="22"/>
        <v>46.719500000000004</v>
      </c>
      <c r="C108" s="75">
        <f>B108*LBP/'G&amp;H'!$K$7</f>
        <v>10169749747.474751</v>
      </c>
      <c r="D108" s="75">
        <f>0.075/((LOG10(C108)-2)^2)+'G&amp;H'!$D$17/1000</f>
        <v>9.7877625244202041E-4</v>
      </c>
      <c r="E108">
        <f>D108*0.5*1.025*'G&amp;H'!$K$19*Tools1!B108^2</f>
        <v>11929.750684500721</v>
      </c>
      <c r="AG108" s="135" t="e">
        <f t="shared" si="15"/>
        <v>#N/A</v>
      </c>
      <c r="AH108" s="136">
        <v>107</v>
      </c>
      <c r="AI108" s="138"/>
      <c r="AJ108" s="138"/>
      <c r="AK108" s="138"/>
      <c r="AL108" s="138"/>
      <c r="AM108" s="138"/>
      <c r="AN108" s="138"/>
      <c r="AO108" s="138"/>
      <c r="AP108" s="138"/>
      <c r="AQ108" s="138"/>
      <c r="AR108" s="138"/>
      <c r="AS108" s="138"/>
      <c r="AT108" s="138"/>
      <c r="AU108" s="138"/>
      <c r="AV108" s="138"/>
      <c r="AW108" s="138"/>
      <c r="AX108" s="138"/>
      <c r="AY108" s="138"/>
      <c r="AZ108" s="138"/>
      <c r="BA108" s="138"/>
      <c r="BB108" s="138"/>
      <c r="BC108" s="138"/>
      <c r="BD108" s="138"/>
      <c r="BE108" s="138"/>
      <c r="BF108" s="138"/>
      <c r="BG108" s="136" t="b">
        <f t="shared" si="16"/>
        <v>0</v>
      </c>
      <c r="BH108" s="136">
        <f>ROW()</f>
        <v>108</v>
      </c>
      <c r="BI108" s="136">
        <v>107</v>
      </c>
      <c r="BJ108" s="136" t="str">
        <f t="shared" si="18"/>
        <v>NA</v>
      </c>
      <c r="BK108" s="136" t="e">
        <f t="shared" si="24"/>
        <v>#N/A</v>
      </c>
      <c r="BL108" s="136" t="str">
        <f t="shared" si="24"/>
        <v xml:space="preserve"> </v>
      </c>
      <c r="BM108" s="136" t="str">
        <f t="shared" si="24"/>
        <v xml:space="preserve"> </v>
      </c>
      <c r="BN108" s="136" t="str">
        <f t="shared" si="24"/>
        <v xml:space="preserve"> </v>
      </c>
      <c r="BO108" s="136" t="str">
        <f t="shared" si="24"/>
        <v xml:space="preserve"> </v>
      </c>
      <c r="BP108" s="136" t="str">
        <f t="shared" si="24"/>
        <v xml:space="preserve"> </v>
      </c>
      <c r="BQ108" s="136" t="str">
        <f t="shared" si="24"/>
        <v xml:space="preserve"> </v>
      </c>
      <c r="BR108" s="136" t="str">
        <f t="shared" si="24"/>
        <v xml:space="preserve"> </v>
      </c>
      <c r="BS108" s="136" t="str">
        <f t="shared" si="24"/>
        <v xml:space="preserve"> </v>
      </c>
      <c r="BT108" s="136" t="str">
        <f t="shared" si="24"/>
        <v xml:space="preserve"> </v>
      </c>
      <c r="BU108" s="136" t="str">
        <f t="shared" si="24"/>
        <v xml:space="preserve"> </v>
      </c>
      <c r="BV108" s="136" t="str">
        <f t="shared" si="24"/>
        <v xml:space="preserve"> </v>
      </c>
      <c r="BW108" s="136" t="str">
        <f t="shared" si="24"/>
        <v xml:space="preserve"> </v>
      </c>
      <c r="BX108" s="136" t="str">
        <f t="shared" si="24"/>
        <v xml:space="preserve"> </v>
      </c>
      <c r="BY108" s="136" t="str">
        <f t="shared" si="24"/>
        <v xml:space="preserve"> </v>
      </c>
      <c r="BZ108" s="136" t="str">
        <f t="shared" si="23"/>
        <v xml:space="preserve"> </v>
      </c>
      <c r="CA108" s="136" t="str">
        <f t="shared" si="23"/>
        <v xml:space="preserve"> </v>
      </c>
      <c r="CB108" s="136" t="str">
        <f t="shared" si="23"/>
        <v xml:space="preserve"> </v>
      </c>
      <c r="CC108" s="136" t="str">
        <f t="shared" si="23"/>
        <v xml:space="preserve"> </v>
      </c>
      <c r="CD108" s="136" t="str">
        <f t="shared" si="23"/>
        <v xml:space="preserve"> </v>
      </c>
      <c r="CE108" s="136" t="str">
        <f t="shared" si="23"/>
        <v xml:space="preserve"> </v>
      </c>
      <c r="CF108" s="136" t="str">
        <f t="shared" si="23"/>
        <v xml:space="preserve"> </v>
      </c>
      <c r="CG108" s="136" t="str">
        <f t="shared" si="23"/>
        <v xml:space="preserve"> </v>
      </c>
      <c r="CH108" s="136" t="str">
        <f t="shared" si="23"/>
        <v xml:space="preserve"> </v>
      </c>
    </row>
    <row r="109" spans="1:86" x14ac:dyDescent="0.25">
      <c r="A109">
        <v>87</v>
      </c>
      <c r="B109">
        <f t="shared" si="22"/>
        <v>47.262750000000004</v>
      </c>
      <c r="C109" s="75">
        <f>B109*LBP/'G&amp;H'!$K$7</f>
        <v>10288002651.515154</v>
      </c>
      <c r="D109" s="75">
        <f>0.075/((LOG10(C109)-2)^2)+'G&amp;H'!$D$17/1000</f>
        <v>9.77310718075191E-4</v>
      </c>
      <c r="E109">
        <f>D109*0.5*1.025*'G&amp;H'!$K$19*Tools1!B109^2</f>
        <v>12190.519353217398</v>
      </c>
      <c r="AG109" s="135" t="e">
        <f t="shared" si="15"/>
        <v>#N/A</v>
      </c>
      <c r="AH109" s="136">
        <v>108</v>
      </c>
      <c r="AI109" s="138"/>
      <c r="AJ109" s="138"/>
      <c r="AK109" s="138"/>
      <c r="AL109" s="138"/>
      <c r="AM109" s="138"/>
      <c r="AN109" s="138"/>
      <c r="AO109" s="138"/>
      <c r="AP109" s="138"/>
      <c r="AQ109" s="138"/>
      <c r="AR109" s="138"/>
      <c r="AS109" s="138"/>
      <c r="AT109" s="138"/>
      <c r="AU109" s="138"/>
      <c r="AV109" s="138"/>
      <c r="AW109" s="138"/>
      <c r="AX109" s="138"/>
      <c r="AY109" s="138"/>
      <c r="AZ109" s="138"/>
      <c r="BA109" s="138"/>
      <c r="BB109" s="138"/>
      <c r="BC109" s="138"/>
      <c r="BD109" s="138"/>
      <c r="BE109" s="138"/>
      <c r="BF109" s="138"/>
      <c r="BG109" s="136" t="b">
        <f t="shared" si="16"/>
        <v>0</v>
      </c>
      <c r="BH109" s="136">
        <f>ROW()</f>
        <v>109</v>
      </c>
      <c r="BI109" s="136">
        <v>108</v>
      </c>
      <c r="BJ109" s="136" t="str">
        <f t="shared" si="18"/>
        <v>NA</v>
      </c>
      <c r="BK109" s="136" t="e">
        <f t="shared" si="24"/>
        <v>#N/A</v>
      </c>
      <c r="BL109" s="136" t="str">
        <f t="shared" si="24"/>
        <v xml:space="preserve"> </v>
      </c>
      <c r="BM109" s="136" t="str">
        <f t="shared" si="24"/>
        <v xml:space="preserve"> </v>
      </c>
      <c r="BN109" s="136" t="str">
        <f t="shared" si="24"/>
        <v xml:space="preserve"> </v>
      </c>
      <c r="BO109" s="136" t="str">
        <f t="shared" si="24"/>
        <v xml:space="preserve"> </v>
      </c>
      <c r="BP109" s="136" t="str">
        <f t="shared" si="24"/>
        <v xml:space="preserve"> </v>
      </c>
      <c r="BQ109" s="136" t="str">
        <f t="shared" si="24"/>
        <v xml:space="preserve"> </v>
      </c>
      <c r="BR109" s="136" t="str">
        <f t="shared" si="24"/>
        <v xml:space="preserve"> </v>
      </c>
      <c r="BS109" s="136" t="str">
        <f t="shared" si="24"/>
        <v xml:space="preserve"> </v>
      </c>
      <c r="BT109" s="136" t="str">
        <f t="shared" si="24"/>
        <v xml:space="preserve"> </v>
      </c>
      <c r="BU109" s="136" t="str">
        <f t="shared" si="24"/>
        <v xml:space="preserve"> </v>
      </c>
      <c r="BV109" s="136" t="str">
        <f t="shared" si="24"/>
        <v xml:space="preserve"> </v>
      </c>
      <c r="BW109" s="136" t="str">
        <f t="shared" si="24"/>
        <v xml:space="preserve"> </v>
      </c>
      <c r="BX109" s="136" t="str">
        <f t="shared" si="24"/>
        <v xml:space="preserve"> </v>
      </c>
      <c r="BY109" s="136" t="str">
        <f t="shared" si="24"/>
        <v xml:space="preserve"> </v>
      </c>
      <c r="BZ109" s="136" t="str">
        <f t="shared" si="23"/>
        <v xml:space="preserve"> </v>
      </c>
      <c r="CA109" s="136" t="str">
        <f t="shared" si="23"/>
        <v xml:space="preserve"> </v>
      </c>
      <c r="CB109" s="136" t="str">
        <f t="shared" si="23"/>
        <v xml:space="preserve"> </v>
      </c>
      <c r="CC109" s="136" t="str">
        <f t="shared" si="23"/>
        <v xml:space="preserve"> </v>
      </c>
      <c r="CD109" s="136" t="str">
        <f t="shared" si="23"/>
        <v xml:space="preserve"> </v>
      </c>
      <c r="CE109" s="136" t="str">
        <f t="shared" si="23"/>
        <v xml:space="preserve"> </v>
      </c>
      <c r="CF109" s="136" t="str">
        <f t="shared" si="23"/>
        <v xml:space="preserve"> </v>
      </c>
      <c r="CG109" s="136" t="str">
        <f t="shared" si="23"/>
        <v xml:space="preserve"> </v>
      </c>
      <c r="CH109" s="136" t="str">
        <f t="shared" si="23"/>
        <v xml:space="preserve"> </v>
      </c>
    </row>
    <row r="110" spans="1:86" x14ac:dyDescent="0.25">
      <c r="A110">
        <v>88</v>
      </c>
      <c r="B110">
        <f t="shared" si="22"/>
        <v>47.805999999999997</v>
      </c>
      <c r="C110" s="75">
        <f>B110*LBP/'G&amp;H'!$K$7</f>
        <v>10406255555.555557</v>
      </c>
      <c r="D110" s="75">
        <f>0.075/((LOG10(C110)-2)^2)+'G&amp;H'!$D$17/1000</f>
        <v>9.758646385332379E-4</v>
      </c>
      <c r="E110">
        <f>D110*0.5*1.025*'G&amp;H'!$K$19*Tools1!B110^2</f>
        <v>12453.916995567699</v>
      </c>
      <c r="AG110" s="135" t="e">
        <f t="shared" si="15"/>
        <v>#N/A</v>
      </c>
      <c r="AH110" s="136">
        <v>109</v>
      </c>
      <c r="AI110" s="138"/>
      <c r="AJ110" s="138"/>
      <c r="AK110" s="138"/>
      <c r="AL110" s="138"/>
      <c r="AM110" s="138"/>
      <c r="AN110" s="138"/>
      <c r="AO110" s="138"/>
      <c r="AP110" s="138"/>
      <c r="AQ110" s="138"/>
      <c r="AR110" s="138"/>
      <c r="AS110" s="138"/>
      <c r="AT110" s="138"/>
      <c r="AU110" s="138"/>
      <c r="AV110" s="138"/>
      <c r="AW110" s="138"/>
      <c r="AX110" s="138"/>
      <c r="AY110" s="138"/>
      <c r="AZ110" s="138"/>
      <c r="BA110" s="138"/>
      <c r="BB110" s="138"/>
      <c r="BC110" s="138"/>
      <c r="BD110" s="138"/>
      <c r="BE110" s="138"/>
      <c r="BF110" s="138"/>
      <c r="BG110" s="136" t="b">
        <f t="shared" si="16"/>
        <v>0</v>
      </c>
      <c r="BH110" s="136">
        <f>ROW()</f>
        <v>110</v>
      </c>
      <c r="BI110" s="136">
        <v>109</v>
      </c>
      <c r="BJ110" s="136" t="str">
        <f t="shared" si="18"/>
        <v>NA</v>
      </c>
      <c r="BK110" s="136" t="e">
        <f t="shared" si="24"/>
        <v>#N/A</v>
      </c>
      <c r="BL110" s="136" t="str">
        <f t="shared" si="24"/>
        <v xml:space="preserve"> </v>
      </c>
      <c r="BM110" s="136" t="str">
        <f t="shared" si="24"/>
        <v xml:space="preserve"> </v>
      </c>
      <c r="BN110" s="136" t="str">
        <f t="shared" si="24"/>
        <v xml:space="preserve"> </v>
      </c>
      <c r="BO110" s="136" t="str">
        <f t="shared" si="24"/>
        <v xml:space="preserve"> </v>
      </c>
      <c r="BP110" s="136" t="str">
        <f t="shared" si="24"/>
        <v xml:space="preserve"> </v>
      </c>
      <c r="BQ110" s="136" t="str">
        <f t="shared" si="24"/>
        <v xml:space="preserve"> </v>
      </c>
      <c r="BR110" s="136" t="str">
        <f t="shared" si="24"/>
        <v xml:space="preserve"> </v>
      </c>
      <c r="BS110" s="136" t="str">
        <f t="shared" si="24"/>
        <v xml:space="preserve"> </v>
      </c>
      <c r="BT110" s="136" t="str">
        <f t="shared" si="24"/>
        <v xml:space="preserve"> </v>
      </c>
      <c r="BU110" s="136" t="str">
        <f t="shared" si="24"/>
        <v xml:space="preserve"> </v>
      </c>
      <c r="BV110" s="136" t="str">
        <f t="shared" si="24"/>
        <v xml:space="preserve"> </v>
      </c>
      <c r="BW110" s="136" t="str">
        <f t="shared" si="24"/>
        <v xml:space="preserve"> </v>
      </c>
      <c r="BX110" s="136" t="str">
        <f t="shared" si="24"/>
        <v xml:space="preserve"> </v>
      </c>
      <c r="BY110" s="136" t="str">
        <f t="shared" si="24"/>
        <v xml:space="preserve"> </v>
      </c>
      <c r="BZ110" s="136" t="str">
        <f t="shared" si="23"/>
        <v xml:space="preserve"> </v>
      </c>
      <c r="CA110" s="136" t="str">
        <f t="shared" si="23"/>
        <v xml:space="preserve"> </v>
      </c>
      <c r="CB110" s="136" t="str">
        <f t="shared" si="23"/>
        <v xml:space="preserve"> </v>
      </c>
      <c r="CC110" s="136" t="str">
        <f t="shared" si="23"/>
        <v xml:space="preserve"> </v>
      </c>
      <c r="CD110" s="136" t="str">
        <f t="shared" si="23"/>
        <v xml:space="preserve"> </v>
      </c>
      <c r="CE110" s="136" t="str">
        <f t="shared" si="23"/>
        <v xml:space="preserve"> </v>
      </c>
      <c r="CF110" s="136" t="str">
        <f t="shared" si="23"/>
        <v xml:space="preserve"> </v>
      </c>
      <c r="CG110" s="136" t="str">
        <f t="shared" si="23"/>
        <v xml:space="preserve"> </v>
      </c>
      <c r="CH110" s="136" t="str">
        <f t="shared" si="23"/>
        <v xml:space="preserve"> </v>
      </c>
    </row>
    <row r="111" spans="1:86" ht="15.75" thickBot="1" x14ac:dyDescent="0.3">
      <c r="A111">
        <v>89</v>
      </c>
      <c r="B111">
        <f t="shared" si="22"/>
        <v>48.349249999999998</v>
      </c>
      <c r="C111" s="75">
        <f>B111*LBP/'G&amp;H'!$K$7</f>
        <v>10524508459.595961</v>
      </c>
      <c r="D111" s="75">
        <f>0.075/((LOG10(C111)-2)^2)+'G&amp;H'!$D$17/1000</f>
        <v>9.7443753720276262E-4</v>
      </c>
      <c r="E111">
        <f>D111*0.5*1.025*'G&amp;H'!$K$19*Tools1!B111^2</f>
        <v>12719.939923464182</v>
      </c>
      <c r="AG111" s="139"/>
      <c r="AH111" s="140" t="s">
        <v>192</v>
      </c>
      <c r="AI111" s="140" t="e">
        <f>NA()</f>
        <v>#N/A</v>
      </c>
      <c r="AJ111" s="140" t="s">
        <v>193</v>
      </c>
      <c r="AK111" s="140" t="s">
        <v>193</v>
      </c>
      <c r="AL111" s="140" t="s">
        <v>193</v>
      </c>
      <c r="AM111" s="140" t="s">
        <v>193</v>
      </c>
      <c r="AN111" s="140" t="s">
        <v>193</v>
      </c>
      <c r="AO111" s="140" t="s">
        <v>193</v>
      </c>
      <c r="AP111" s="140" t="s">
        <v>193</v>
      </c>
      <c r="AQ111" s="140" t="s">
        <v>193</v>
      </c>
      <c r="AR111" s="140" t="s">
        <v>193</v>
      </c>
      <c r="AS111" s="140" t="s">
        <v>193</v>
      </c>
      <c r="AT111" s="140" t="s">
        <v>193</v>
      </c>
      <c r="AU111" s="140" t="s">
        <v>193</v>
      </c>
      <c r="AV111" s="140" t="s">
        <v>193</v>
      </c>
      <c r="AW111" s="140" t="s">
        <v>193</v>
      </c>
      <c r="AX111" s="140" t="s">
        <v>193</v>
      </c>
      <c r="AY111" s="140" t="s">
        <v>193</v>
      </c>
      <c r="AZ111" s="140" t="s">
        <v>193</v>
      </c>
      <c r="BA111" s="140" t="s">
        <v>193</v>
      </c>
      <c r="BB111" s="140" t="s">
        <v>193</v>
      </c>
      <c r="BC111" s="140" t="s">
        <v>193</v>
      </c>
      <c r="BD111" s="140" t="s">
        <v>193</v>
      </c>
      <c r="BE111" s="140" t="s">
        <v>193</v>
      </c>
      <c r="BF111" s="140" t="s">
        <v>193</v>
      </c>
      <c r="BG111" s="140" t="b">
        <f t="shared" si="16"/>
        <v>0</v>
      </c>
      <c r="BH111" s="136">
        <f>ROW()</f>
        <v>111</v>
      </c>
      <c r="BI111" s="140">
        <v>110</v>
      </c>
      <c r="BJ111" s="136" t="str">
        <f t="shared" si="18"/>
        <v>NA</v>
      </c>
      <c r="BK111" s="136" t="e">
        <f t="shared" si="24"/>
        <v>#N/A</v>
      </c>
      <c r="BL111" s="136" t="str">
        <f t="shared" si="24"/>
        <v xml:space="preserve"> </v>
      </c>
      <c r="BM111" s="136" t="str">
        <f t="shared" si="24"/>
        <v xml:space="preserve"> </v>
      </c>
      <c r="BN111" s="136" t="str">
        <f t="shared" si="24"/>
        <v xml:space="preserve"> </v>
      </c>
      <c r="BO111" s="136" t="str">
        <f t="shared" si="24"/>
        <v xml:space="preserve"> </v>
      </c>
      <c r="BP111" s="136" t="str">
        <f t="shared" si="24"/>
        <v xml:space="preserve"> </v>
      </c>
      <c r="BQ111" s="136" t="str">
        <f t="shared" si="24"/>
        <v xml:space="preserve"> </v>
      </c>
      <c r="BR111" s="136" t="str">
        <f t="shared" si="24"/>
        <v xml:space="preserve"> </v>
      </c>
      <c r="BS111" s="136" t="str">
        <f t="shared" si="24"/>
        <v xml:space="preserve"> </v>
      </c>
      <c r="BT111" s="136" t="str">
        <f t="shared" si="24"/>
        <v xml:space="preserve"> </v>
      </c>
      <c r="BU111" s="136" t="str">
        <f t="shared" si="24"/>
        <v xml:space="preserve"> </v>
      </c>
      <c r="BV111" s="136" t="str">
        <f t="shared" si="24"/>
        <v xml:space="preserve"> </v>
      </c>
      <c r="BW111" s="136" t="str">
        <f t="shared" si="24"/>
        <v xml:space="preserve"> </v>
      </c>
      <c r="BX111" s="136" t="str">
        <f t="shared" si="24"/>
        <v xml:space="preserve"> </v>
      </c>
      <c r="BY111" s="136" t="str">
        <f t="shared" si="24"/>
        <v xml:space="preserve"> </v>
      </c>
      <c r="BZ111" s="136" t="str">
        <f t="shared" si="23"/>
        <v xml:space="preserve"> </v>
      </c>
      <c r="CA111" s="136" t="str">
        <f t="shared" si="23"/>
        <v xml:space="preserve"> </v>
      </c>
      <c r="CB111" s="136" t="str">
        <f t="shared" si="23"/>
        <v xml:space="preserve"> </v>
      </c>
      <c r="CC111" s="136" t="str">
        <f t="shared" si="23"/>
        <v xml:space="preserve"> </v>
      </c>
      <c r="CD111" s="136" t="str">
        <f t="shared" si="23"/>
        <v xml:space="preserve"> </v>
      </c>
      <c r="CE111" s="136" t="str">
        <f t="shared" si="23"/>
        <v xml:space="preserve"> </v>
      </c>
      <c r="CF111" s="136" t="str">
        <f t="shared" si="23"/>
        <v xml:space="preserve"> </v>
      </c>
      <c r="CG111" s="136" t="str">
        <f t="shared" si="23"/>
        <v xml:space="preserve"> </v>
      </c>
      <c r="CH111" s="136" t="str">
        <f t="shared" si="23"/>
        <v xml:space="preserve"> </v>
      </c>
    </row>
    <row r="112" spans="1:86" x14ac:dyDescent="0.25">
      <c r="A112">
        <v>90</v>
      </c>
      <c r="B112">
        <f t="shared" si="22"/>
        <v>48.892499999999998</v>
      </c>
      <c r="C112" s="75">
        <f>B112*LBP/'G&amp;H'!$K$7</f>
        <v>10642761363.636366</v>
      </c>
      <c r="D112" s="75">
        <f>0.075/((LOG10(C112)-2)^2)+'G&amp;H'!$D$17/1000</f>
        <v>9.7302895435960384E-4</v>
      </c>
      <c r="E112">
        <f>D112*0.5*1.025*'G&amp;H'!$K$19*Tools1!B112^2</f>
        <v>12988.584496619795</v>
      </c>
    </row>
    <row r="113" spans="1:5" x14ac:dyDescent="0.25">
      <c r="A113">
        <v>91</v>
      </c>
      <c r="B113">
        <f t="shared" si="22"/>
        <v>49.435749999999999</v>
      </c>
      <c r="C113" s="75">
        <f>B113*LBP/'G&amp;H'!$K$7</f>
        <v>10761014267.676769</v>
      </c>
      <c r="D113" s="75">
        <f>0.075/((LOG10(C113)-2)^2)+'G&amp;H'!$D$17/1000</f>
        <v>9.716384463899384E-4</v>
      </c>
      <c r="E113">
        <f>D113*0.5*1.025*'G&amp;H'!$K$19*Tools1!B113^2</f>
        <v>13259.847121398368</v>
      </c>
    </row>
    <row r="114" spans="1:5" x14ac:dyDescent="0.25">
      <c r="A114">
        <v>92</v>
      </c>
      <c r="B114">
        <f t="shared" si="22"/>
        <v>49.978999999999999</v>
      </c>
      <c r="C114" s="75">
        <f>B114*LBP/'G&amp;H'!$K$7</f>
        <v>10879267171.717173</v>
      </c>
      <c r="D114" s="75">
        <f>0.075/((LOG10(C114)-2)^2)+'G&amp;H'!$D$17/1000</f>
        <v>9.7026558505543714E-4</v>
      </c>
      <c r="E114">
        <f>D114*0.5*1.025*'G&amp;H'!$K$19*Tools1!B114^2</f>
        <v>13533.724249705072</v>
      </c>
    </row>
    <row r="115" spans="1:5" x14ac:dyDescent="0.25">
      <c r="A115">
        <v>93</v>
      </c>
      <c r="B115">
        <f t="shared" si="22"/>
        <v>50.52225</v>
      </c>
      <c r="C115" s="75">
        <f>B115*LBP/'G&amp;H'!$K$7</f>
        <v>10997520075.757578</v>
      </c>
      <c r="D115" s="75">
        <f>0.075/((LOG10(C115)-2)^2)+'G&amp;H'!$D$17/1000</f>
        <v>9.6890995679953218E-4</v>
      </c>
      <c r="E115">
        <f>D115*0.5*1.025*'G&amp;H'!$K$19*Tools1!B115^2</f>
        <v>13810.212377915193</v>
      </c>
    </row>
    <row r="116" spans="1:5" x14ac:dyDescent="0.25">
      <c r="A116">
        <v>94</v>
      </c>
      <c r="B116">
        <f t="shared" si="22"/>
        <v>51.0655</v>
      </c>
      <c r="C116" s="75">
        <f>B116*LBP/'G&amp;H'!$K$7</f>
        <v>11115772979.797983</v>
      </c>
      <c r="D116" s="75">
        <f>0.075/((LOG10(C116)-2)^2)+'G&amp;H'!$D$17/1000</f>
        <v>9.6757116209208256E-4</v>
      </c>
      <c r="E116">
        <f>D116*0.5*1.025*'G&amp;H'!$K$19*Tools1!B116^2</f>
        <v>14089.308045839422</v>
      </c>
    </row>
    <row r="117" spans="1:5" x14ac:dyDescent="0.25">
      <c r="A117">
        <v>95</v>
      </c>
      <c r="B117">
        <f t="shared" si="22"/>
        <v>51.608750000000001</v>
      </c>
      <c r="C117" s="75">
        <f>B117*LBP/'G&amp;H'!$K$7</f>
        <v>11234025883.838387</v>
      </c>
      <c r="D117" s="75">
        <f>0.075/((LOG10(C117)-2)^2)+'G&amp;H'!$D$17/1000</f>
        <v>9.6624881480992402E-4</v>
      </c>
      <c r="E117">
        <f>D117*0.5*1.025*'G&amp;H'!$K$19*Tools1!B117^2</f>
        <v>14371.007835724058</v>
      </c>
    </row>
    <row r="118" spans="1:5" x14ac:dyDescent="0.25">
      <c r="A118">
        <v>96</v>
      </c>
      <c r="B118">
        <f t="shared" si="22"/>
        <v>52.152000000000001</v>
      </c>
      <c r="C118" s="75">
        <f>B118*LBP/'G&amp;H'!$K$7</f>
        <v>11352278787.87879</v>
      </c>
      <c r="D118" s="75">
        <f>0.075/((LOG10(C118)-2)^2)+'G&amp;H'!$D$17/1000</f>
        <v>9.6494254165098892E-4</v>
      </c>
      <c r="E118">
        <f>D118*0.5*1.025*'G&amp;H'!$K$19*Tools1!B118^2</f>
        <v>14655.308371284602</v>
      </c>
    </row>
    <row r="119" spans="1:5" x14ac:dyDescent="0.25">
      <c r="A119">
        <v>97</v>
      </c>
      <c r="B119">
        <f t="shared" si="22"/>
        <v>52.695250000000001</v>
      </c>
      <c r="C119" s="75">
        <f>B119*LBP/'G&amp;H'!$K$7</f>
        <v>11470531691.919195</v>
      </c>
      <c r="D119" s="75">
        <f>0.075/((LOG10(C119)-2)^2)+'G&amp;H'!$D$17/1000</f>
        <v>9.6365198157984501E-4</v>
      </c>
      <c r="E119">
        <f>D119*0.5*1.025*'G&amp;H'!$K$19*Tools1!B119^2</f>
        <v>14942.206316771315</v>
      </c>
    </row>
    <row r="120" spans="1:5" x14ac:dyDescent="0.25">
      <c r="A120">
        <v>98</v>
      </c>
      <c r="B120">
        <f t="shared" si="22"/>
        <v>53.238500000000002</v>
      </c>
      <c r="C120" s="75">
        <f>B120*LBP/'G&amp;H'!$K$7</f>
        <v>11588784595.959599</v>
      </c>
      <c r="D120" s="75">
        <f>0.075/((LOG10(C120)-2)^2)+'G&amp;H'!$D$17/1000</f>
        <v>9.6237678530265605E-4</v>
      </c>
      <c r="E120">
        <f>D120*0.5*1.025*'G&amp;H'!$K$19*Tools1!B120^2</f>
        <v>15231.698376065206</v>
      </c>
    </row>
    <row r="121" spans="1:5" x14ac:dyDescent="0.25">
      <c r="A121">
        <v>99</v>
      </c>
      <c r="B121">
        <f t="shared" si="22"/>
        <v>53.781750000000002</v>
      </c>
      <c r="C121" s="75">
        <f>B121*LBP/'G&amp;H'!$K$7</f>
        <v>11707037500.000002</v>
      </c>
      <c r="D121" s="75">
        <f>0.075/((LOG10(C121)-2)^2)+'G&amp;H'!$D$17/1000</f>
        <v>9.6111661476973309E-4</v>
      </c>
      <c r="E121">
        <f>D121*0.5*1.025*'G&amp;H'!$K$19*Tools1!B121^2</f>
        <v>15523.781291803407</v>
      </c>
    </row>
    <row r="122" spans="1:5" x14ac:dyDescent="0.25">
      <c r="A122">
        <v>100</v>
      </c>
      <c r="B122">
        <f t="shared" si="22"/>
        <v>54.325000000000003</v>
      </c>
      <c r="C122" s="75">
        <f>B122*LBP/'G&amp;H'!$K$7</f>
        <v>11825290404.040407</v>
      </c>
      <c r="D122" s="75">
        <f>0.075/((LOG10(C122)-2)^2)+'G&amp;H'!$D$17/1000</f>
        <v>9.5987114270395277E-4</v>
      </c>
      <c r="E122">
        <f>D122*0.5*1.025*'G&amp;H'!$K$19*Tools1!B122^2</f>
        <v>15818.451844532494</v>
      </c>
    </row>
  </sheetData>
  <sheetProtection password="C89D" sheet="1" objects="1" scenarios="1"/>
  <mergeCells count="1">
    <mergeCell ref="C15:D15"/>
  </mergeCells>
  <dataValidations disablePrompts="1" count="3">
    <dataValidation type="list" allowBlank="1" showInputMessage="1" showErrorMessage="1" sqref="D13">
      <formula1>"Yes,No"</formula1>
    </dataValidation>
    <dataValidation type="decimal" operator="greaterThan" allowBlank="1" showInputMessage="1" showErrorMessage="1" errorTitle="Ship service speed (in knots)" error="Enter a positive number." sqref="E15">
      <formula1>0</formula1>
    </dataValidation>
    <dataValidation type="decimal" operator="greaterThan" allowBlank="1" showInputMessage="1" showErrorMessage="1" errorTitle="LBP" error="Enter a positive number" promptTitle="Length b/w perpendiculars" prompt="LBP" sqref="J21:J27">
      <formula1>0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16</vt:i4>
      </vt:variant>
    </vt:vector>
  </HeadingPairs>
  <TitlesOfParts>
    <vt:vector size="28" baseType="lpstr">
      <vt:lpstr>G&amp;H</vt:lpstr>
      <vt:lpstr>4.0</vt:lpstr>
      <vt:lpstr>4.5</vt:lpstr>
      <vt:lpstr>5.0</vt:lpstr>
      <vt:lpstr>5.5</vt:lpstr>
      <vt:lpstr>6.0</vt:lpstr>
      <vt:lpstr>6.5</vt:lpstr>
      <vt:lpstr>7.0</vt:lpstr>
      <vt:lpstr>7.5</vt:lpstr>
      <vt:lpstr>8.0</vt:lpstr>
      <vt:lpstr>Results</vt:lpstr>
      <vt:lpstr>Tools1</vt:lpstr>
      <vt:lpstr>▲_</vt:lpstr>
      <vt:lpstr>▼_</vt:lpstr>
      <vt:lpstr>ABT</vt:lpstr>
      <vt:lpstr>AMID</vt:lpstr>
      <vt:lpstr>BREADTH</vt:lpstr>
      <vt:lpstr>CB</vt:lpstr>
      <vt:lpstr>'G&amp;H'!CF’</vt:lpstr>
      <vt:lpstr>CP</vt:lpstr>
      <vt:lpstr>DRAFT</vt:lpstr>
      <vt:lpstr>'G&amp;H'!Fn</vt:lpstr>
      <vt:lpstr>g</vt:lpstr>
      <vt:lpstr>LBP</vt:lpstr>
      <vt:lpstr>LCB</vt:lpstr>
      <vt:lpstr>'G&amp;H'!Rn</vt:lpstr>
      <vt:lpstr>V</vt:lpstr>
      <vt:lpstr>ρ</vt:lpstr>
    </vt:vector>
  </TitlesOfParts>
  <Company>rg-adguard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Abdul Rahim Ovingal</dc:creator>
  <cp:lastModifiedBy>Abdul Rahim Ovingal</cp:lastModifiedBy>
  <dcterms:created xsi:type="dcterms:W3CDTF">2017-10-16T19:11:10Z</dcterms:created>
  <dcterms:modified xsi:type="dcterms:W3CDTF">2018-01-21T14:03:14Z</dcterms:modified>
</cp:coreProperties>
</file>