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C1ED" lockStructure="1"/>
  <bookViews>
    <workbookView xWindow="240" yWindow="60" windowWidth="20115" windowHeight="8010"/>
  </bookViews>
  <sheets>
    <sheet name="G&amp;H" sheetId="3" r:id="rId1"/>
    <sheet name="4.0" sheetId="4" r:id="rId2"/>
    <sheet name="4.5" sheetId="5" r:id="rId3"/>
    <sheet name="5.0" sheetId="6" r:id="rId4"/>
    <sheet name="5.5" sheetId="7" r:id="rId5"/>
    <sheet name="6.0" sheetId="8" r:id="rId6"/>
    <sheet name="6.5" sheetId="9" r:id="rId7"/>
    <sheet name="7.0" sheetId="10" r:id="rId8"/>
    <sheet name="7.5" sheetId="11" r:id="rId9"/>
    <sheet name="8.0" sheetId="12" r:id="rId10"/>
    <sheet name="Tools1" sheetId="13" state="hidden" r:id="rId11"/>
  </sheets>
  <definedNames>
    <definedName name="▲_">'G&amp;H'!$C$10</definedName>
    <definedName name="▼_">'G&amp;H'!$C$9</definedName>
    <definedName name="ABT">'G&amp;H'!$C$7</definedName>
    <definedName name="AMID">'G&amp;H'!$C$6</definedName>
    <definedName name="AREA_TABLE" localSheetId="2">#REF!</definedName>
    <definedName name="AREA_TABLE" localSheetId="3">#REF!</definedName>
    <definedName name="AREA_TABLE" localSheetId="4">#REF!</definedName>
    <definedName name="AREA_TABLE" localSheetId="5">#REF!</definedName>
    <definedName name="AREA_TABLE" localSheetId="6">#REF!</definedName>
    <definedName name="AREA_TABLE" localSheetId="7">#REF!</definedName>
    <definedName name="AREA_TABLE" localSheetId="8">#REF!</definedName>
    <definedName name="AREA_TABLE" localSheetId="9">#REF!</definedName>
    <definedName name="AREA_TABLE">#REF!</definedName>
    <definedName name="BREADTH">'G&amp;H'!$C$4</definedName>
    <definedName name="CB">'G&amp;H'!$C$12</definedName>
    <definedName name="CF’" localSheetId="0">'G&amp;H'!$F$30</definedName>
    <definedName name="Chart40" localSheetId="2">#REF!</definedName>
    <definedName name="Chart40" localSheetId="3">#REF!</definedName>
    <definedName name="Chart40" localSheetId="4">#REF!</definedName>
    <definedName name="Chart40" localSheetId="5">#REF!</definedName>
    <definedName name="Chart40" localSheetId="6">#REF!</definedName>
    <definedName name="Chart40" localSheetId="7">#REF!</definedName>
    <definedName name="Chart40" localSheetId="8">#REF!</definedName>
    <definedName name="Chart40" localSheetId="9">#REF!</definedName>
    <definedName name="Chart40">#REF!</definedName>
    <definedName name="Chart45" localSheetId="2">#REF!</definedName>
    <definedName name="Chart45" localSheetId="3">#REF!</definedName>
    <definedName name="Chart45" localSheetId="4">#REF!</definedName>
    <definedName name="Chart45" localSheetId="5">#REF!</definedName>
    <definedName name="Chart45" localSheetId="6">#REF!</definedName>
    <definedName name="Chart45" localSheetId="7">#REF!</definedName>
    <definedName name="Chart45" localSheetId="8">#REF!</definedName>
    <definedName name="Chart45" localSheetId="9">#REF!</definedName>
    <definedName name="Chart45">#REF!</definedName>
    <definedName name="Chart50" localSheetId="2">#REF!</definedName>
    <definedName name="Chart50" localSheetId="3">#REF!</definedName>
    <definedName name="Chart50" localSheetId="4">#REF!</definedName>
    <definedName name="Chart50" localSheetId="5">#REF!</definedName>
    <definedName name="Chart50" localSheetId="6">#REF!</definedName>
    <definedName name="Chart50" localSheetId="7">#REF!</definedName>
    <definedName name="Chart50" localSheetId="8">#REF!</definedName>
    <definedName name="Chart50" localSheetId="9">#REF!</definedName>
    <definedName name="Chart50">#REF!</definedName>
    <definedName name="Chart55" localSheetId="2">#REF!</definedName>
    <definedName name="Chart55" localSheetId="3">#REF!</definedName>
    <definedName name="Chart55" localSheetId="4">#REF!</definedName>
    <definedName name="Chart55" localSheetId="5">#REF!</definedName>
    <definedName name="Chart55" localSheetId="6">#REF!</definedName>
    <definedName name="Chart55" localSheetId="7">#REF!</definedName>
    <definedName name="Chart55" localSheetId="8">#REF!</definedName>
    <definedName name="Chart55" localSheetId="9">#REF!</definedName>
    <definedName name="Chart55">#REF!</definedName>
    <definedName name="Chart60" localSheetId="2">#REF!</definedName>
    <definedName name="Chart60" localSheetId="3">#REF!</definedName>
    <definedName name="Chart60" localSheetId="4">#REF!</definedName>
    <definedName name="Chart60" localSheetId="5">#REF!</definedName>
    <definedName name="Chart60" localSheetId="6">#REF!</definedName>
    <definedName name="Chart60" localSheetId="7">#REF!</definedName>
    <definedName name="Chart60" localSheetId="8">#REF!</definedName>
    <definedName name="Chart60" localSheetId="9">#REF!</definedName>
    <definedName name="Chart60">#REF!</definedName>
    <definedName name="Chart65" localSheetId="2">#REF!</definedName>
    <definedName name="Chart65" localSheetId="3">#REF!</definedName>
    <definedName name="Chart65" localSheetId="4">#REF!</definedName>
    <definedName name="Chart65" localSheetId="5">#REF!</definedName>
    <definedName name="Chart65" localSheetId="6">#REF!</definedName>
    <definedName name="Chart65" localSheetId="7">#REF!</definedName>
    <definedName name="Chart65" localSheetId="8">#REF!</definedName>
    <definedName name="Chart65" localSheetId="9">#REF!</definedName>
    <definedName name="Chart65">#REF!</definedName>
    <definedName name="Chart70" localSheetId="2">#REF!</definedName>
    <definedName name="Chart70" localSheetId="3">#REF!</definedName>
    <definedName name="Chart70" localSheetId="4">#REF!</definedName>
    <definedName name="Chart70" localSheetId="5">#REF!</definedName>
    <definedName name="Chart70" localSheetId="6">#REF!</definedName>
    <definedName name="Chart70" localSheetId="7">#REF!</definedName>
    <definedName name="Chart70" localSheetId="8">#REF!</definedName>
    <definedName name="Chart70" localSheetId="9">#REF!</definedName>
    <definedName name="Chart70">#REF!</definedName>
    <definedName name="Chart75" localSheetId="2">#REF!</definedName>
    <definedName name="Chart75" localSheetId="3">#REF!</definedName>
    <definedName name="Chart75" localSheetId="4">#REF!</definedName>
    <definedName name="Chart75" localSheetId="5">#REF!</definedName>
    <definedName name="Chart75" localSheetId="6">#REF!</definedName>
    <definedName name="Chart75" localSheetId="7">#REF!</definedName>
    <definedName name="Chart75" localSheetId="8">#REF!</definedName>
    <definedName name="Chart75" localSheetId="9">#REF!</definedName>
    <definedName name="Chart75">#REF!</definedName>
    <definedName name="Chart80" localSheetId="2">#REF!</definedName>
    <definedName name="Chart80" localSheetId="3">#REF!</definedName>
    <definedName name="Chart80" localSheetId="4">#REF!</definedName>
    <definedName name="Chart80" localSheetId="5">#REF!</definedName>
    <definedName name="Chart80" localSheetId="6">#REF!</definedName>
    <definedName name="Chart80" localSheetId="7">#REF!</definedName>
    <definedName name="Chart80" localSheetId="8">#REF!</definedName>
    <definedName name="Chart80" localSheetId="9">#REF!</definedName>
    <definedName name="Chart80">#REF!</definedName>
    <definedName name="CM">#REF!</definedName>
    <definedName name="CP">'G&amp;H'!$C$11</definedName>
    <definedName name="DEPTH">#REF!</definedName>
    <definedName name="DRAFT">'G&amp;H'!$C$5</definedName>
    <definedName name="Fn" localSheetId="0">'G&amp;H'!$C$39</definedName>
    <definedName name="g">'G&amp;H'!$I$8</definedName>
    <definedName name="h">#REF!</definedName>
    <definedName name="Hydros_Table" localSheetId="2">#REF!</definedName>
    <definedName name="Hydros_Table" localSheetId="3">#REF!</definedName>
    <definedName name="Hydros_Table" localSheetId="4">#REF!</definedName>
    <definedName name="Hydros_Table" localSheetId="5">#REF!</definedName>
    <definedName name="Hydros_Table" localSheetId="6">#REF!</definedName>
    <definedName name="Hydros_Table" localSheetId="7">#REF!</definedName>
    <definedName name="Hydros_Table" localSheetId="8">#REF!</definedName>
    <definedName name="Hydros_Table" localSheetId="9">#REF!</definedName>
    <definedName name="Hydros_Table">#REF!</definedName>
    <definedName name="KB">#REF!</definedName>
    <definedName name="LBP">'G&amp;H'!$C$3</definedName>
    <definedName name="LCB">'G&amp;H'!$C$8</definedName>
    <definedName name="Long_Div">#REF!</definedName>
    <definedName name="Main_Particulars">#REF!</definedName>
    <definedName name="Max_STN_count">#REF!</definedName>
    <definedName name="Max_WL_count">#REF!</definedName>
    <definedName name="MCT1cm">#REF!</definedName>
    <definedName name="MOMENT_TABLE" localSheetId="2">#REF!</definedName>
    <definedName name="MOMENT_TABLE" localSheetId="3">#REF!</definedName>
    <definedName name="MOMENT_TABLE" localSheetId="4">#REF!</definedName>
    <definedName name="MOMENT_TABLE" localSheetId="5">#REF!</definedName>
    <definedName name="MOMENT_TABLE" localSheetId="6">#REF!</definedName>
    <definedName name="MOMENT_TABLE" localSheetId="7">#REF!</definedName>
    <definedName name="MOMENT_TABLE" localSheetId="8">#REF!</definedName>
    <definedName name="MOMENT_TABLE" localSheetId="9">#REF!</definedName>
    <definedName name="MOMENT_TABLE">#REF!</definedName>
    <definedName name="OFFSET_A">#REF!</definedName>
    <definedName name="RFDEEP">OFFSET(#REF!,,,1,ROUNDDOWN(MAX(#REF!),0))</definedName>
    <definedName name="RISE_CALC">#REF!</definedName>
    <definedName name="Rn" localSheetId="0">'G&amp;H'!$F$29</definedName>
    <definedName name="RTDeep">OFFSET(#REF!,,,1,COUNT(#REF!))</definedName>
    <definedName name="RTShallow">OFFSET(#REF!,,,1,COUNT(#REF!))</definedName>
    <definedName name="S">#REF!</definedName>
    <definedName name="STN_GAP">#REF!</definedName>
    <definedName name="Stn_WL">#REF!</definedName>
    <definedName name="TPC">#REF!</definedName>
    <definedName name="V">'G&amp;H'!$I$5</definedName>
    <definedName name="VH">OFFSET(#REF!,,,1,COUNT(#REF!))</definedName>
    <definedName name="VKNOTS">OFFSET(#REF!,,,1,ROUNDDOWN(MAX(#REF!),0))</definedName>
    <definedName name="VKnotsShallow">OFFSET(#REF!,,,1,COUNT(#REF!))</definedName>
    <definedName name="WLS">#REF!</definedName>
    <definedName name="ρ">'G&amp;H'!$I$9</definedName>
  </definedNames>
  <calcPr calcId="144525"/>
</workbook>
</file>

<file path=xl/calcChain.xml><?xml version="1.0" encoding="utf-8"?>
<calcChain xmlns="http://schemas.openxmlformats.org/spreadsheetml/2006/main">
  <c r="D21" i="3" l="1"/>
  <c r="C12" i="3" l="1"/>
  <c r="C11" i="3"/>
  <c r="O24" i="13" l="1"/>
  <c r="D10" i="13"/>
  <c r="E10" i="13" s="1"/>
  <c r="F9" i="13"/>
  <c r="T8" i="13"/>
  <c r="S6" i="13"/>
  <c r="R6" i="13"/>
  <c r="C5" i="13"/>
  <c r="C4" i="13"/>
  <c r="O36" i="12"/>
  <c r="N36" i="12"/>
  <c r="P35" i="12"/>
  <c r="N34" i="12"/>
  <c r="O34" i="12" s="1"/>
  <c r="N33" i="12"/>
  <c r="L16" i="12" s="1"/>
  <c r="N22" i="12"/>
  <c r="N21" i="12"/>
  <c r="N16" i="12"/>
  <c r="O36" i="11"/>
  <c r="N36" i="11"/>
  <c r="P35" i="11"/>
  <c r="N34" i="11"/>
  <c r="O34" i="11" s="1"/>
  <c r="N33" i="11"/>
  <c r="O33" i="11" s="1"/>
  <c r="N22" i="11"/>
  <c r="N21" i="11"/>
  <c r="N16" i="11"/>
  <c r="O36" i="10"/>
  <c r="N36" i="10"/>
  <c r="P35" i="10"/>
  <c r="N34" i="10"/>
  <c r="O34" i="10" s="1"/>
  <c r="N33" i="10"/>
  <c r="L16" i="10" s="1"/>
  <c r="N22" i="10"/>
  <c r="N21" i="10"/>
  <c r="N16" i="10"/>
  <c r="O36" i="9"/>
  <c r="N36" i="9"/>
  <c r="P35" i="9"/>
  <c r="N34" i="9"/>
  <c r="O34" i="9" s="1"/>
  <c r="N33" i="9"/>
  <c r="O33" i="9" s="1"/>
  <c r="N22" i="9"/>
  <c r="N21" i="9"/>
  <c r="N16" i="9"/>
  <c r="O36" i="8"/>
  <c r="N36" i="8"/>
  <c r="P35" i="8"/>
  <c r="N34" i="8"/>
  <c r="O34" i="8" s="1"/>
  <c r="N33" i="8"/>
  <c r="L16" i="8" s="1"/>
  <c r="N22" i="8"/>
  <c r="N21" i="8"/>
  <c r="N16" i="8"/>
  <c r="O36" i="7"/>
  <c r="N36" i="7"/>
  <c r="P35" i="7"/>
  <c r="N34" i="7"/>
  <c r="O34" i="7" s="1"/>
  <c r="N33" i="7"/>
  <c r="O33" i="7" s="1"/>
  <c r="N22" i="7"/>
  <c r="N21" i="7"/>
  <c r="N16" i="7"/>
  <c r="O36" i="6"/>
  <c r="N36" i="6"/>
  <c r="P35" i="6"/>
  <c r="N34" i="6"/>
  <c r="O34" i="6" s="1"/>
  <c r="N33" i="6"/>
  <c r="L16" i="6" s="1"/>
  <c r="N22" i="6"/>
  <c r="N21" i="6"/>
  <c r="N16" i="6"/>
  <c r="O36" i="5"/>
  <c r="N36" i="5"/>
  <c r="P35" i="5"/>
  <c r="N34" i="5"/>
  <c r="O34" i="5" s="1"/>
  <c r="N33" i="5"/>
  <c r="O33" i="5" s="1"/>
  <c r="N22" i="5"/>
  <c r="N21" i="5"/>
  <c r="N16" i="5"/>
  <c r="O36" i="4"/>
  <c r="N36" i="4"/>
  <c r="P35" i="4"/>
  <c r="N34" i="4"/>
  <c r="O34" i="4" s="1"/>
  <c r="N33" i="4"/>
  <c r="N22" i="4"/>
  <c r="N21" i="4"/>
  <c r="N16" i="4"/>
  <c r="N139" i="3"/>
  <c r="N135" i="3"/>
  <c r="N127" i="3"/>
  <c r="I109" i="3"/>
  <c r="F113" i="3" s="1"/>
  <c r="H109" i="3"/>
  <c r="B88" i="3"/>
  <c r="B87" i="3"/>
  <c r="B86" i="3"/>
  <c r="C77" i="3"/>
  <c r="C80" i="3" s="1"/>
  <c r="B81" i="3" s="1"/>
  <c r="C76" i="3"/>
  <c r="C75" i="3"/>
  <c r="E72" i="3"/>
  <c r="C69" i="3"/>
  <c r="C67" i="3"/>
  <c r="C68" i="3" s="1"/>
  <c r="B61" i="3"/>
  <c r="B60" i="3"/>
  <c r="C56" i="3"/>
  <c r="D51" i="3"/>
  <c r="C50" i="3"/>
  <c r="D52" i="3" s="1"/>
  <c r="D94" i="3" s="1"/>
  <c r="C40" i="3"/>
  <c r="C38" i="3"/>
  <c r="C43" i="3" s="1"/>
  <c r="C33" i="3"/>
  <c r="D17" i="3" s="1"/>
  <c r="O17" i="3"/>
  <c r="K17" i="3"/>
  <c r="K19" i="3" s="1"/>
  <c r="C10" i="3"/>
  <c r="Q108" i="3" s="1"/>
  <c r="R108" i="3" s="1"/>
  <c r="F114" i="3" s="1"/>
  <c r="K7" i="3"/>
  <c r="I5" i="3"/>
  <c r="N131" i="3" s="1"/>
  <c r="L16" i="11" l="1"/>
  <c r="N35" i="11" s="1"/>
  <c r="L16" i="5"/>
  <c r="N35" i="5" s="1"/>
  <c r="L16" i="9"/>
  <c r="N35" i="9" s="1"/>
  <c r="L16" i="7"/>
  <c r="N35" i="7" s="1"/>
  <c r="K22" i="3"/>
  <c r="L22" i="3" s="1"/>
  <c r="K23" i="3"/>
  <c r="L23" i="3" s="1"/>
  <c r="P140" i="3"/>
  <c r="O141" i="3"/>
  <c r="N136" i="3"/>
  <c r="O21" i="13"/>
  <c r="P21" i="13" s="1"/>
  <c r="M38" i="6"/>
  <c r="D43" i="3"/>
  <c r="O22" i="13" s="1"/>
  <c r="P22" i="13" s="1"/>
  <c r="L16" i="4"/>
  <c r="O33" i="4"/>
  <c r="C39" i="3"/>
  <c r="AD8" i="13" s="1"/>
  <c r="AD7" i="13" s="1"/>
  <c r="AD6" i="13" s="1"/>
  <c r="D68" i="3" s="1"/>
  <c r="AD28" i="13"/>
  <c r="AD27" i="13" s="1"/>
  <c r="AD26" i="13" s="1"/>
  <c r="N35" i="10"/>
  <c r="N17" i="10"/>
  <c r="P36" i="10" s="1"/>
  <c r="N35" i="8"/>
  <c r="N17" i="8"/>
  <c r="P36" i="8" s="1"/>
  <c r="S5" i="13"/>
  <c r="R5" i="13"/>
  <c r="N130" i="3"/>
  <c r="N129" i="3"/>
  <c r="N134" i="3"/>
  <c r="N128" i="3"/>
  <c r="N35" i="6"/>
  <c r="N17" i="6" s="1"/>
  <c r="P36" i="6" s="1"/>
  <c r="N35" i="12"/>
  <c r="N17" i="12"/>
  <c r="P36" i="12" s="1"/>
  <c r="F29" i="3"/>
  <c r="F30" i="3" s="1"/>
  <c r="C32" i="3" s="1"/>
  <c r="E43" i="3"/>
  <c r="O33" i="6"/>
  <c r="M16" i="6" s="1"/>
  <c r="O35" i="6" s="1"/>
  <c r="O33" i="8"/>
  <c r="M16" i="8" s="1"/>
  <c r="O35" i="8" s="1"/>
  <c r="O33" i="10"/>
  <c r="M16" i="10" s="1"/>
  <c r="O35" i="10" s="1"/>
  <c r="O33" i="12"/>
  <c r="M16" i="12" s="1"/>
  <c r="O35" i="12" s="1"/>
  <c r="AB3" i="13"/>
  <c r="AB4" i="13"/>
  <c r="AC7" i="13"/>
  <c r="AB12" i="13"/>
  <c r="AB15" i="13"/>
  <c r="AC16" i="13"/>
  <c r="AB20" i="13"/>
  <c r="AB23" i="13"/>
  <c r="AB24" i="13"/>
  <c r="AC3" i="13"/>
  <c r="AC4" i="13"/>
  <c r="AB11" i="13"/>
  <c r="AC12" i="13"/>
  <c r="AC15" i="13"/>
  <c r="AD16" i="13"/>
  <c r="AD15" i="13" s="1"/>
  <c r="AD14" i="13" s="1"/>
  <c r="AB19" i="13"/>
  <c r="AC20" i="13"/>
  <c r="AC23" i="13"/>
  <c r="AC24" i="13"/>
  <c r="AB28" i="13"/>
  <c r="N17" i="5"/>
  <c r="P36" i="5" s="1"/>
  <c r="N17" i="11"/>
  <c r="P36" i="11" s="1"/>
  <c r="AD4" i="13"/>
  <c r="AD3" i="13" s="1"/>
  <c r="AD2" i="13" s="1"/>
  <c r="AB8" i="13"/>
  <c r="AC11" i="13"/>
  <c r="AD12" i="13"/>
  <c r="AD11" i="13" s="1"/>
  <c r="AD10" i="13" s="1"/>
  <c r="D67" i="3" s="1"/>
  <c r="AC19" i="13"/>
  <c r="AD20" i="13"/>
  <c r="AD19" i="13" s="1"/>
  <c r="AD18" i="13" s="1"/>
  <c r="AD24" i="13"/>
  <c r="AD23" i="13" s="1"/>
  <c r="AD22" i="13" s="1"/>
  <c r="AB27" i="13"/>
  <c r="AC28" i="13"/>
  <c r="AB7" i="13"/>
  <c r="AC8" i="13"/>
  <c r="AB16" i="13"/>
  <c r="AC27" i="13"/>
  <c r="N17" i="9" l="1"/>
  <c r="P36" i="9" s="1"/>
  <c r="M16" i="11"/>
  <c r="O35" i="11" s="1"/>
  <c r="M16" i="9"/>
  <c r="O35" i="9" s="1"/>
  <c r="E44" i="3"/>
  <c r="K44" i="3" s="1"/>
  <c r="C47" i="3" s="1"/>
  <c r="K21" i="3" s="1"/>
  <c r="L21" i="3" s="1"/>
  <c r="M16" i="5"/>
  <c r="O35" i="5" s="1"/>
  <c r="M38" i="7"/>
  <c r="M37" i="5"/>
  <c r="P33" i="5" s="1"/>
  <c r="M16" i="7"/>
  <c r="O35" i="7" s="1"/>
  <c r="N17" i="7" s="1"/>
  <c r="P36" i="7" s="1"/>
  <c r="M37" i="9"/>
  <c r="P34" i="9" s="1"/>
  <c r="N137" i="3"/>
  <c r="S8" i="13"/>
  <c r="P132" i="3"/>
  <c r="O143" i="3" s="1"/>
  <c r="K45" i="3" s="1"/>
  <c r="M38" i="5"/>
  <c r="M38" i="9"/>
  <c r="M37" i="4"/>
  <c r="M37" i="8"/>
  <c r="M37" i="12"/>
  <c r="D69" i="3"/>
  <c r="W26" i="13" s="1"/>
  <c r="W27" i="13" s="1"/>
  <c r="D16" i="3"/>
  <c r="C35" i="3"/>
  <c r="D18" i="3" s="1"/>
  <c r="D20" i="3" s="1"/>
  <c r="M16" i="4"/>
  <c r="O35" i="4" s="1"/>
  <c r="N35" i="4"/>
  <c r="N17" i="4"/>
  <c r="P36" i="4" s="1"/>
  <c r="M37" i="7"/>
  <c r="M37" i="11"/>
  <c r="M38" i="4"/>
  <c r="M38" i="8"/>
  <c r="M38" i="12"/>
  <c r="M38" i="11"/>
  <c r="M37" i="6"/>
  <c r="M37" i="10"/>
  <c r="V18" i="13"/>
  <c r="V19" i="13" s="1"/>
  <c r="O38" i="11"/>
  <c r="P38" i="11" s="1"/>
  <c r="O38" i="9"/>
  <c r="P38" i="9" s="1"/>
  <c r="O38" i="7"/>
  <c r="P38" i="7" s="1"/>
  <c r="O38" i="5"/>
  <c r="P38" i="5" s="1"/>
  <c r="C85" i="3"/>
  <c r="F7" i="13"/>
  <c r="G7" i="13" s="1"/>
  <c r="O38" i="12"/>
  <c r="P38" i="12" s="1"/>
  <c r="O38" i="10"/>
  <c r="P38" i="10" s="1"/>
  <c r="O38" i="8"/>
  <c r="P38" i="8" s="1"/>
  <c r="O38" i="6"/>
  <c r="P38" i="6" s="1"/>
  <c r="O38" i="4"/>
  <c r="P38" i="4" s="1"/>
  <c r="E85" i="3"/>
  <c r="B68" i="3"/>
  <c r="B63" i="3"/>
  <c r="C57" i="3"/>
  <c r="B67" i="3"/>
  <c r="C59" i="3"/>
  <c r="B69" i="3"/>
  <c r="O37" i="5"/>
  <c r="P34" i="5"/>
  <c r="O37" i="9"/>
  <c r="N37" i="9"/>
  <c r="P39" i="9"/>
  <c r="P37" i="9"/>
  <c r="M38" i="10"/>
  <c r="P39" i="5" l="1"/>
  <c r="D93" i="3"/>
  <c r="P33" i="9"/>
  <c r="N37" i="5"/>
  <c r="P37" i="5"/>
  <c r="O37" i="11"/>
  <c r="P33" i="11"/>
  <c r="N37" i="11"/>
  <c r="P34" i="11"/>
  <c r="P39" i="11"/>
  <c r="P37" i="11"/>
  <c r="P39" i="12"/>
  <c r="P37" i="12"/>
  <c r="O37" i="12"/>
  <c r="P33" i="12"/>
  <c r="N37" i="12"/>
  <c r="P34" i="12"/>
  <c r="O37" i="7"/>
  <c r="P33" i="7"/>
  <c r="N37" i="7"/>
  <c r="P34" i="7"/>
  <c r="P39" i="7"/>
  <c r="P37" i="7"/>
  <c r="D24" i="3"/>
  <c r="K24" i="3" s="1"/>
  <c r="L24" i="3" s="1"/>
  <c r="K20" i="3"/>
  <c r="L20" i="3" s="1"/>
  <c r="P39" i="8"/>
  <c r="P37" i="8"/>
  <c r="O37" i="8"/>
  <c r="P33" i="8"/>
  <c r="N37" i="8"/>
  <c r="P34" i="8"/>
  <c r="P39" i="10"/>
  <c r="P37" i="10"/>
  <c r="O37" i="10"/>
  <c r="P33" i="10"/>
  <c r="N37" i="10"/>
  <c r="P34" i="10"/>
  <c r="P39" i="4"/>
  <c r="P37" i="4"/>
  <c r="O37" i="4"/>
  <c r="P33" i="4"/>
  <c r="N37" i="4"/>
  <c r="P34" i="4"/>
  <c r="E8" i="13"/>
  <c r="F8" i="13" s="1"/>
  <c r="C60" i="3"/>
  <c r="C87" i="3"/>
  <c r="D85" i="3"/>
  <c r="C86" i="3"/>
  <c r="P39" i="6"/>
  <c r="P37" i="6"/>
  <c r="O37" i="6"/>
  <c r="P33" i="6"/>
  <c r="N37" i="6"/>
  <c r="P34" i="6"/>
  <c r="C88" i="3" l="1"/>
  <c r="B62" i="3"/>
  <c r="A63" i="3" s="1"/>
  <c r="C61" i="3"/>
  <c r="D86" i="3"/>
  <c r="D87" i="3"/>
  <c r="D88" i="3" l="1"/>
  <c r="E88" i="3" s="1"/>
  <c r="D90" i="3" s="1"/>
  <c r="D96" i="3" s="1"/>
  <c r="F71" i="3"/>
  <c r="F72" i="3"/>
  <c r="D95" i="3" s="1"/>
  <c r="C99" i="3" l="1"/>
</calcChain>
</file>

<file path=xl/sharedStrings.xml><?xml version="1.0" encoding="utf-8"?>
<sst xmlns="http://schemas.openxmlformats.org/spreadsheetml/2006/main" count="219" uniqueCount="163">
  <si>
    <t>(Macros should be enabled)</t>
  </si>
  <si>
    <t>Guldhammer &amp; Harwald Method for Ship Resistance Prediction</t>
  </si>
  <si>
    <t>LBP</t>
  </si>
  <si>
    <t>m</t>
  </si>
  <si>
    <t>B</t>
  </si>
  <si>
    <r>
      <t>V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(knots)=</t>
    </r>
  </si>
  <si>
    <t>T</t>
  </si>
  <si>
    <r>
      <t>V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(m/s)=</t>
    </r>
  </si>
  <si>
    <r>
      <t>ϕ (C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</si>
  <si>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t>δ (C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)</t>
    </r>
  </si>
  <si>
    <r>
      <t>ν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=</t>
    </r>
  </si>
  <si>
    <r>
      <t>1.188*10</t>
    </r>
    <r>
      <rPr>
        <vertAlign val="superscript"/>
        <sz val="11"/>
        <color theme="1"/>
        <rFont val="Calibri"/>
        <family val="2"/>
        <scheme val="minor"/>
      </rPr>
      <t>-6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</si>
  <si>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</t>
    </r>
  </si>
  <si>
    <r>
      <t>A</t>
    </r>
    <r>
      <rPr>
        <vertAlign val="subscript"/>
        <sz val="11"/>
        <color theme="1"/>
        <rFont val="Calibri"/>
        <family val="2"/>
        <scheme val="minor"/>
      </rPr>
      <t>MID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</si>
  <si>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</si>
  <si>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g=</t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</si>
  <si>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</si>
  <si>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</t>
    </r>
    <r>
      <rPr>
        <vertAlign val="subscript"/>
        <sz val="11"/>
        <color theme="1"/>
        <rFont val="Calibri"/>
        <family val="2"/>
        <scheme val="minor"/>
      </rPr>
      <t>BT</t>
    </r>
  </si>
  <si>
    <r>
      <t>tonnes/m</t>
    </r>
    <r>
      <rPr>
        <vertAlign val="superscript"/>
        <sz val="11"/>
        <color theme="1"/>
        <rFont val="Calibri"/>
        <family val="2"/>
        <scheme val="minor"/>
      </rPr>
      <t>3</t>
    </r>
  </si>
  <si>
    <t>LCB</t>
  </si>
  <si>
    <t>▼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</si>
  <si>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</si>
  <si>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▲</t>
  </si>
  <si>
    <t>tonnes</t>
  </si>
  <si>
    <t>Results</t>
  </si>
  <si>
    <t>Coefficients of Resistance</t>
  </si>
  <si>
    <t>Resistance of Ship</t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</si>
  <si>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F</t>
    </r>
    <r>
      <rPr>
        <b/>
        <sz val="11"/>
        <color rgb="FF000000"/>
        <rFont val="Calibri"/>
        <family val="2"/>
        <scheme val="minor"/>
      </rPr>
      <t>’=</t>
    </r>
  </si>
  <si>
    <t>Equation</t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</si>
  <si>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A</t>
    </r>
    <r>
      <rPr>
        <b/>
        <sz val="11"/>
        <color rgb="FF000000"/>
        <rFont val="Calibri"/>
        <family val="2"/>
        <scheme val="minor"/>
      </rPr>
      <t>=</t>
    </r>
  </si>
  <si>
    <t>WSA of hull</t>
  </si>
  <si>
    <t>S</t>
  </si>
  <si>
    <r>
      <t>S=1.025L</t>
    </r>
    <r>
      <rPr>
        <vertAlign val="subscript"/>
        <sz val="11"/>
        <color theme="0" tint="-0.499984740745262"/>
        <rFont val="Calibri"/>
        <family val="2"/>
        <scheme val="minor"/>
      </rPr>
      <t>pp</t>
    </r>
    <r>
      <rPr>
        <sz val="11"/>
        <color theme="0" tint="-0.499984740745262"/>
        <rFont val="Calibri"/>
        <family val="2"/>
        <scheme val="minor"/>
      </rPr>
      <t>(δB+1.7T)</t>
    </r>
  </si>
  <si>
    <t xml:space="preserve">Final </t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</si>
  <si>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F</t>
    </r>
    <r>
      <rPr>
        <b/>
        <sz val="11"/>
        <color rgb="FF000000"/>
        <rFont val="Calibri"/>
        <family val="2"/>
        <scheme val="minor"/>
      </rPr>
      <t>=</t>
    </r>
  </si>
  <si>
    <t>WSA of appendages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</si>
  <si>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1</t>
    </r>
  </si>
  <si>
    <t>Total WSA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</si>
  <si>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total</t>
    </r>
  </si>
  <si>
    <r>
      <t>S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=S+S</t>
    </r>
    <r>
      <rPr>
        <vertAlign val="subscript"/>
        <sz val="11"/>
        <color rgb="FF808080"/>
        <rFont val="Calibri"/>
        <family val="2"/>
        <scheme val="minor"/>
      </rPr>
      <t>1</t>
    </r>
    <r>
      <rPr>
        <sz val="11"/>
        <color rgb="FF808080"/>
        <rFont val="Calibri"/>
        <family val="2"/>
        <scheme val="minor"/>
      </rPr>
      <t/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</si>
  <si>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FS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</si>
  <si>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FS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F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</si>
  <si>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</t>
    </r>
    <r>
      <rPr>
        <b/>
        <sz val="11"/>
        <color theme="1"/>
        <rFont val="Calibri"/>
        <family val="2"/>
        <scheme val="minor"/>
      </rPr>
      <t>=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</si>
  <si>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RS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</si>
  <si>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RS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R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</si>
  <si>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AA</t>
    </r>
    <r>
      <rPr>
        <b/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</si>
  <si>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AA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</si>
  <si>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AA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AA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</si>
  <si>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AS</t>
    </r>
    <r>
      <rPr>
        <b/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</si>
  <si>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AS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</si>
  <si>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AS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AS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</si>
  <si>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T</t>
    </r>
    <r>
      <rPr>
        <b/>
        <sz val="11"/>
        <color rgb="FF000000"/>
        <rFont val="Calibri"/>
        <family val="2"/>
        <scheme val="minor"/>
      </rPr>
      <t>=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</si>
  <si>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TS</t>
    </r>
  </si>
  <si>
    <r>
      <t>R</t>
    </r>
    <r>
      <rPr>
        <vertAlign val="subscript"/>
        <sz val="11"/>
        <color rgb="FF808080"/>
        <rFont val="Calibri"/>
        <family val="2"/>
        <scheme val="minor"/>
      </rPr>
      <t>T</t>
    </r>
    <r>
      <rPr>
        <sz val="11"/>
        <color rgb="FF808080"/>
        <rFont val="Calibri"/>
        <family val="2"/>
        <scheme val="minor"/>
      </rPr>
      <t>=C</t>
    </r>
    <r>
      <rPr>
        <vertAlign val="subscript"/>
        <sz val="11"/>
        <color rgb="FF808080"/>
        <rFont val="Calibri"/>
        <family val="2"/>
        <scheme val="minor"/>
      </rPr>
      <t>T</t>
    </r>
    <r>
      <rPr>
        <sz val="11"/>
        <color rgb="FF808080"/>
        <rFont val="Calibri"/>
        <family val="2"/>
        <scheme val="minor"/>
      </rPr>
      <t>*1/2*ρ</t>
    </r>
    <r>
      <rPr>
        <vertAlign val="subscript"/>
        <sz val="11"/>
        <color rgb="FF808080"/>
        <rFont val="Calibri"/>
        <family val="2"/>
        <scheme val="minor"/>
      </rPr>
      <t>S</t>
    </r>
    <r>
      <rPr>
        <sz val="11"/>
        <color rgb="FF808080"/>
        <rFont val="Calibri"/>
        <family val="2"/>
        <scheme val="minor"/>
      </rPr>
      <t xml:space="preserve">S </t>
    </r>
    <r>
      <rPr>
        <vertAlign val="subscript"/>
        <sz val="11"/>
        <color rgb="FF808080"/>
        <rFont val="Calibri"/>
        <family val="2"/>
        <scheme val="minor"/>
      </rPr>
      <t>Total</t>
    </r>
    <r>
      <rPr>
        <sz val="11"/>
        <color rgb="FF808080"/>
        <rFont val="Calibri"/>
        <family val="2"/>
        <scheme val="minor"/>
      </rPr>
      <t>V</t>
    </r>
    <r>
      <rPr>
        <vertAlign val="superscript"/>
        <sz val="11"/>
        <color rgb="FF808080"/>
        <rFont val="Arial"/>
        <family val="2"/>
      </rPr>
      <t>2</t>
    </r>
  </si>
  <si>
    <t>Calculations</t>
  </si>
  <si>
    <r>
      <t>Coeff. Of Frictional Resistance, C</t>
    </r>
    <r>
      <rPr>
        <b/>
        <u/>
        <vertAlign val="subscript"/>
        <sz val="16"/>
        <rFont val="Calibri"/>
        <family val="2"/>
        <scheme val="minor"/>
      </rPr>
      <t>F</t>
    </r>
    <r>
      <rPr>
        <sz val="11"/>
        <color rgb="FF000000"/>
        <rFont val="Calibri"/>
        <family val="2"/>
        <scheme val="minor"/>
      </rPr>
      <t/>
    </r>
  </si>
  <si>
    <r>
      <t>R</t>
    </r>
    <r>
      <rPr>
        <vertAlign val="subscript"/>
        <sz val="11"/>
        <rFont val="Calibri"/>
        <family val="2"/>
        <scheme val="minor"/>
      </rPr>
      <t>n</t>
    </r>
  </si>
  <si>
    <r>
      <t>R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=VL/ν</t>
    </r>
  </si>
  <si>
    <t>=</t>
  </si>
  <si>
    <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’</t>
    </r>
  </si>
  <si>
    <r>
      <t>C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'=0.075/(log</t>
    </r>
    <r>
      <rPr>
        <vertAlign val="sub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R</t>
    </r>
    <r>
      <rPr>
        <vertAlign val="subscript"/>
        <sz val="11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-2)</t>
    </r>
    <r>
      <rPr>
        <vertAlign val="superscript"/>
        <sz val="11"/>
        <rFont val="Calibri"/>
        <family val="2"/>
        <scheme val="minor"/>
      </rPr>
      <t>2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</si>
  <si>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'=</t>
    </r>
  </si>
  <si>
    <r>
      <t>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A</t>
    </r>
    <r>
      <rPr>
        <b/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</si>
  <si>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=</t>
    </r>
  </si>
  <si>
    <r>
      <t>10</t>
    </r>
    <r>
      <rPr>
        <vertAlign val="super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’=10</t>
    </r>
    <r>
      <rPr>
        <vertAlign val="super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+10</t>
    </r>
    <r>
      <rPr>
        <vertAlign val="super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A</t>
    </r>
  </si>
  <si>
    <r>
      <t>Coeff. Of Residuary Resistance, C</t>
    </r>
    <r>
      <rPr>
        <b/>
        <u/>
        <vertAlign val="subscript"/>
        <sz val="16"/>
        <rFont val="Calibri"/>
        <family val="2"/>
        <scheme val="minor"/>
      </rPr>
      <t>R</t>
    </r>
  </si>
  <si>
    <r>
      <t>L/</t>
    </r>
    <r>
      <rPr>
        <sz val="11"/>
        <color theme="1"/>
        <rFont val="Arial"/>
        <family val="2"/>
      </rPr>
      <t>▼</t>
    </r>
    <r>
      <rPr>
        <vertAlign val="superscript"/>
        <sz val="11"/>
        <color theme="1"/>
        <rFont val="Arial"/>
        <family val="2"/>
      </rPr>
      <t>1/3</t>
    </r>
    <r>
      <rPr>
        <sz val="11"/>
        <color theme="1"/>
        <rFont val="Arial"/>
        <family val="2"/>
      </rPr>
      <t>=</t>
    </r>
  </si>
  <si>
    <r>
      <t>F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=</t>
    </r>
  </si>
  <si>
    <t>ϕ=</t>
  </si>
  <si>
    <r>
      <t>(Obtain 10</t>
    </r>
    <r>
      <rPr>
        <u/>
        <vertAlign val="superscript"/>
        <sz val="11"/>
        <color theme="5" tint="-0.249977111117893"/>
        <rFont val="Calibri"/>
        <family val="2"/>
        <scheme val="minor"/>
      </rPr>
      <t>3</t>
    </r>
    <r>
      <rPr>
        <u/>
        <sz val="11"/>
        <color theme="5" tint="-0.249977111117893"/>
        <rFont val="Calibri"/>
        <family val="2"/>
        <scheme val="minor"/>
      </rPr>
      <t>C</t>
    </r>
    <r>
      <rPr>
        <u/>
        <vertAlign val="subscript"/>
        <sz val="11"/>
        <color theme="5" tint="-0.249977111117893"/>
        <rFont val="Calibri"/>
        <family val="2"/>
        <scheme val="minor"/>
      </rPr>
      <t>R</t>
    </r>
    <r>
      <rPr>
        <u/>
        <sz val="11"/>
        <color theme="5" tint="-0.249977111117893"/>
        <rFont val="Calibri"/>
        <family val="2"/>
        <scheme val="minor"/>
      </rPr>
      <t xml:space="preserve"> values from L/</t>
    </r>
    <r>
      <rPr>
        <u/>
        <sz val="11"/>
        <color theme="5" tint="-0.249977111117893"/>
        <rFont val="Arial"/>
        <family val="2"/>
      </rPr>
      <t>▼</t>
    </r>
    <r>
      <rPr>
        <u/>
        <vertAlign val="superscript"/>
        <sz val="11"/>
        <color theme="5" tint="-0.249977111117893"/>
        <rFont val="Arial"/>
        <family val="2"/>
      </rPr>
      <t>1/3</t>
    </r>
    <r>
      <rPr>
        <u/>
        <sz val="11"/>
        <color theme="5" tint="-0.249977111117893"/>
        <rFont val="Arial"/>
        <family val="2"/>
      </rPr>
      <t xml:space="preserve"> graphs)</t>
    </r>
  </si>
  <si>
    <r>
      <t>L/</t>
    </r>
    <r>
      <rPr>
        <sz val="11"/>
        <color theme="1"/>
        <rFont val="Arial"/>
        <family val="2"/>
      </rPr>
      <t>▼</t>
    </r>
    <r>
      <rPr>
        <vertAlign val="superscript"/>
        <sz val="11"/>
        <color theme="1"/>
        <rFont val="Arial"/>
        <family val="2"/>
      </rPr>
      <t>1/3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</si>
  <si>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</si>
  <si>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R(Standard)</t>
    </r>
    <r>
      <rPr>
        <sz val="11"/>
        <color theme="1"/>
        <rFont val="Calibri"/>
        <family val="2"/>
        <scheme val="minor"/>
      </rPr>
      <t>(From graphs)=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</si>
  <si>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R(Standard)</t>
    </r>
    <r>
      <rPr>
        <sz val="11"/>
        <color theme="1"/>
        <rFont val="Calibri"/>
        <family val="2"/>
        <scheme val="minor"/>
      </rPr>
      <t>(Empirical procedure)=</t>
    </r>
  </si>
  <si>
    <t>(Calculations for empirical procedure is at the bottom of the sheet)</t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</si>
  <si>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R(Standard)</t>
    </r>
    <r>
      <rPr>
        <sz val="11"/>
        <color theme="1"/>
        <rFont val="Calibri"/>
        <family val="2"/>
        <scheme val="minor"/>
      </rPr>
      <t>=</t>
    </r>
  </si>
  <si>
    <t>B/T Correction</t>
  </si>
  <si>
    <t>B/T ratio=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</si>
  <si>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R(B/T Correction)</t>
    </r>
    <r>
      <rPr>
        <sz val="11"/>
        <color theme="1"/>
        <rFont val="Calibri"/>
        <family val="2"/>
        <scheme val="minor"/>
      </rPr>
      <t>=</t>
    </r>
  </si>
  <si>
    <t>LCB Correction</t>
  </si>
  <si>
    <r>
      <t>%</t>
    </r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LCB</t>
    </r>
  </si>
  <si>
    <t>fwd from amidship</t>
  </si>
  <si>
    <r>
      <t>∂10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 xml:space="preserve">R </t>
    </r>
    <r>
      <rPr>
        <b/>
        <sz val="11"/>
        <color theme="1"/>
        <rFont val="Calibri"/>
        <family val="2"/>
        <scheme val="minor"/>
      </rPr>
      <t>/ ∂LCB:</t>
    </r>
  </si>
  <si>
    <t>(Interpolation)</t>
  </si>
  <si>
    <r>
      <t>F</t>
    </r>
    <r>
      <rPr>
        <vertAlign val="subscript"/>
        <sz val="11"/>
        <color theme="1"/>
        <rFont val="Calibri"/>
        <family val="2"/>
        <scheme val="minor"/>
      </rPr>
      <t>n</t>
    </r>
  </si>
  <si>
    <t>ϕ</t>
  </si>
  <si>
    <r>
      <t>∂10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 xml:space="preserve">R </t>
    </r>
    <r>
      <rPr>
        <sz val="11"/>
        <color theme="1"/>
        <rFont val="Calibri"/>
        <family val="2"/>
        <scheme val="minor"/>
      </rPr>
      <t>/ ∂LCB</t>
    </r>
  </si>
  <si>
    <r>
      <t>Δ10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R(LCB Correction)</t>
    </r>
    <r>
      <rPr>
        <sz val="11"/>
        <color rgb="FF000000"/>
        <rFont val="Calibri"/>
        <family val="2"/>
        <scheme val="minor"/>
      </rPr>
      <t>= ∂10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CR / ∂LCB*ΔLCB</t>
    </r>
  </si>
  <si>
    <t>Bulbous bow correction</t>
  </si>
  <si>
    <r>
      <t>A</t>
    </r>
    <r>
      <rPr>
        <vertAlign val="subscript"/>
        <sz val="11"/>
        <color theme="1"/>
        <rFont val="Calibri"/>
        <family val="2"/>
        <scheme val="minor"/>
      </rPr>
      <t>BT</t>
    </r>
    <r>
      <rPr>
        <sz val="11"/>
        <color theme="1"/>
        <rFont val="Calibri"/>
        <family val="2"/>
        <scheme val="minor"/>
      </rPr>
      <t>=</t>
    </r>
  </si>
  <si>
    <r>
      <t>C</t>
    </r>
    <r>
      <rPr>
        <b/>
        <vertAlign val="subscript"/>
        <sz val="16"/>
        <color theme="1"/>
        <rFont val="Calibri"/>
        <family val="2"/>
        <scheme val="minor"/>
      </rPr>
      <t>P</t>
    </r>
  </si>
  <si>
    <r>
      <t>Froudes’ Number, F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</si>
  <si>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A</t>
    </r>
    <r>
      <rPr>
        <vertAlign val="subscript"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</si>
  <si>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>BT</t>
    </r>
    <r>
      <rPr>
        <sz val="11"/>
        <color theme="1"/>
        <rFont val="Calibri"/>
        <family val="2"/>
        <scheme val="minor"/>
      </rPr>
      <t xml:space="preserve"> /A</t>
    </r>
    <r>
      <rPr>
        <vertAlign val="subscript"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</si>
  <si>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BT</t>
    </r>
    <r>
      <rPr>
        <sz val="11"/>
        <color theme="1"/>
        <rFont val="Calibri"/>
        <family val="2"/>
        <scheme val="minor"/>
      </rPr>
      <t xml:space="preserve"> /A</t>
    </r>
    <r>
      <rPr>
        <vertAlign val="subscript"/>
        <sz val="11"/>
        <color theme="1"/>
        <rFont val="Calibri"/>
        <family val="2"/>
        <scheme val="minor"/>
      </rPr>
      <t>MID</t>
    </r>
  </si>
  <si>
    <t>Interpolation</t>
  </si>
  <si>
    <r>
      <t>Froudes’ Number, F</t>
    </r>
    <r>
      <rPr>
        <b/>
        <vertAlign val="subscript"/>
        <sz val="10"/>
        <color theme="1"/>
        <rFont val="Calibri"/>
        <family val="2"/>
        <scheme val="minor"/>
      </rPr>
      <t>n</t>
    </r>
  </si>
  <si>
    <r>
      <t>Δ10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R(BB Correction)</t>
    </r>
    <r>
      <rPr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</si>
  <si>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R(Standard)</t>
    </r>
  </si>
  <si>
    <r>
      <t>Δ10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R(B/T Correction)</t>
    </r>
  </si>
  <si>
    <r>
      <t>Δ10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R(LCB Correction)</t>
    </r>
  </si>
  <si>
    <r>
      <t>Δ10</t>
    </r>
    <r>
      <rPr>
        <b/>
        <vertAlign val="superscript"/>
        <sz val="11"/>
        <color rgb="FF000000"/>
        <rFont val="Calibri"/>
        <family val="2"/>
        <scheme val="minor"/>
      </rPr>
      <t>3</t>
    </r>
    <r>
      <rPr>
        <b/>
        <sz val="11"/>
        <color rgb="FF000000"/>
        <rFont val="Calibri"/>
        <family val="2"/>
        <scheme val="minor"/>
      </rPr>
      <t>C</t>
    </r>
    <r>
      <rPr>
        <b/>
        <vertAlign val="subscript"/>
        <sz val="11"/>
        <color rgb="FF000000"/>
        <rFont val="Calibri"/>
        <family val="2"/>
        <scheme val="minor"/>
      </rPr>
      <t>R(BB Correction)</t>
    </r>
    <r>
      <rPr>
        <sz val="11"/>
        <color theme="1"/>
        <rFont val="Calibri"/>
        <family val="2"/>
        <scheme val="minor"/>
      </rPr>
      <t/>
    </r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</si>
  <si>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</t>
    </r>
    <r>
      <rPr>
        <b/>
        <sz val="11"/>
        <color theme="1"/>
        <rFont val="Calibri"/>
        <family val="2"/>
        <scheme val="minor"/>
      </rPr>
      <t>=10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C</t>
    </r>
    <r>
      <rPr>
        <b/>
        <vertAlign val="subscript"/>
        <sz val="11"/>
        <color theme="1"/>
        <rFont val="Calibri"/>
        <family val="2"/>
        <scheme val="minor"/>
      </rPr>
      <t>R(Standard)</t>
    </r>
    <r>
      <rPr>
        <b/>
        <sz val="11"/>
        <color theme="1"/>
        <rFont val="Calibri"/>
        <family val="2"/>
        <scheme val="minor"/>
      </rPr>
      <t>+10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ΔC</t>
    </r>
    <r>
      <rPr>
        <b/>
        <vertAlign val="subscript"/>
        <sz val="11"/>
        <color theme="1"/>
        <rFont val="Calibri"/>
        <family val="2"/>
        <scheme val="minor"/>
      </rPr>
      <t>R(B/T Correction)</t>
    </r>
    <r>
      <rPr>
        <b/>
        <sz val="11"/>
        <color theme="1"/>
        <rFont val="Calibri"/>
        <family val="2"/>
        <scheme val="minor"/>
      </rPr>
      <t>+ 10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ΔC</t>
    </r>
    <r>
      <rPr>
        <b/>
        <vertAlign val="subscript"/>
        <sz val="11"/>
        <color theme="1"/>
        <rFont val="Calibri"/>
        <family val="2"/>
        <scheme val="minor"/>
      </rPr>
      <t>R(LCB Correction)</t>
    </r>
    <r>
      <rPr>
        <b/>
        <sz val="11"/>
        <color theme="1"/>
        <rFont val="Calibri"/>
        <family val="2"/>
        <scheme val="minor"/>
      </rPr>
      <t>+ 10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ΔC</t>
    </r>
    <r>
      <rPr>
        <b/>
        <vertAlign val="subscript"/>
        <sz val="11"/>
        <color theme="1"/>
        <rFont val="Calibri"/>
        <family val="2"/>
        <scheme val="minor"/>
      </rPr>
      <t>R(BB Correction)</t>
    </r>
    <r>
      <rPr>
        <b/>
        <sz val="11"/>
        <color theme="1"/>
        <rFont val="Calibri"/>
        <family val="2"/>
        <scheme val="minor"/>
      </rPr>
      <t>=</t>
    </r>
  </si>
  <si>
    <t>Incremental Resistance Coeff. For Model-Ship Corelation</t>
  </si>
  <si>
    <t>L</t>
  </si>
  <si>
    <r>
      <t>Δ10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</t>
    </r>
    <r>
      <rPr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</si>
  <si>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</t>
    </r>
    <r>
      <rPr>
        <sz val="11"/>
        <color rgb="FF000000"/>
        <rFont val="Calibri"/>
        <family val="2"/>
        <scheme val="minor"/>
      </rPr>
      <t>(Standard)</t>
    </r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</si>
  <si>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</t>
    </r>
    <r>
      <rPr>
        <sz val="11"/>
        <color rgb="FF000000"/>
        <rFont val="Calibri"/>
        <family val="2"/>
        <scheme val="minor"/>
      </rPr>
      <t>(corresponding to length)</t>
    </r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</si>
  <si>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</t>
    </r>
    <r>
      <rPr>
        <sz val="11"/>
        <color rgb="FF000000"/>
        <rFont val="Calibri"/>
        <family val="2"/>
        <scheme val="minor"/>
      </rPr>
      <t>(considering displacement)</t>
    </r>
  </si>
  <si>
    <t>Air resistance coeff.</t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</si>
  <si>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AA</t>
    </r>
    <r>
      <rPr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</si>
  <si>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t>Steering resistance coeff.</t>
  </si>
  <si>
    <r>
      <t>10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C</t>
    </r>
    <r>
      <rPr>
        <vertAlign val="subscript"/>
        <sz val="11"/>
        <color rgb="FF000000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>=</t>
    </r>
    <r>
      <rPr>
        <sz val="11"/>
        <color theme="1"/>
        <rFont val="Calibri"/>
        <family val="2"/>
        <scheme val="minor"/>
      </rPr>
      <t/>
    </r>
  </si>
  <si>
    <t>Guldhammer Harwald Method - Approximate empirical procedure</t>
  </si>
  <si>
    <t>Equations</t>
  </si>
  <si>
    <t>Calculation:</t>
  </si>
  <si>
    <r>
      <t>10</t>
    </r>
    <r>
      <rPr>
        <vertAlign val="superscript"/>
        <sz val="11"/>
        <color theme="1" tint="0.34998626667073579"/>
        <rFont val="Calibri"/>
        <family val="2"/>
        <scheme val="minor"/>
      </rPr>
      <t>3</t>
    </r>
    <r>
      <rPr>
        <sz val="11"/>
        <color theme="1" tint="0.34998626667073579"/>
        <rFont val="Calibri"/>
        <family val="2"/>
        <scheme val="minor"/>
      </rPr>
      <t>C</t>
    </r>
    <r>
      <rPr>
        <vertAlign val="subscript"/>
        <sz val="11"/>
        <color theme="1" tint="0.34998626667073579"/>
        <rFont val="Calibri"/>
        <family val="2"/>
        <scheme val="minor"/>
      </rPr>
      <t>R(Standard)</t>
    </r>
    <r>
      <rPr>
        <sz val="11"/>
        <color theme="1" tint="0.34998626667073579"/>
        <rFont val="Calibri"/>
        <family val="2"/>
        <scheme val="minor"/>
      </rPr>
      <t>=E+G+H+K</t>
    </r>
  </si>
  <si>
    <r>
      <t>M=L/</t>
    </r>
    <r>
      <rPr>
        <sz val="11"/>
        <color theme="1"/>
        <rFont val="Arial"/>
        <family val="2"/>
      </rPr>
      <t>▼</t>
    </r>
    <r>
      <rPr>
        <vertAlign val="superscript"/>
        <sz val="11"/>
        <color theme="1"/>
        <rFont val="Calibri"/>
        <family val="2"/>
        <scheme val="minor"/>
      </rPr>
      <t>1/3</t>
    </r>
    <r>
      <rPr>
        <sz val="11"/>
        <color theme="1"/>
        <rFont val="Calibri"/>
        <family val="2"/>
        <scheme val="minor"/>
      </rPr>
      <t>=</t>
    </r>
  </si>
  <si>
    <r>
      <t>E=(A</t>
    </r>
    <r>
      <rPr>
        <vertAlign val="subscript"/>
        <sz val="11"/>
        <color theme="1" tint="0.34998626667073579"/>
        <rFont val="Calibri"/>
        <family val="2"/>
        <scheme val="minor"/>
      </rPr>
      <t>0</t>
    </r>
    <r>
      <rPr>
        <sz val="11"/>
        <color theme="1" tint="0.34998626667073579"/>
        <rFont val="Calibri"/>
        <family val="2"/>
        <scheme val="minor"/>
      </rPr>
      <t>+1.5F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vertAlign val="superscript"/>
        <sz val="11"/>
        <color theme="1" tint="0.34998626667073579"/>
        <rFont val="Calibri"/>
        <family val="2"/>
        <scheme val="minor"/>
      </rPr>
      <t>1.8</t>
    </r>
    <r>
      <rPr>
        <sz val="11"/>
        <color theme="1" tint="0.34998626667073579"/>
        <rFont val="Calibri"/>
        <family val="2"/>
        <scheme val="minor"/>
      </rPr>
      <t>+A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vertAlign val="superscript"/>
        <sz val="11"/>
        <color theme="1" tint="0.34998626667073579"/>
        <rFont val="Calibri"/>
        <family val="2"/>
        <scheme val="minor"/>
      </rPr>
      <t>(N</t>
    </r>
    <r>
      <rPr>
        <sz val="7"/>
        <color theme="1" tint="0.34998626667073579"/>
        <rFont val="Calibri"/>
        <family val="2"/>
        <scheme val="minor"/>
      </rPr>
      <t>1</t>
    </r>
    <r>
      <rPr>
        <vertAlign val="superscript"/>
        <sz val="11"/>
        <color theme="1" tint="0.34998626667073579"/>
        <rFont val="Calibri"/>
        <family val="2"/>
        <scheme val="minor"/>
      </rPr>
      <t>)</t>
    </r>
    <r>
      <rPr>
        <sz val="11"/>
        <color theme="1" tint="0.34998626667073579"/>
        <rFont val="Calibri"/>
        <family val="2"/>
        <scheme val="minor"/>
      </rPr>
      <t>)(0.98+2.5/(M-2)</t>
    </r>
    <r>
      <rPr>
        <vertAlign val="superscript"/>
        <sz val="11"/>
        <color theme="1" tint="0.34998626667073579"/>
        <rFont val="Calibri"/>
        <family val="2"/>
        <scheme val="minor"/>
      </rPr>
      <t>4</t>
    </r>
    <r>
      <rPr>
        <sz val="11"/>
        <color theme="1" tint="0.34998626667073579"/>
        <rFont val="Calibri"/>
        <family val="2"/>
        <scheme val="minor"/>
      </rPr>
      <t>+(M-5)</t>
    </r>
    <r>
      <rPr>
        <vertAlign val="superscript"/>
        <sz val="11"/>
        <color theme="1" tint="0.34998626667073579"/>
        <rFont val="Calibri"/>
        <family val="2"/>
        <scheme val="minor"/>
      </rPr>
      <t>4</t>
    </r>
    <r>
      <rPr>
        <sz val="11"/>
        <color theme="1" tint="0.34998626667073579"/>
        <rFont val="Calibri"/>
        <family val="2"/>
        <scheme val="minor"/>
      </rPr>
      <t>(F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sz val="11"/>
        <color theme="1" tint="0.34998626667073579"/>
        <rFont val="Calibri"/>
        <family val="2"/>
        <scheme val="minor"/>
      </rPr>
      <t>-0.1)</t>
    </r>
    <r>
      <rPr>
        <vertAlign val="superscript"/>
        <sz val="11"/>
        <color theme="1" tint="0.34998626667073579"/>
        <rFont val="Calibri"/>
        <family val="2"/>
        <scheme val="minor"/>
      </rPr>
      <t>4</t>
    </r>
  </si>
  <si>
    <r>
      <t>A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=1.35-0.23M+0.012M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</si>
  <si>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1"/>
        <color theme="1" tint="0.34998626667073579"/>
        <rFont val="Calibri"/>
        <family val="2"/>
        <scheme val="minor"/>
      </rPr>
      <t>0</t>
    </r>
    <r>
      <rPr>
        <sz val="11"/>
        <color theme="1" tint="0.34998626667073579"/>
        <rFont val="Calibri"/>
        <family val="2"/>
        <scheme val="minor"/>
      </rPr>
      <t>=1.35-0.23M+0.012M</t>
    </r>
    <r>
      <rPr>
        <vertAlign val="super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)</t>
    </r>
  </si>
  <si>
    <r>
      <t>A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=0.0011M</t>
    </r>
    <r>
      <rPr>
        <vertAlign val="superscript"/>
        <sz val="11"/>
        <color theme="1"/>
        <rFont val="Calibri"/>
        <family val="2"/>
        <scheme val="minor"/>
      </rPr>
      <t>9.1</t>
    </r>
    <r>
      <rPr>
        <sz val="11"/>
        <color theme="1"/>
        <rFont val="Calibri"/>
        <family val="2"/>
        <scheme val="minor"/>
      </rPr>
      <t>=</t>
    </r>
  </si>
  <si>
    <r>
      <t>A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=0.0011M</t>
    </r>
    <r>
      <rPr>
        <vertAlign val="superscript"/>
        <sz val="11"/>
        <color theme="1" tint="0.34998626667073579"/>
        <rFont val="Calibri"/>
        <family val="2"/>
        <scheme val="minor"/>
      </rPr>
      <t>9.1</t>
    </r>
  </si>
  <si>
    <r>
      <t>N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=2M-3.7=</t>
    </r>
  </si>
  <si>
    <r>
      <t>M=L/</t>
    </r>
    <r>
      <rPr>
        <sz val="11"/>
        <color theme="1" tint="0.34998626667073579"/>
        <rFont val="Arial"/>
        <family val="2"/>
      </rPr>
      <t>▼</t>
    </r>
    <r>
      <rPr>
        <vertAlign val="superscript"/>
        <sz val="11"/>
        <color theme="1" tint="0.34998626667073579"/>
        <rFont val="Arial"/>
        <family val="2"/>
      </rPr>
      <t>1/3</t>
    </r>
  </si>
  <si>
    <r>
      <t>N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=2M-3.7</t>
    </r>
  </si>
  <si>
    <r>
      <t>E=(A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+1.5F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1.8</t>
    </r>
    <r>
      <rPr>
        <sz val="11"/>
        <color theme="1"/>
        <rFont val="Calibri"/>
        <family val="2"/>
        <scheme val="minor"/>
      </rPr>
      <t>+A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(N</t>
    </r>
    <r>
      <rPr>
        <sz val="7"/>
        <color theme="1"/>
        <rFont val="Calibri"/>
        <family val="2"/>
        <scheme val="minor"/>
      </rPr>
      <t>1</t>
    </r>
    <r>
      <rPr>
        <vertAlign val="superscript"/>
        <sz val="11"/>
        <color theme="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)(0.98+2.5/(M-2)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+(M-5)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(F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-0.1)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=</t>
    </r>
  </si>
  <si>
    <r>
      <t>G=B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B</t>
    </r>
    <r>
      <rPr>
        <vertAlign val="sub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/B</t>
    </r>
    <r>
      <rPr>
        <vertAlign val="subscript"/>
        <sz val="11"/>
        <color theme="1" tint="0.34998626667073579"/>
        <rFont val="Calibri"/>
        <family val="2"/>
        <scheme val="minor"/>
      </rPr>
      <t>3</t>
    </r>
  </si>
  <si>
    <r>
      <t>B</t>
    </r>
    <r>
      <rPr>
        <vertAlign val="subscript"/>
        <sz val="11"/>
        <color theme="1" tint="0.34998626667073579"/>
        <rFont val="Calibri"/>
        <family val="2"/>
        <scheme val="minor"/>
      </rPr>
      <t>1</t>
    </r>
    <r>
      <rPr>
        <sz val="11"/>
        <color theme="1" tint="0.34998626667073579"/>
        <rFont val="Calibri"/>
        <family val="2"/>
        <scheme val="minor"/>
      </rPr>
      <t>=7-0.09M</t>
    </r>
    <r>
      <rPr>
        <vertAlign val="superscript"/>
        <sz val="11"/>
        <color theme="1" tint="0.34998626667073579"/>
        <rFont val="Calibri"/>
        <family val="2"/>
        <scheme val="minor"/>
      </rPr>
      <t>2</t>
    </r>
  </si>
  <si>
    <r>
      <t>B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=7-0.09M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</si>
  <si>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=(5C</t>
    </r>
    <r>
      <rPr>
        <vertAlign val="subscript"/>
        <sz val="11"/>
        <color theme="1" tint="0.34998626667073579"/>
        <rFont val="Calibri"/>
        <family val="2"/>
        <scheme val="minor"/>
      </rPr>
      <t>P</t>
    </r>
    <r>
      <rPr>
        <sz val="11"/>
        <color theme="1" tint="0.34998626667073579"/>
        <rFont val="Calibri"/>
        <family val="2"/>
        <scheme val="minor"/>
      </rPr>
      <t>-2.5)</t>
    </r>
    <r>
      <rPr>
        <vertAlign val="superscript"/>
        <sz val="11"/>
        <color theme="1" tint="0.34998626667073579"/>
        <rFont val="Calibri"/>
        <family val="2"/>
        <scheme val="minor"/>
      </rPr>
      <t>2</t>
    </r>
  </si>
  <si>
    <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=(5C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-2.5)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</si>
  <si>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 tint="0.34998626667073579"/>
        <rFont val="Calibri"/>
        <family val="2"/>
        <scheme val="minor"/>
      </rPr>
      <t>3</t>
    </r>
    <r>
      <rPr>
        <sz val="11"/>
        <color theme="1" tint="0.34998626667073579"/>
        <rFont val="Calibri"/>
        <family val="2"/>
        <scheme val="minor"/>
      </rPr>
      <t>=(600(F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sz val="11"/>
        <color theme="1" tint="0.34998626667073579"/>
        <rFont val="Calibri"/>
        <family val="2"/>
        <scheme val="minor"/>
      </rPr>
      <t>-0.315)</t>
    </r>
    <r>
      <rPr>
        <vertAlign val="super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+1)</t>
    </r>
    <r>
      <rPr>
        <vertAlign val="superscript"/>
        <sz val="11"/>
        <color theme="1" tint="0.34998626667073579"/>
        <rFont val="Calibri"/>
        <family val="2"/>
        <scheme val="minor"/>
      </rPr>
      <t>1.5</t>
    </r>
  </si>
  <si>
    <r>
      <t>B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=(600(F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-0.315)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+1)</t>
    </r>
    <r>
      <rPr>
        <vertAlign val="superscript"/>
        <sz val="11"/>
        <color theme="1"/>
        <rFont val="Calibri"/>
        <family val="2"/>
        <scheme val="minor"/>
      </rPr>
      <t>1.5</t>
    </r>
    <r>
      <rPr>
        <sz val="11"/>
        <color theme="1"/>
        <rFont val="Calibri"/>
        <family val="2"/>
        <scheme val="minor"/>
      </rPr>
      <t>=</t>
    </r>
  </si>
  <si>
    <r>
      <t>H=exp(80(F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sz val="11"/>
        <color theme="1" tint="0.34998626667073579"/>
        <rFont val="Calibri"/>
        <family val="2"/>
        <scheme val="minor"/>
      </rPr>
      <t>-(0.04+0.59C</t>
    </r>
    <r>
      <rPr>
        <vertAlign val="subscript"/>
        <sz val="11"/>
        <color theme="1" tint="0.34998626667073579"/>
        <rFont val="Calibri"/>
        <family val="2"/>
        <scheme val="minor"/>
      </rPr>
      <t>P</t>
    </r>
    <r>
      <rPr>
        <sz val="11"/>
        <color theme="1" tint="0.34998626667073579"/>
        <rFont val="Calibri"/>
        <family val="2"/>
        <scheme val="minor"/>
      </rPr>
      <t>)-(0.015(M-5)))</t>
    </r>
  </si>
  <si>
    <r>
      <t>G=B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/B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=</t>
    </r>
  </si>
  <si>
    <r>
      <t>K=180F</t>
    </r>
    <r>
      <rPr>
        <vertAlign val="subscript"/>
        <sz val="11"/>
        <color theme="1" tint="0.34998626667073579"/>
        <rFont val="Calibri"/>
        <family val="2"/>
        <scheme val="minor"/>
      </rPr>
      <t>n</t>
    </r>
    <r>
      <rPr>
        <vertAlign val="superscript"/>
        <sz val="11"/>
        <color theme="1" tint="0.34998626667073579"/>
        <rFont val="Calibri"/>
        <family val="2"/>
        <scheme val="minor"/>
      </rPr>
      <t>3.7</t>
    </r>
    <r>
      <rPr>
        <sz val="11"/>
        <color theme="1" tint="0.34998626667073579"/>
        <rFont val="Calibri"/>
        <family val="2"/>
        <scheme val="minor"/>
      </rPr>
      <t>exp(20C</t>
    </r>
    <r>
      <rPr>
        <vertAlign val="subscript"/>
        <sz val="11"/>
        <color theme="1" tint="0.34998626667073579"/>
        <rFont val="Calibri"/>
        <family val="2"/>
        <scheme val="minor"/>
      </rPr>
      <t>P</t>
    </r>
    <r>
      <rPr>
        <sz val="11"/>
        <color theme="1" tint="0.34998626667073579"/>
        <rFont val="Calibri"/>
        <family val="2"/>
        <scheme val="minor"/>
      </rPr>
      <t>-16)</t>
    </r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</si>
  <si>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</si>
  <si>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r>
      <t>H=exp(80(F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-(0.04+0.59C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)-(0.015(M-5))) =</t>
    </r>
  </si>
  <si>
    <r>
      <t>K=180F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3.7</t>
    </r>
    <r>
      <rPr>
        <sz val="11"/>
        <color theme="1"/>
        <rFont val="Calibri"/>
        <family val="2"/>
        <scheme val="minor"/>
      </rPr>
      <t>exp(20C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-16) =</t>
    </r>
  </si>
  <si>
    <t>#RoyalShippies</t>
  </si>
  <si>
    <r>
      <t>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R(Standard)</t>
    </r>
    <r>
      <rPr>
        <sz val="11"/>
        <color theme="1"/>
        <rFont val="Calibri"/>
        <family val="2"/>
        <scheme val="minor"/>
      </rPr>
      <t>=E+G+H+K</t>
    </r>
  </si>
  <si>
    <t>#CUSAT</t>
  </si>
  <si>
    <t>Abdul Rahim O M</t>
  </si>
  <si>
    <t>RS40</t>
  </si>
  <si>
    <r>
      <t>Select known C</t>
    </r>
    <r>
      <rPr>
        <b/>
        <vertAlign val="subscript"/>
        <sz val="9"/>
        <color theme="1"/>
        <rFont val="Calibri"/>
        <family val="2"/>
        <scheme val="minor"/>
      </rPr>
      <t>P</t>
    </r>
  </si>
  <si>
    <r>
      <t>10</t>
    </r>
    <r>
      <rPr>
        <b/>
        <vertAlign val="superscript"/>
        <sz val="9"/>
        <color theme="1"/>
        <rFont val="Calibri"/>
        <family val="2"/>
        <scheme val="minor"/>
      </rPr>
      <t>3</t>
    </r>
    <r>
      <rPr>
        <b/>
        <sz val="9"/>
        <color theme="1"/>
        <rFont val="Calibri"/>
        <family val="2"/>
        <scheme val="minor"/>
      </rPr>
      <t>C</t>
    </r>
    <r>
      <rPr>
        <b/>
        <vertAlign val="subscript"/>
        <sz val="9"/>
        <color theme="1"/>
        <rFont val="Calibri"/>
        <family val="2"/>
        <scheme val="minor"/>
      </rPr>
      <t>R</t>
    </r>
  </si>
  <si>
    <t>(Input)</t>
  </si>
  <si>
    <r>
      <t>Select known C</t>
    </r>
    <r>
      <rPr>
        <b/>
        <vertAlign val="subscript"/>
        <sz val="9"/>
        <rFont val="Calibri"/>
        <family val="2"/>
        <scheme val="minor"/>
      </rPr>
      <t>P</t>
    </r>
  </si>
  <si>
    <r>
      <t>10</t>
    </r>
    <r>
      <rPr>
        <b/>
        <vertAlign val="superscript"/>
        <sz val="9"/>
        <rFont val="Calibri"/>
        <family val="2"/>
        <scheme val="minor"/>
      </rPr>
      <t>3</t>
    </r>
    <r>
      <rPr>
        <b/>
        <sz val="9"/>
        <rFont val="Calibri"/>
        <family val="2"/>
        <scheme val="minor"/>
      </rPr>
      <t>C</t>
    </r>
    <r>
      <rPr>
        <b/>
        <vertAlign val="subscript"/>
        <sz val="9"/>
        <rFont val="Calibri"/>
        <family val="2"/>
        <scheme val="minor"/>
      </rPr>
      <t>R</t>
    </r>
  </si>
  <si>
    <t>Shallow-water resistance calculations</t>
  </si>
  <si>
    <t>Velocity (in knots)</t>
  </si>
  <si>
    <t>Shallow water depth</t>
  </si>
  <si>
    <t>Entry check statement:</t>
  </si>
  <si>
    <r>
      <t>Use  empirical procedure (approximate) for R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>(Deep,at V</t>
    </r>
    <r>
      <rPr>
        <b/>
        <vertAlign val="subscript"/>
        <sz val="11"/>
        <color theme="1"/>
        <rFont val="Calibri"/>
        <family val="2"/>
        <scheme val="minor"/>
      </rPr>
      <t>ꝏ</t>
    </r>
    <r>
      <rPr>
        <b/>
        <sz val="11"/>
        <color theme="1"/>
        <rFont val="Calibri"/>
        <family val="2"/>
        <scheme val="minor"/>
      </rPr>
      <t>)?</t>
    </r>
  </si>
  <si>
    <t>No</t>
  </si>
  <si>
    <t>Form Controls</t>
  </si>
  <si>
    <t>Ship Service Speed:</t>
  </si>
  <si>
    <t>knots</t>
  </si>
  <si>
    <t>Standard (0.4)</t>
  </si>
  <si>
    <t>Corresponding to length</t>
  </si>
  <si>
    <t>Corresponding to displacement</t>
  </si>
  <si>
    <t>Interpolate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</si>
</sst>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0_ ;[Red]\-0.00\ "/>
  </numFmts>
  <fonts count="7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33399"/>
      <name val="Calibri"/>
      <family val="2"/>
    </font>
    <font>
      <sz val="11"/>
      <color rgb="FF000000"/>
      <name val="Calibri"/>
      <family val="2"/>
    </font>
    <font>
      <i/>
      <vertAlign val="superscript"/>
      <sz val="10"/>
      <color rgb="FF16365C"/>
      <name val="Calibri"/>
      <family val="2"/>
    </font>
    <font>
      <sz val="10"/>
      <color rgb="FFA2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3"/>
      <name val="Calibri"/>
      <family val="2"/>
      <scheme val="minor"/>
    </font>
    <font>
      <b/>
      <u/>
      <sz val="16"/>
      <name val="Calibri"/>
      <family val="2"/>
      <scheme val="minor"/>
    </font>
    <font>
      <b/>
      <vertAlign val="superscript"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vertAlign val="subscript"/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color theme="0" tint="-0.499984740745262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color rgb="FF808080"/>
      <name val="Calibri"/>
      <family val="2"/>
      <scheme val="minor"/>
    </font>
    <font>
      <sz val="11"/>
      <color rgb="FF808080"/>
      <name val="Calibri"/>
      <family val="2"/>
      <scheme val="minor"/>
    </font>
    <font>
      <vertAlign val="superscript"/>
      <sz val="11"/>
      <color rgb="FF80808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u/>
      <vertAlign val="subscript"/>
      <sz val="16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vertAlign val="superscript"/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u/>
      <sz val="11"/>
      <color theme="5" tint="-0.249977111117893"/>
      <name val="Calibri"/>
      <family val="2"/>
      <scheme val="minor"/>
    </font>
    <font>
      <u/>
      <vertAlign val="superscript"/>
      <sz val="11"/>
      <color theme="5" tint="-0.249977111117893"/>
      <name val="Calibri"/>
      <family val="2"/>
      <scheme val="minor"/>
    </font>
    <font>
      <u/>
      <vertAlign val="subscript"/>
      <sz val="11"/>
      <color theme="5" tint="-0.249977111117893"/>
      <name val="Calibri"/>
      <family val="2"/>
      <scheme val="minor"/>
    </font>
    <font>
      <u/>
      <sz val="11"/>
      <color theme="5" tint="-0.249977111117893"/>
      <name val="Arial"/>
      <family val="2"/>
    </font>
    <font>
      <u/>
      <vertAlign val="superscript"/>
      <sz val="11"/>
      <color theme="5" tint="-0.249977111117893"/>
      <name val="Arial"/>
      <family val="2"/>
    </font>
    <font>
      <b/>
      <u val="double"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 tint="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bscript"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u val="doubleAccounting"/>
      <sz val="11"/>
      <color theme="1"/>
      <name val="Calibri"/>
      <family val="2"/>
      <scheme val="minor"/>
    </font>
    <font>
      <u/>
      <sz val="11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vertAlign val="superscript"/>
      <sz val="11"/>
      <color theme="1" tint="0.34998626667073579"/>
      <name val="Calibri"/>
      <family val="2"/>
      <scheme val="minor"/>
    </font>
    <font>
      <vertAlign val="subscript"/>
      <sz val="11"/>
      <color theme="1" tint="0.34998626667073579"/>
      <name val="Calibri"/>
      <family val="2"/>
      <scheme val="minor"/>
    </font>
    <font>
      <sz val="7"/>
      <color theme="1" tint="0.34998626667073579"/>
      <name val="Calibri"/>
      <family val="2"/>
      <scheme val="minor"/>
    </font>
    <font>
      <sz val="11"/>
      <color theme="1" tint="0.34998626667073579"/>
      <name val="Arial"/>
      <family val="2"/>
    </font>
    <font>
      <vertAlign val="superscript"/>
      <sz val="11"/>
      <color theme="1" tint="0.34998626667073579"/>
      <name val="Arial"/>
      <family val="2"/>
    </font>
    <font>
      <sz val="7"/>
      <color theme="1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vertAlign val="subscript"/>
      <sz val="9"/>
      <color theme="1"/>
      <name val="Calibri"/>
      <family val="2"/>
      <scheme val="minor"/>
    </font>
    <font>
      <b/>
      <vertAlign val="superscript"/>
      <sz val="9"/>
      <color theme="1"/>
      <name val="Calibri"/>
      <family val="2"/>
      <scheme val="minor"/>
    </font>
    <font>
      <sz val="8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name val="Calibri"/>
      <family val="2"/>
      <scheme val="minor"/>
    </font>
    <font>
      <b/>
      <vertAlign val="subscript"/>
      <sz val="9"/>
      <name val="Calibri"/>
      <family val="2"/>
      <scheme val="minor"/>
    </font>
    <font>
      <b/>
      <vertAlign val="superscript"/>
      <sz val="9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5898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9" fillId="0" borderId="0" applyNumberFormat="0" applyFill="0" applyBorder="0" applyAlignment="0" applyProtection="0"/>
    <xf numFmtId="0" fontId="76" fillId="0" borderId="0">
      <alignment vertical="center"/>
    </xf>
  </cellStyleXfs>
  <cellXfs count="146">
    <xf numFmtId="0" fontId="0" fillId="0" borderId="0" xfId="0"/>
    <xf numFmtId="0" fontId="7" fillId="2" borderId="0" xfId="0" applyFont="1" applyFill="1" applyBorder="1" applyAlignment="1">
      <alignment vertical="top"/>
    </xf>
    <xf numFmtId="0" fontId="0" fillId="0" borderId="0" xfId="0" applyProtection="1"/>
    <xf numFmtId="0" fontId="8" fillId="0" borderId="0" xfId="0" applyFont="1" applyAlignment="1" applyProtection="1">
      <alignment vertical="top"/>
    </xf>
    <xf numFmtId="0" fontId="9" fillId="0" borderId="0" xfId="0" applyFont="1" applyProtection="1"/>
    <xf numFmtId="0" fontId="10" fillId="0" borderId="0" xfId="0" applyFont="1" applyProtection="1"/>
    <xf numFmtId="0" fontId="0" fillId="3" borderId="0" xfId="0" applyFill="1" applyAlignment="1" applyProtection="1"/>
    <xf numFmtId="164" fontId="0" fillId="3" borderId="1" xfId="0" applyNumberFormat="1" applyFill="1" applyBorder="1" applyAlignment="1" applyProtection="1">
      <alignment shrinkToFit="1"/>
      <protection locked="0"/>
    </xf>
    <xf numFmtId="0" fontId="0" fillId="3" borderId="0" xfId="0" applyFill="1" applyProtection="1"/>
    <xf numFmtId="0" fontId="0" fillId="4" borderId="0" xfId="0" applyFill="1" applyProtection="1"/>
    <xf numFmtId="0" fontId="0" fillId="4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2" borderId="0" xfId="0" applyFill="1" applyProtection="1"/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/>
    </xf>
    <xf numFmtId="0" fontId="4" fillId="0" borderId="0" xfId="0" applyFont="1" applyFill="1" applyProtection="1"/>
    <xf numFmtId="0" fontId="0" fillId="0" borderId="0" xfId="0" applyAlignment="1" applyProtection="1"/>
    <xf numFmtId="165" fontId="0" fillId="0" borderId="0" xfId="0" applyNumberFormat="1" applyProtection="1"/>
    <xf numFmtId="0" fontId="14" fillId="0" borderId="2" xfId="0" applyFont="1" applyBorder="1" applyProtection="1"/>
    <xf numFmtId="0" fontId="0" fillId="0" borderId="2" xfId="0" applyBorder="1" applyProtection="1"/>
    <xf numFmtId="0" fontId="0" fillId="0" borderId="0" xfId="0" applyBorder="1" applyProtection="1"/>
    <xf numFmtId="0" fontId="15" fillId="0" borderId="0" xfId="0" applyFont="1" applyBorder="1" applyProtection="1"/>
    <xf numFmtId="0" fontId="0" fillId="0" borderId="3" xfId="0" applyBorder="1" applyProtection="1"/>
    <xf numFmtId="0" fontId="3" fillId="0" borderId="0" xfId="0" applyFont="1" applyBorder="1" applyProtection="1"/>
    <xf numFmtId="0" fontId="20" fillId="0" borderId="0" xfId="0" applyFont="1" applyProtection="1"/>
    <xf numFmtId="0" fontId="22" fillId="0" borderId="0" xfId="0" applyFont="1" applyProtection="1"/>
    <xf numFmtId="0" fontId="2" fillId="0" borderId="0" xfId="0" applyFont="1" applyProtection="1"/>
    <xf numFmtId="0" fontId="3" fillId="0" borderId="0" xfId="0" applyFont="1" applyAlignment="1" applyProtection="1">
      <alignment horizontal="right"/>
    </xf>
    <xf numFmtId="0" fontId="3" fillId="0" borderId="0" xfId="0" applyFont="1" applyProtection="1"/>
    <xf numFmtId="0" fontId="3" fillId="0" borderId="2" xfId="0" applyFont="1" applyBorder="1" applyAlignment="1" applyProtection="1">
      <alignment horizontal="left"/>
    </xf>
    <xf numFmtId="0" fontId="3" fillId="0" borderId="2" xfId="0" applyFont="1" applyBorder="1" applyProtection="1"/>
    <xf numFmtId="0" fontId="15" fillId="0" borderId="0" xfId="0" applyFont="1" applyProtection="1"/>
    <xf numFmtId="0" fontId="31" fillId="0" borderId="0" xfId="0" applyFont="1" applyProtection="1"/>
    <xf numFmtId="0" fontId="33" fillId="0" borderId="0" xfId="0" applyFont="1" applyAlignment="1" applyProtection="1">
      <alignment horizontal="right" indent="1"/>
    </xf>
    <xf numFmtId="0" fontId="34" fillId="0" borderId="0" xfId="0" applyFont="1" applyProtection="1"/>
    <xf numFmtId="0" fontId="33" fillId="0" borderId="0" xfId="0" applyFont="1" applyProtection="1"/>
    <xf numFmtId="0" fontId="31" fillId="0" borderId="0" xfId="0" applyFont="1" applyAlignment="1" applyProtection="1">
      <alignment horizontal="left"/>
    </xf>
    <xf numFmtId="0" fontId="31" fillId="0" borderId="0" xfId="0" applyFont="1" applyAlignment="1" applyProtection="1">
      <alignment horizontal="right"/>
    </xf>
    <xf numFmtId="0" fontId="36" fillId="0" borderId="0" xfId="0" applyFont="1" applyProtection="1"/>
    <xf numFmtId="0" fontId="37" fillId="0" borderId="0" xfId="0" applyFont="1" applyProtection="1"/>
    <xf numFmtId="0" fontId="40" fillId="0" borderId="0" xfId="0" applyFont="1" applyProtection="1"/>
    <xf numFmtId="0" fontId="45" fillId="0" borderId="0" xfId="0" applyFont="1" applyProtection="1"/>
    <xf numFmtId="0" fontId="2" fillId="0" borderId="0" xfId="0" applyFont="1" applyAlignment="1" applyProtection="1">
      <alignment horizontal="left"/>
    </xf>
    <xf numFmtId="0" fontId="0" fillId="6" borderId="0" xfId="0" applyFill="1" applyProtection="1">
      <protection hidden="1"/>
    </xf>
    <xf numFmtId="0" fontId="46" fillId="7" borderId="0" xfId="0" applyFont="1" applyFill="1" applyProtection="1">
      <protection hidden="1"/>
    </xf>
    <xf numFmtId="0" fontId="0" fillId="7" borderId="0" xfId="0" applyFill="1" applyProtection="1">
      <protection hidden="1"/>
    </xf>
    <xf numFmtId="0" fontId="0" fillId="8" borderId="0" xfId="0" applyFill="1" applyProtection="1">
      <protection locked="0" hidden="1"/>
    </xf>
    <xf numFmtId="0" fontId="46" fillId="8" borderId="0" xfId="0" applyFont="1" applyFill="1" applyProtection="1">
      <protection hidden="1"/>
    </xf>
    <xf numFmtId="0" fontId="47" fillId="0" borderId="0" xfId="0" applyFont="1" applyProtection="1"/>
    <xf numFmtId="0" fontId="48" fillId="0" borderId="0" xfId="0" applyFont="1" applyProtection="1"/>
    <xf numFmtId="0" fontId="4" fillId="0" borderId="0" xfId="0" applyFont="1" applyProtection="1"/>
    <xf numFmtId="0" fontId="2" fillId="0" borderId="4" xfId="0" applyFont="1" applyBorder="1" applyProtection="1"/>
    <xf numFmtId="0" fontId="2" fillId="0" borderId="0" xfId="0" applyFont="1" applyBorder="1" applyProtection="1"/>
    <xf numFmtId="0" fontId="3" fillId="0" borderId="0" xfId="0" applyFont="1" applyFill="1" applyProtection="1"/>
    <xf numFmtId="0" fontId="0" fillId="7" borderId="0" xfId="0" applyFill="1" applyProtection="1"/>
    <xf numFmtId="0" fontId="0" fillId="8" borderId="0" xfId="0" applyFill="1" applyProtection="1"/>
    <xf numFmtId="0" fontId="0" fillId="0" borderId="0" xfId="0" applyBorder="1" applyAlignment="1" applyProtection="1">
      <alignment vertical="center" wrapText="1"/>
    </xf>
    <xf numFmtId="0" fontId="3" fillId="7" borderId="0" xfId="0" applyFont="1" applyFill="1" applyProtection="1"/>
    <xf numFmtId="0" fontId="3" fillId="10" borderId="0" xfId="0" applyFont="1" applyFill="1" applyProtection="1"/>
    <xf numFmtId="0" fontId="0" fillId="8" borderId="0" xfId="0" applyNumberFormat="1" applyFill="1" applyProtection="1"/>
    <xf numFmtId="0" fontId="0" fillId="0" borderId="0" xfId="0" applyAlignment="1" applyProtection="1">
      <alignment vertical="center"/>
    </xf>
    <xf numFmtId="0" fontId="3" fillId="0" borderId="0" xfId="0" applyFont="1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55" fillId="0" borderId="0" xfId="0" applyFont="1" applyProtection="1"/>
    <xf numFmtId="0" fontId="0" fillId="6" borderId="0" xfId="0" applyFill="1" applyProtection="1"/>
    <xf numFmtId="0" fontId="0" fillId="0" borderId="5" xfId="0" applyBorder="1" applyProtection="1"/>
    <xf numFmtId="0" fontId="0" fillId="10" borderId="0" xfId="0" applyFill="1" applyProtection="1"/>
    <xf numFmtId="0" fontId="0" fillId="12" borderId="0" xfId="0" applyFill="1" applyProtection="1"/>
    <xf numFmtId="0" fontId="0" fillId="0" borderId="6" xfId="0" applyBorder="1" applyProtection="1"/>
    <xf numFmtId="0" fontId="56" fillId="0" borderId="0" xfId="0" applyFont="1" applyProtection="1"/>
    <xf numFmtId="0" fontId="57" fillId="0" borderId="0" xfId="0" applyFont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/>
    </xf>
    <xf numFmtId="0" fontId="64" fillId="0" borderId="0" xfId="0" applyFont="1" applyProtection="1"/>
    <xf numFmtId="0" fontId="0" fillId="2" borderId="0" xfId="0" applyFill="1" applyProtection="1">
      <protection hidden="1"/>
    </xf>
    <xf numFmtId="0" fontId="65" fillId="2" borderId="0" xfId="0" applyFont="1" applyFill="1" applyBorder="1" applyAlignment="1" applyProtection="1">
      <alignment horizontal="center"/>
      <protection hidden="1"/>
    </xf>
    <xf numFmtId="0" fontId="3" fillId="7" borderId="7" xfId="0" applyFont="1" applyFill="1" applyBorder="1" applyAlignment="1" applyProtection="1">
      <alignment vertical="center"/>
      <protection hidden="1"/>
    </xf>
    <xf numFmtId="166" fontId="0" fillId="7" borderId="8" xfId="0" applyNumberFormat="1" applyFont="1" applyFill="1" applyBorder="1" applyAlignment="1" applyProtection="1">
      <protection hidden="1"/>
    </xf>
    <xf numFmtId="0" fontId="0" fillId="7" borderId="7" xfId="0" applyFill="1" applyBorder="1" applyProtection="1">
      <protection hidden="1"/>
    </xf>
    <xf numFmtId="0" fontId="65" fillId="8" borderId="7" xfId="0" applyFont="1" applyFill="1" applyBorder="1" applyProtection="1">
      <protection hidden="1"/>
    </xf>
    <xf numFmtId="0" fontId="0" fillId="8" borderId="8" xfId="0" applyFill="1" applyBorder="1" applyAlignment="1" applyProtection="1">
      <protection locked="0"/>
    </xf>
    <xf numFmtId="0" fontId="0" fillId="8" borderId="7" xfId="0" applyFill="1" applyBorder="1" applyProtection="1">
      <protection hidden="1"/>
    </xf>
    <xf numFmtId="0" fontId="68" fillId="2" borderId="0" xfId="0" applyFont="1" applyFill="1" applyAlignment="1" applyProtection="1">
      <alignment horizontal="center" vertical="top"/>
      <protection hidden="1"/>
    </xf>
    <xf numFmtId="0" fontId="69" fillId="2" borderId="0" xfId="1" applyFill="1" applyProtection="1">
      <protection hidden="1"/>
    </xf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31" fillId="2" borderId="0" xfId="0" applyFont="1" applyFill="1" applyProtection="1">
      <protection hidden="1"/>
    </xf>
    <xf numFmtId="0" fontId="70" fillId="2" borderId="0" xfId="0" applyFont="1" applyFill="1" applyBorder="1" applyAlignment="1" applyProtection="1">
      <alignment horizontal="center"/>
      <protection hidden="1"/>
    </xf>
    <xf numFmtId="0" fontId="20" fillId="7" borderId="7" xfId="0" applyFont="1" applyFill="1" applyBorder="1" applyAlignment="1" applyProtection="1">
      <alignment vertical="center"/>
      <protection hidden="1"/>
    </xf>
    <xf numFmtId="166" fontId="31" fillId="7" borderId="8" xfId="0" applyNumberFormat="1" applyFont="1" applyFill="1" applyBorder="1" applyAlignment="1" applyProtection="1">
      <protection hidden="1"/>
    </xf>
    <xf numFmtId="0" fontId="31" fillId="7" borderId="7" xfId="0" applyFont="1" applyFill="1" applyBorder="1" applyProtection="1">
      <protection hidden="1"/>
    </xf>
    <xf numFmtId="0" fontId="70" fillId="8" borderId="7" xfId="0" applyFont="1" applyFill="1" applyBorder="1" applyProtection="1">
      <protection hidden="1"/>
    </xf>
    <xf numFmtId="0" fontId="31" fillId="8" borderId="8" xfId="0" applyFont="1" applyFill="1" applyBorder="1" applyAlignment="1" applyProtection="1">
      <protection locked="0"/>
    </xf>
    <xf numFmtId="0" fontId="31" fillId="8" borderId="7" xfId="0" applyFont="1" applyFill="1" applyBorder="1" applyProtection="1">
      <protection hidden="1"/>
    </xf>
    <xf numFmtId="0" fontId="73" fillId="2" borderId="0" xfId="1" applyFont="1" applyFill="1" applyProtection="1">
      <protection hidden="1"/>
    </xf>
    <xf numFmtId="0" fontId="0" fillId="3" borderId="0" xfId="0" applyFill="1"/>
    <xf numFmtId="0" fontId="0" fillId="0" borderId="0" xfId="0" applyProtection="1">
      <protection hidden="1"/>
    </xf>
    <xf numFmtId="0" fontId="0" fillId="10" borderId="0" xfId="0" applyFill="1"/>
    <xf numFmtId="0" fontId="74" fillId="0" borderId="6" xfId="0" applyFont="1" applyBorder="1" applyProtection="1">
      <protection hidden="1"/>
    </xf>
    <xf numFmtId="0" fontId="0" fillId="0" borderId="2" xfId="0" applyBorder="1" applyProtection="1">
      <protection hidden="1"/>
    </xf>
    <xf numFmtId="0" fontId="0" fillId="0" borderId="9" xfId="0" applyBorder="1" applyProtection="1">
      <protection hidden="1"/>
    </xf>
    <xf numFmtId="0" fontId="3" fillId="3" borderId="0" xfId="0" applyFont="1" applyFill="1"/>
    <xf numFmtId="0" fontId="0" fillId="0" borderId="3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4" xfId="0" applyBorder="1" applyAlignment="1" applyProtection="1">
      <alignment horizontal="right"/>
      <protection hidden="1"/>
    </xf>
    <xf numFmtId="0" fontId="0" fillId="7" borderId="4" xfId="0" applyFill="1" applyBorder="1" applyProtection="1">
      <protection hidden="1"/>
    </xf>
    <xf numFmtId="0" fontId="0" fillId="7" borderId="11" xfId="0" applyFill="1" applyBorder="1" applyProtection="1">
      <protection hidden="1"/>
    </xf>
    <xf numFmtId="0" fontId="31" fillId="2" borderId="0" xfId="0" applyFont="1" applyFill="1" applyProtection="1">
      <protection locked="0" hidden="1"/>
    </xf>
    <xf numFmtId="0" fontId="3" fillId="0" borderId="0" xfId="0" applyFont="1" applyAlignment="1" applyProtection="1">
      <alignment horizontal="right"/>
      <protection hidden="1"/>
    </xf>
    <xf numFmtId="0" fontId="75" fillId="13" borderId="0" xfId="0" applyFont="1" applyFill="1" applyProtection="1">
      <protection locked="0" hidden="1"/>
    </xf>
    <xf numFmtId="0" fontId="3" fillId="14" borderId="7" xfId="0" applyFont="1" applyFill="1" applyBorder="1" applyProtection="1">
      <protection locked="0" hidden="1"/>
    </xf>
    <xf numFmtId="0" fontId="3" fillId="0" borderId="7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2" fillId="0" borderId="0" xfId="0" applyFont="1" applyAlignment="1"/>
    <xf numFmtId="0" fontId="0" fillId="0" borderId="4" xfId="0" applyBorder="1" applyProtection="1">
      <protection hidden="1"/>
    </xf>
    <xf numFmtId="0" fontId="0" fillId="0" borderId="11" xfId="0" applyBorder="1" applyProtection="1">
      <protection hidden="1"/>
    </xf>
    <xf numFmtId="0" fontId="0" fillId="15" borderId="0" xfId="0" applyFill="1" applyProtection="1"/>
    <xf numFmtId="164" fontId="0" fillId="15" borderId="1" xfId="0" applyNumberFormat="1" applyFill="1" applyBorder="1" applyAlignment="1" applyProtection="1">
      <alignment shrinkToFit="1"/>
    </xf>
    <xf numFmtId="164" fontId="0" fillId="15" borderId="1" xfId="0" applyNumberFormat="1" applyFill="1" applyBorder="1" applyProtection="1"/>
    <xf numFmtId="0" fontId="0" fillId="16" borderId="0" xfId="0" applyFill="1" applyProtection="1"/>
    <xf numFmtId="164" fontId="0" fillId="16" borderId="1" xfId="0" applyNumberFormat="1" applyFill="1" applyBorder="1" applyProtection="1"/>
    <xf numFmtId="0" fontId="0" fillId="0" borderId="0" xfId="0" applyAlignment="1" applyProtection="1">
      <alignment horizontal="right" indent="1"/>
    </xf>
    <xf numFmtId="0" fontId="0" fillId="8" borderId="0" xfId="0" applyNumberFormat="1" applyFill="1" applyAlignment="1" applyProtection="1">
      <alignment horizontal="center"/>
    </xf>
    <xf numFmtId="0" fontId="0" fillId="11" borderId="0" xfId="0" applyFill="1" applyAlignment="1" applyProtection="1">
      <alignment horizontal="left" indent="2"/>
    </xf>
    <xf numFmtId="0" fontId="0" fillId="0" borderId="0" xfId="0" applyAlignment="1" applyProtection="1">
      <alignment horizontal="left"/>
    </xf>
    <xf numFmtId="0" fontId="0" fillId="0" borderId="0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0" fontId="51" fillId="9" borderId="0" xfId="0" applyFont="1" applyFill="1" applyAlignment="1" applyProtection="1">
      <alignment horizontal="center"/>
    </xf>
    <xf numFmtId="0" fontId="3" fillId="7" borderId="0" xfId="0" applyFont="1" applyFill="1" applyBorder="1" applyAlignment="1" applyProtection="1">
      <alignment horizontal="center" vertical="center" wrapText="1"/>
    </xf>
    <xf numFmtId="0" fontId="53" fillId="7" borderId="0" xfId="0" applyFont="1" applyFill="1" applyBorder="1" applyAlignment="1" applyProtection="1">
      <alignment horizontal="center" vertical="center"/>
    </xf>
    <xf numFmtId="0" fontId="3" fillId="7" borderId="0" xfId="0" applyFont="1" applyFill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2" fontId="0" fillId="0" borderId="0" xfId="0" applyNumberFormat="1" applyAlignment="1" applyProtection="1">
      <alignment horizontal="left"/>
    </xf>
    <xf numFmtId="0" fontId="31" fillId="0" borderId="0" xfId="0" applyFont="1" applyAlignment="1" applyProtection="1">
      <alignment horizontal="left" shrinkToFit="1"/>
    </xf>
    <xf numFmtId="0" fontId="0" fillId="0" borderId="0" xfId="0" applyNumberFormat="1" applyAlignment="1" applyProtection="1">
      <alignment horizontal="left"/>
    </xf>
    <xf numFmtId="0" fontId="19" fillId="0" borderId="0" xfId="0" applyFont="1" applyAlignment="1" applyProtection="1">
      <alignment horizontal="center"/>
    </xf>
    <xf numFmtId="0" fontId="19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center"/>
      <protection hidden="1"/>
    </xf>
    <xf numFmtId="0" fontId="3" fillId="0" borderId="5" xfId="0" applyFont="1" applyBorder="1" applyAlignment="1" applyProtection="1">
      <alignment horizontal="center"/>
      <protection hidden="1"/>
    </xf>
  </cellXfs>
  <cellStyles count="3">
    <cellStyle name="Hyperlink" xfId="1" builtinId="8"/>
    <cellStyle name="Normal" xfId="0" builtinId="0"/>
    <cellStyle name="Normal 2" xfId="2"/>
  </cellStyles>
  <dxfs count="9"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l-GR" sz="1200"/>
              <a:t>%Δ</a:t>
            </a:r>
            <a:r>
              <a:rPr lang="en-IN" sz="1200"/>
              <a:t>LCB vs Fn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2.6823126032006664E-2"/>
          <c:y val="4.0740132494768364E-2"/>
          <c:w val="0.95237601905668823"/>
          <c:h val="0.90192099793539759"/>
        </c:manualLayout>
      </c:layout>
      <c:scatterChart>
        <c:scatterStyle val="smoothMarker"/>
        <c:varyColors val="0"/>
        <c:ser>
          <c:idx val="0"/>
          <c:order val="0"/>
          <c:tx>
            <c:v>Reference</c:v>
          </c:tx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Tools1!$F$9:$F$10</c:f>
              <c:numCache>
                <c:formatCode>General</c:formatCode>
                <c:ptCount val="2"/>
                <c:pt idx="0">
                  <c:v>0.14499999999999999</c:v>
                </c:pt>
                <c:pt idx="1">
                  <c:v>0.2838</c:v>
                </c:pt>
              </c:numCache>
            </c:numRef>
          </c:xVal>
          <c:yVal>
            <c:numRef>
              <c:f>Tools1!$D$7:$D$8</c:f>
              <c:numCache>
                <c:formatCode>General</c:formatCode>
                <c:ptCount val="2"/>
                <c:pt idx="0">
                  <c:v>3</c:v>
                </c:pt>
                <c:pt idx="1">
                  <c:v>-3</c:v>
                </c:pt>
              </c:numCache>
            </c:numRef>
          </c:yVal>
          <c:smooth val="1"/>
        </c:ser>
        <c:ser>
          <c:idx val="1"/>
          <c:order val="1"/>
          <c:tx>
            <c:v>Std. LCB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8.0549597727697958E-2"/>
                  <c:y val="3.9679068198007969E-2"/>
                </c:manualLayout>
              </c:layout>
              <c:numFmt formatCode="0.00000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2488337750171509"/>
                  <c:y val="-3.471918467325688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Tools1!$E$7:$F$7</c:f>
              <c:numCache>
                <c:formatCode>General</c:formatCode>
                <c:ptCount val="2"/>
                <c:pt idx="0">
                  <c:v>0.1</c:v>
                </c:pt>
                <c:pt idx="1">
                  <c:v>0.20803370948780098</c:v>
                </c:pt>
              </c:numCache>
            </c:numRef>
          </c:xVal>
          <c:yVal>
            <c:numRef>
              <c:f>Tools1!$E$8:$F$8</c:f>
              <c:numCache>
                <c:formatCode>General</c:formatCode>
                <c:ptCount val="2"/>
                <c:pt idx="0">
                  <c:v>0.27519987804894885</c:v>
                </c:pt>
                <c:pt idx="1">
                  <c:v>0.27519987804894885</c:v>
                </c:pt>
              </c:numCache>
            </c:numRef>
          </c:yVal>
          <c:smooth val="1"/>
        </c:ser>
        <c:ser>
          <c:idx val="2"/>
          <c:order val="2"/>
          <c:tx>
            <c:v>Fn</c:v>
          </c:tx>
          <c:spPr>
            <a:ln w="285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Tools1!$F$7:$G$7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Tools1!$F$8:$G$8</c:f>
              <c:numCache>
                <c:formatCode>General</c:formatCode>
                <c:ptCount val="2"/>
                <c:pt idx="0">
                  <c:v>0.27519987804894885</c:v>
                </c:pt>
                <c:pt idx="1">
                  <c:v>-3</c:v>
                </c:pt>
              </c:numCache>
            </c:numRef>
          </c:yVal>
          <c:smooth val="1"/>
        </c:ser>
        <c:ser>
          <c:idx val="3"/>
          <c:order val="3"/>
          <c:tx>
            <c:v>Ship's LCB</c:v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7.7529093521042786E-2"/>
                  <c:y val="-2.9759301148505966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Tools1!$D$9:$E$9</c:f>
              <c:numCache>
                <c:formatCode>General</c:formatCode>
                <c:ptCount val="2"/>
                <c:pt idx="0">
                  <c:v>0.08</c:v>
                </c:pt>
                <c:pt idx="1">
                  <c:v>0.105</c:v>
                </c:pt>
              </c:numCache>
            </c:numRef>
          </c:xVal>
          <c:yVal>
            <c:numRef>
              <c:f>Tools1!$D$10:$E$10</c:f>
              <c:numCache>
                <c:formatCode>General</c:formatCode>
                <c:ptCount val="2"/>
                <c:pt idx="0">
                  <c:v>2.0891779379411686</c:v>
                </c:pt>
                <c:pt idx="1">
                  <c:v>2.0891779379411686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16832"/>
        <c:axId val="182618368"/>
      </c:scatterChart>
      <c:valAx>
        <c:axId val="182616832"/>
        <c:scaling>
          <c:orientation val="minMax"/>
          <c:max val="0.34000000000000008"/>
          <c:min val="6.0000000000000012E-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182618368"/>
        <c:crosses val="autoZero"/>
        <c:crossBetween val="midCat"/>
        <c:majorUnit val="2.0000000000000004E-2"/>
      </c:valAx>
      <c:valAx>
        <c:axId val="182618368"/>
        <c:scaling>
          <c:orientation val="minMax"/>
          <c:max val="4"/>
          <c:min val="-4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182616832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legend>
      <c:legendPos val="r"/>
      <c:layout>
        <c:manualLayout>
          <c:xMode val="edge"/>
          <c:yMode val="edge"/>
          <c:x val="4.6216868461592467E-2"/>
          <c:y val="0.86178937715899584"/>
          <c:w val="0.74425961260767104"/>
          <c:h val="0.135755332248358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IN" sz="1200" b="1" i="0" u="none" strike="noStrike" baseline="0">
                <a:effectLst/>
              </a:rPr>
              <a:t>∂10</a:t>
            </a:r>
            <a:r>
              <a:rPr lang="en-IN" sz="1200" b="1" i="0" u="none" strike="noStrike" baseline="30000">
                <a:effectLst/>
              </a:rPr>
              <a:t>3</a:t>
            </a:r>
            <a:r>
              <a:rPr lang="en-IN" sz="1200" b="1" i="0" u="none" strike="noStrike" baseline="0">
                <a:effectLst/>
              </a:rPr>
              <a:t>C</a:t>
            </a:r>
            <a:r>
              <a:rPr lang="en-IN" sz="1200" b="1" i="0" u="none" strike="noStrike" baseline="-25000">
                <a:effectLst/>
              </a:rPr>
              <a:t>R </a:t>
            </a:r>
            <a:r>
              <a:rPr lang="en-IN" sz="1200" b="1" i="0" u="none" strike="noStrike" baseline="0">
                <a:effectLst/>
              </a:rPr>
              <a:t>/ ∂LCB:</a:t>
            </a:r>
            <a:endParaRPr lang="en-IN" sz="1200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2.7777777777777779E-3"/>
          <c:y val="5.0925925925925923E-2"/>
          <c:w val="0.96666666666666667"/>
          <c:h val="0.898148148148148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Tools1!$Z$2</c:f>
              <c:strCache>
                <c:ptCount val="1"/>
                <c:pt idx="0">
                  <c:v>0.85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Tools1!$AB$3:$AB$4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Tools1!$AC$3:$AC$4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Tools1!$Z$6</c:f>
              <c:strCache>
                <c:ptCount val="1"/>
                <c:pt idx="0">
                  <c:v>0.8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Tools1!$AB$7:$AB$8</c:f>
              <c:numCache>
                <c:formatCode>General</c:formatCode>
                <c:ptCount val="2"/>
                <c:pt idx="0">
                  <c:v>0.15720000000000001</c:v>
                </c:pt>
                <c:pt idx="1">
                  <c:v>0.24759999999999999</c:v>
                </c:pt>
              </c:numCache>
            </c:numRef>
          </c:xVal>
          <c:yVal>
            <c:numRef>
              <c:f>Tools1!$AC$7:$AC$8</c:f>
              <c:numCache>
                <c:formatCode>General</c:formatCode>
                <c:ptCount val="2"/>
                <c:pt idx="0">
                  <c:v>0</c:v>
                </c:pt>
                <c:pt idx="1">
                  <c:v>0.55100000000000005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Tools1!$Z$10</c:f>
              <c:strCache>
                <c:ptCount val="1"/>
                <c:pt idx="0">
                  <c:v>0.75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Tools1!$AB$11:$AB$12</c:f>
              <c:numCache>
                <c:formatCode>General</c:formatCode>
                <c:ptCount val="2"/>
                <c:pt idx="0">
                  <c:v>0.17774999999999999</c:v>
                </c:pt>
                <c:pt idx="1">
                  <c:v>0.28000000000000003</c:v>
                </c:pt>
              </c:numCache>
            </c:numRef>
          </c:xVal>
          <c:yVal>
            <c:numRef>
              <c:f>Tools1!$AC$11:$AC$12</c:f>
              <c:numCache>
                <c:formatCode>General</c:formatCode>
                <c:ptCount val="2"/>
                <c:pt idx="0">
                  <c:v>0</c:v>
                </c:pt>
                <c:pt idx="1">
                  <c:v>0.51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Tools1!$Z$14</c:f>
              <c:strCache>
                <c:ptCount val="1"/>
                <c:pt idx="0">
                  <c:v>0.7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Tools1!$AB$15:$AB$16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Tools1!$AC$15:$AC$16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Tools1!$Z$18</c:f>
              <c:strCache>
                <c:ptCount val="1"/>
                <c:pt idx="0">
                  <c:v>0.65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Tools1!$AB$19:$AB$20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Tools1!$AC$19:$AC$20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Tools1!$Z$22</c:f>
              <c:strCache>
                <c:ptCount val="1"/>
                <c:pt idx="0">
                  <c:v>0.6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Tools1!$AB$23:$AB$24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Tools1!$AC$23:$AC$24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Tools1!$Z$26</c:f>
              <c:strCache>
                <c:ptCount val="1"/>
                <c:pt idx="0">
                  <c:v>0.55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Tools1!$AB$27:$AB$28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Tools1!$AC$27:$AC$28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7"/>
          <c:order val="7"/>
          <c:tx>
            <c:v>Fn</c:v>
          </c:tx>
          <c:spPr>
            <a:ln w="3175">
              <a:solidFill>
                <a:srgbClr val="FF00FF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7.6923076923076927E-2"/>
                  <c:y val="0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FF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</c:dLbl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Tools1!$V$18:$V$19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Tools1!$W$18:$W$19</c:f>
              <c:numCache>
                <c:formatCode>General</c:formatCode>
                <c:ptCount val="2"/>
                <c:pt idx="0">
                  <c:v>-0.2</c:v>
                </c:pt>
                <c:pt idx="1">
                  <c:v>0.59</c:v>
                </c:pt>
              </c:numCache>
            </c:numRef>
          </c:yVal>
          <c:smooth val="1"/>
        </c:ser>
        <c:ser>
          <c:idx val="8"/>
          <c:order val="8"/>
          <c:tx>
            <c:v>0.85cr</c:v>
          </c:tx>
          <c:spPr>
            <a:ln w="127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0.20803370948780098</c:v>
                </c:pt>
              </c:numCache>
            </c:numRef>
          </c:xVal>
          <c:yVal>
            <c:numRef>
              <c:f>Tools1!$AD$3:$AD$4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9"/>
          <c:order val="9"/>
          <c:tx>
            <c:v>0.80cr</c:v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0.20803370948780098</c:v>
                </c:pt>
              </c:numCache>
            </c:numRef>
          </c:xVal>
          <c:yVal>
            <c:numRef>
              <c:f>Tools1!$AD$7:$AD$8</c:f>
              <c:numCache>
                <c:formatCode>General</c:formatCode>
                <c:ptCount val="2"/>
                <c:pt idx="0">
                  <c:v>0.30983820716568966</c:v>
                </c:pt>
                <c:pt idx="1">
                  <c:v>0.30983820716568966</c:v>
                </c:pt>
              </c:numCache>
            </c:numRef>
          </c:yVal>
          <c:smooth val="1"/>
        </c:ser>
        <c:ser>
          <c:idx val="10"/>
          <c:order val="10"/>
          <c:tx>
            <c:v>0.75cr</c:v>
          </c:tx>
          <c:spPr>
            <a:ln w="127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0.20803370948780098</c:v>
                </c:pt>
              </c:numCache>
            </c:numRef>
          </c:xVal>
          <c:yVal>
            <c:numRef>
              <c:f>Tools1!$AD$11:$AD$12</c:f>
              <c:numCache>
                <c:formatCode>General</c:formatCode>
                <c:ptCount val="2"/>
                <c:pt idx="0">
                  <c:v>0.151048330941599</c:v>
                </c:pt>
                <c:pt idx="1">
                  <c:v>0.151048330941599</c:v>
                </c:pt>
              </c:numCache>
            </c:numRef>
          </c:yVal>
          <c:smooth val="1"/>
        </c:ser>
        <c:ser>
          <c:idx val="11"/>
          <c:order val="11"/>
          <c:tx>
            <c:v>0.70cr</c:v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0.20803370948780098</c:v>
                </c:pt>
              </c:numCache>
            </c:numRef>
          </c:xVal>
          <c:yVal>
            <c:numRef>
              <c:f>Tools1!$AD$15:$AD$16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2"/>
          <c:order val="12"/>
          <c:tx>
            <c:v>0.65cr</c:v>
          </c:tx>
          <c:spPr>
            <a:ln w="127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0.20803370948780098</c:v>
                </c:pt>
              </c:numCache>
            </c:numRef>
          </c:xVal>
          <c:yVal>
            <c:numRef>
              <c:f>Tools1!$AD$19:$AD$20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3"/>
          <c:order val="13"/>
          <c:tx>
            <c:v>0.60cr</c:v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0.20803370948780098</c:v>
                </c:pt>
              </c:numCache>
            </c:numRef>
          </c:xVal>
          <c:yVal>
            <c:numRef>
              <c:f>Tools1!$AD$23:$AD$24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4"/>
          <c:order val="14"/>
          <c:tx>
            <c:v>0.55cr</c:v>
          </c:tx>
          <c:spPr>
            <a:ln w="1270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0.20803370948780098</c:v>
                </c:pt>
              </c:numCache>
            </c:numRef>
          </c:xVal>
          <c:yVal>
            <c:numRef>
              <c:f>Tools1!$AD$27:$AD$28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</c:ser>
        <c:ser>
          <c:idx val="15"/>
          <c:order val="15"/>
          <c:tx>
            <c:v>Required value</c:v>
          </c:tx>
          <c:spPr>
            <a:ln w="19050">
              <a:solidFill>
                <a:srgbClr val="FF3300"/>
              </a:solidFill>
              <a:tailEnd type="triangle" w="lg" len="lg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"/>
                  <c:y val="-4.6296296296296294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xVal>
            <c:numRef>
              <c:f>Tools1!$V$17:$V$18</c:f>
              <c:numCache>
                <c:formatCode>General</c:formatCode>
                <c:ptCount val="2"/>
                <c:pt idx="0">
                  <c:v>0.09</c:v>
                </c:pt>
                <c:pt idx="1">
                  <c:v>0.20803370948780098</c:v>
                </c:pt>
              </c:numCache>
            </c:numRef>
          </c:xVal>
          <c:yVal>
            <c:numRef>
              <c:f>Tools1!$W$26:$W$27</c:f>
              <c:numCache>
                <c:formatCode>General</c:formatCode>
                <c:ptCount val="2"/>
                <c:pt idx="0">
                  <c:v>0.26394677890202134</c:v>
                </c:pt>
                <c:pt idx="1">
                  <c:v>0.26394677890202134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10336"/>
        <c:axId val="164500608"/>
      </c:scatterChart>
      <c:valAx>
        <c:axId val="182910336"/>
        <c:scaling>
          <c:orientation val="minMax"/>
          <c:max val="0.34000000000000008"/>
          <c:min val="6.0000000000000012E-2"/>
        </c:scaling>
        <c:delete val="1"/>
        <c:axPos val="b"/>
        <c:numFmt formatCode="General" sourceLinked="1"/>
        <c:majorTickMark val="out"/>
        <c:minorTickMark val="none"/>
        <c:tickLblPos val="nextTo"/>
        <c:crossAx val="164500608"/>
        <c:crosses val="autoZero"/>
        <c:crossBetween val="midCat"/>
        <c:majorUnit val="2.0000000000000004E-2"/>
      </c:valAx>
      <c:valAx>
        <c:axId val="164500608"/>
        <c:scaling>
          <c:orientation val="minMax"/>
          <c:max val="0.70000000000000007"/>
          <c:min val="-0.2"/>
        </c:scaling>
        <c:delete val="1"/>
        <c:axPos val="l"/>
        <c:numFmt formatCode="General" sourceLinked="1"/>
        <c:majorTickMark val="out"/>
        <c:minorTickMark val="none"/>
        <c:tickLblPos val="nextTo"/>
        <c:crossAx val="182910336"/>
        <c:crosses val="autoZero"/>
        <c:crossBetween val="midCat"/>
        <c:majorUnit val="0.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3175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'4.0'!$O$38:$P$38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'4.0'!$O$39:$P$39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'4.0'!$N$38:$O$38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'4.0'!$N$36:$N$37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'4.0'!$N$38:$O$38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'4.0'!$O$36:$O$37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'4.0'!$N$38:$O$38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'4.0'!$P$36:$P$37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21280"/>
        <c:axId val="128722816"/>
      </c:scatterChart>
      <c:valAx>
        <c:axId val="128721280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8722816"/>
        <c:crosses val="autoZero"/>
        <c:crossBetween val="midCat"/>
        <c:majorUnit val="5.000000000000001E-2"/>
      </c:valAx>
      <c:valAx>
        <c:axId val="128722816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8721280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'4.5'!$O$38:$P$38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'4.5'!$O$39:$P$39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'4.5'!$N$38:$O$38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'4.5'!$N$36:$N$37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'4.5'!$N$38:$O$38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'4.5'!$O$36:$O$37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'4.5'!$N$38:$O$38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'4.5'!$P$36:$P$37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43456"/>
        <c:axId val="128644992"/>
      </c:scatterChart>
      <c:valAx>
        <c:axId val="128643456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8644992"/>
        <c:crosses val="autoZero"/>
        <c:crossBetween val="midCat"/>
        <c:majorUnit val="5.000000000000001E-2"/>
      </c:valAx>
      <c:valAx>
        <c:axId val="128644992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8643456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'5.0'!$O$38:$P$38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'5.0'!$O$39:$P$39</c:f>
              <c:numCache>
                <c:formatCode>General</c:formatCode>
                <c:ptCount val="2"/>
                <c:pt idx="0">
                  <c:v>0</c:v>
                </c:pt>
                <c:pt idx="1">
                  <c:v>12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'5.0'!$N$38:$O$38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'5.0'!$N$36:$N$37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'5.0'!$N$38:$O$38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'5.0'!$O$36:$O$37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'5.0'!$N$38:$O$38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'5.0'!$P$36:$P$37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98624"/>
        <c:axId val="129044480"/>
      </c:scatterChart>
      <c:valAx>
        <c:axId val="128698624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9044480"/>
        <c:crosses val="autoZero"/>
        <c:crossBetween val="midCat"/>
        <c:majorUnit val="5.000000000000001E-2"/>
      </c:valAx>
      <c:valAx>
        <c:axId val="129044480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8698624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'5.5'!$O$38:$P$38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'5.5'!$O$39:$P$39</c:f>
              <c:numCache>
                <c:formatCode>General</c:formatCode>
                <c:ptCount val="2"/>
                <c:pt idx="0">
                  <c:v>0</c:v>
                </c:pt>
                <c:pt idx="1">
                  <c:v>12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'5.5'!$N$38:$O$38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'5.5'!$N$36:$N$37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1.1000000000000001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'5.5'!$N$38:$O$38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'5.5'!$O$36:$O$37</c:f>
              <c:numCache>
                <c:formatCode>General</c:formatCode>
                <c:ptCount val="2"/>
                <c:pt idx="0">
                  <c:v>1.42</c:v>
                </c:pt>
                <c:pt idx="1">
                  <c:v>1.42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'5.5'!$N$38:$O$38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'5.5'!$P$36:$P$37</c:f>
              <c:numCache>
                <c:formatCode>General</c:formatCode>
                <c:ptCount val="2"/>
                <c:pt idx="0">
                  <c:v>1.3275176743405881</c:v>
                </c:pt>
                <c:pt idx="1">
                  <c:v>1.3275176743405881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60768"/>
        <c:axId val="128962560"/>
      </c:scatterChart>
      <c:valAx>
        <c:axId val="128960768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8962560"/>
        <c:crosses val="autoZero"/>
        <c:crossBetween val="midCat"/>
        <c:majorUnit val="5.000000000000001E-2"/>
      </c:valAx>
      <c:valAx>
        <c:axId val="128962560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8960768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'6.0'!$O$38:$P$38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'6.0'!$O$39:$P$39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'6.0'!$N$38:$O$38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'6.0'!$N$36:$N$37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'6.0'!$N$38:$O$38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'6.0'!$O$36:$O$37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'6.0'!$N$38:$O$38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'6.0'!$P$36:$P$37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71840"/>
        <c:axId val="129173376"/>
      </c:scatterChart>
      <c:valAx>
        <c:axId val="129171840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9173376"/>
        <c:crosses val="autoZero"/>
        <c:crossBetween val="midCat"/>
        <c:majorUnit val="5.000000000000001E-2"/>
      </c:valAx>
      <c:valAx>
        <c:axId val="129173376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9171840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'6.5'!$O$38:$P$38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'6.5'!$O$39:$P$39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'6.5'!$N$38:$O$38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'6.5'!$N$36:$N$37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'6.5'!$N$38:$O$38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'6.5'!$O$36:$O$37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'6.5'!$N$38:$O$38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'6.5'!$P$36:$P$37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74240"/>
        <c:axId val="129275776"/>
      </c:scatterChart>
      <c:valAx>
        <c:axId val="129274240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9275776"/>
        <c:crosses val="autoZero"/>
        <c:crossBetween val="midCat"/>
        <c:majorUnit val="5.000000000000001E-2"/>
      </c:valAx>
      <c:valAx>
        <c:axId val="129275776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9274240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'7.0'!$O$38:$P$38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'7.0'!$O$39:$P$39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'7.0'!$N$38:$O$38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'7.0'!$N$36:$N$37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'7.0'!$N$38:$O$38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'7.0'!$O$36:$O$37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'7.0'!$P$36:$P$37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79008"/>
        <c:axId val="128780544"/>
      </c:scatterChart>
      <c:valAx>
        <c:axId val="128779008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8780544"/>
        <c:crosses val="autoZero"/>
        <c:crossBetween val="midCat"/>
        <c:majorUnit val="5.000000000000001E-2"/>
      </c:valAx>
      <c:valAx>
        <c:axId val="128780544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8779008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'7.5'!$O$38:$P$38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'7.5'!$O$39:$P$39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'7.5'!$N$38:$O$38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'7.5'!$N$36:$N$37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'7.5'!$N$38:$O$38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'7.5'!$O$36:$O$37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'7.5'!$N$38:$O$38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'7.5'!$P$36:$P$37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72256"/>
        <c:axId val="129873792"/>
      </c:scatterChart>
      <c:valAx>
        <c:axId val="129872256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9873792"/>
        <c:crosses val="autoZero"/>
        <c:crossBetween val="midCat"/>
        <c:majorUnit val="5.000000000000001E-2"/>
      </c:valAx>
      <c:valAx>
        <c:axId val="129873792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9872256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98615390467502E-2"/>
          <c:y val="4.5689381419915104E-2"/>
          <c:w val="0.88625965232606796"/>
          <c:h val="0.91608227510566431"/>
        </c:manualLayout>
      </c:layout>
      <c:scatterChart>
        <c:scatterStyle val="smoothMarker"/>
        <c:varyColors val="0"/>
        <c:ser>
          <c:idx val="0"/>
          <c:order val="0"/>
          <c:tx>
            <c:v>Fn</c:v>
          </c:tx>
          <c:spPr>
            <a:ln w="127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'8.0'!$O$38:$P$38</c:f>
              <c:numCache>
                <c:formatCode>General</c:formatCode>
                <c:ptCount val="2"/>
                <c:pt idx="0">
                  <c:v>0.20803370948780098</c:v>
                </c:pt>
                <c:pt idx="1">
                  <c:v>0.20803370948780098</c:v>
                </c:pt>
              </c:numCache>
            </c:numRef>
          </c:xVal>
          <c:yVal>
            <c:numRef>
              <c:f>'8.0'!$O$39:$P$39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L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'8.0'!$N$38:$O$38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'8.0'!$N$36:$N$37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H</c:v>
          </c:tx>
          <c:spPr>
            <a:ln w="9525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'8.0'!$N$38:$O$38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'8.0'!$O$36:$O$37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v>Required Value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'8.0'!$N$38:$O$38</c:f>
              <c:numCache>
                <c:formatCode>General</c:formatCode>
                <c:ptCount val="2"/>
                <c:pt idx="0">
                  <c:v>0.15</c:v>
                </c:pt>
                <c:pt idx="1">
                  <c:v>0.20803370948780098</c:v>
                </c:pt>
              </c:numCache>
            </c:numRef>
          </c:xVal>
          <c:yVal>
            <c:numRef>
              <c:f>'8.0'!$P$36:$P$37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905024"/>
        <c:axId val="129906560"/>
      </c:scatterChart>
      <c:valAx>
        <c:axId val="129905024"/>
        <c:scaling>
          <c:orientation val="minMax"/>
          <c:max val="0.45"/>
          <c:min val="0.15000000000000002"/>
        </c:scaling>
        <c:delete val="0"/>
        <c:axPos val="b"/>
        <c:numFmt formatCode="General" sourceLinked="1"/>
        <c:majorTickMark val="out"/>
        <c:minorTickMark val="none"/>
        <c:tickLblPos val="nextTo"/>
        <c:crossAx val="129906560"/>
        <c:crosses val="autoZero"/>
        <c:crossBetween val="midCat"/>
        <c:majorUnit val="5.000000000000001E-2"/>
      </c:valAx>
      <c:valAx>
        <c:axId val="129906560"/>
        <c:scaling>
          <c:orientation val="minMax"/>
          <c:max val="1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9905024"/>
        <c:crosses val="autoZero"/>
        <c:crossBetween val="midCat"/>
        <c:maj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6350"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Tools1!$O$15" fmlaRange="Tools1!$A$18:$A$20" noThreeD="1" val="0"/>
</file>

<file path=xl/ctrlProps/ctrlProp2.xml><?xml version="1.0" encoding="utf-8"?>
<formControlPr xmlns="http://schemas.microsoft.com/office/spreadsheetml/2009/9/main" objectType="Drop" dropStyle="combo" dx="16" fmlaLink="Tools1!$O$17" fmlaRange="Tools1!$C$4:$C$5" noThreeD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Tools1!$O$15" fmlaRange="Tools1!$A$18:$A$20" noThreeD="1" val="0"/>
</file>

<file path=xl/ctrlProps/ctrlProp6.xml><?xml version="1.0" encoding="utf-8"?>
<formControlPr xmlns="http://schemas.microsoft.com/office/spreadsheetml/2009/9/main" objectType="Drop" dropStyle="combo" dx="16" fmlaLink="Tools1!$O$17" fmlaRange="Tools1!$C$4:$C$5" noThreeD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List" dx="16" fmlaLink="Tools1!N9" fmlaRange="$P$33:$P$34" noThreeD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List" dx="16" fmlaLink="Tools1!N10" fmlaRange="$P$33:$P$34" noThreeD="1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ist" dx="16" fmlaLink="Tools1!N11" fmlaRange="$P$33:$P$34" noThreeD="1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List" dx="16" fmlaLink="Tools1!$N$12" fmlaRange="$P$33:$P$34" noThreeD="1" val="0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List" dx="16" fmlaLink="Tools1!$N$13" fmlaRange="$P$33:$P$34" noThreeD="1" val="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List" dx="16" fmlaLink="Tools1!$N$14" fmlaRange="$P$33:$P$34" noThreeD="1" val="0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List" dx="16" fmlaLink="Tools1!$N$15" fmlaRange="$P$33:$P$34" noThreeD="1" val="0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List" dx="16" fmlaLink="Tools1!N16" fmlaRange="$P$33:$P$34" noThreeD="1" val="0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List" dx="16" fmlaLink="Tools1!N17" fmlaRange="$P$33:$P$34" noThreeD="1" val="0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265056</xdr:colOff>
      <xdr:row>102</xdr:row>
      <xdr:rowOff>0</xdr:rowOff>
    </xdr:from>
    <xdr:to>
      <xdr:col>5</xdr:col>
      <xdr:colOff>266700</xdr:colOff>
      <xdr:row>110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 trans="60000" detail="5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056" y="21612225"/>
          <a:ext cx="3154419" cy="1571625"/>
        </a:xfrm>
        <a:prstGeom prst="rect">
          <a:avLst/>
        </a:prstGeom>
        <a:effectLst>
          <a:outerShdw blurRad="76200" sx="103000" sy="103000" algn="ctr" rotWithShape="0">
            <a:srgbClr val="000000">
              <a:alpha val="28000"/>
            </a:srgbClr>
          </a:outerShdw>
        </a:effectLst>
      </xdr:spPr>
    </xdr:pic>
    <xdr:clientData/>
  </xdr:twoCellAnchor>
  <xdr:twoCellAnchor editAs="oneCell">
    <xdr:from>
      <xdr:col>10</xdr:col>
      <xdr:colOff>605705</xdr:colOff>
      <xdr:row>102</xdr:row>
      <xdr:rowOff>0</xdr:rowOff>
    </xdr:from>
    <xdr:to>
      <xdr:col>15</xdr:col>
      <xdr:colOff>0</xdr:colOff>
      <xdr:row>110</xdr:row>
      <xdr:rowOff>28575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artisticPhotocopy trans="67000" detail="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57" t="8340" r="18089" b="4137"/>
        <a:stretch/>
      </xdr:blipFill>
      <xdr:spPr>
        <a:xfrm>
          <a:off x="7216055" y="21612225"/>
          <a:ext cx="2442295" cy="1600200"/>
        </a:xfrm>
        <a:prstGeom prst="rect">
          <a:avLst/>
        </a:prstGeom>
        <a:effectLst>
          <a:outerShdw blurRad="76200" sx="103000" sy="103000" algn="ctr" rotWithShape="0">
            <a:srgbClr val="000000">
              <a:alpha val="28000"/>
            </a:srgbClr>
          </a:outerShdw>
        </a:effectLst>
      </xdr:spPr>
    </xdr:pic>
    <xdr:clientData/>
  </xdr:twoCellAnchor>
  <xdr:twoCellAnchor>
    <xdr:from>
      <xdr:col>6</xdr:col>
      <xdr:colOff>180974</xdr:colOff>
      <xdr:row>56</xdr:row>
      <xdr:rowOff>171449</xdr:rowOff>
    </xdr:from>
    <xdr:to>
      <xdr:col>12</xdr:col>
      <xdr:colOff>171450</xdr:colOff>
      <xdr:row>69</xdr:row>
      <xdr:rowOff>161924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5</xdr:col>
          <xdr:colOff>533400</xdr:colOff>
          <xdr:row>33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0</xdr:rowOff>
        </xdr:from>
        <xdr:to>
          <xdr:col>4</xdr:col>
          <xdr:colOff>609600</xdr:colOff>
          <xdr:row>46</xdr:row>
          <xdr:rowOff>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200025</xdr:colOff>
      <xdr:row>56</xdr:row>
      <xdr:rowOff>171450</xdr:rowOff>
    </xdr:from>
    <xdr:to>
      <xdr:col>19</xdr:col>
      <xdr:colOff>200025</xdr:colOff>
      <xdr:row>69</xdr:row>
      <xdr:rowOff>171449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6</xdr:col>
          <xdr:colOff>476250</xdr:colOff>
          <xdr:row>17</xdr:row>
          <xdr:rowOff>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6</xdr:col>
          <xdr:colOff>504825</xdr:colOff>
          <xdr:row>21</xdr:row>
          <xdr:rowOff>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43</xdr:row>
          <xdr:rowOff>0</xdr:rowOff>
        </xdr:from>
        <xdr:to>
          <xdr:col>6</xdr:col>
          <xdr:colOff>152400</xdr:colOff>
          <xdr:row>44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5121" name="List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6145" name="List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7169" name="List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8193" name="List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9217" name="List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10241" name="List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11265" name="List Box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523875</xdr:colOff>
      <xdr:row>36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923925</xdr:colOff>
          <xdr:row>14</xdr:row>
          <xdr:rowOff>142875</xdr:rowOff>
        </xdr:to>
        <xdr:sp macro="" textlink="">
          <xdr:nvSpPr>
            <xdr:cNvPr id="12289" name="List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1181100</xdr:colOff>
          <xdr:row>17</xdr:row>
          <xdr:rowOff>133350</xdr:rowOff>
        </xdr:from>
        <xdr:to>
          <xdr:col>14</xdr:col>
          <xdr:colOff>19050</xdr:colOff>
          <xdr:row>19</xdr:row>
          <xdr:rowOff>9525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8</xdr:row>
          <xdr:rowOff>104775</xdr:rowOff>
        </xdr:from>
        <xdr:to>
          <xdr:col>12</xdr:col>
          <xdr:colOff>371475</xdr:colOff>
          <xdr:row>10</xdr:row>
          <xdr:rowOff>38100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800100</xdr:colOff>
          <xdr:row>8</xdr:row>
          <xdr:rowOff>76200</xdr:rowOff>
        </xdr:from>
        <xdr:to>
          <xdr:col>13</xdr:col>
          <xdr:colOff>438150</xdr:colOff>
          <xdr:row>10</xdr:row>
          <xdr:rowOff>9525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17</xdr:row>
          <xdr:rowOff>142875</xdr:rowOff>
        </xdr:from>
        <xdr:to>
          <xdr:col>12</xdr:col>
          <xdr:colOff>1066800</xdr:colOff>
          <xdr:row>19</xdr:row>
          <xdr:rowOff>9525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 tint="0.59999389629810485"/>
  </sheetPr>
  <dimension ref="A1:V147"/>
  <sheetViews>
    <sheetView showGridLines="0" showRowColHeaders="0" tabSelected="1" zoomScaleNormal="100" workbookViewId="0">
      <selection activeCell="H1" sqref="H1"/>
    </sheetView>
  </sheetViews>
  <sheetFormatPr defaultRowHeight="15" x14ac:dyDescent="0.25"/>
  <cols>
    <col min="1" max="1" width="5.7109375" style="2" customWidth="1"/>
    <col min="2" max="2" width="9.140625" style="2" customWidth="1"/>
    <col min="3" max="3" width="12" style="2" bestFit="1" customWidth="1"/>
    <col min="4" max="4" width="10.140625" style="2" customWidth="1"/>
    <col min="5" max="5" width="10.28515625" style="2" customWidth="1"/>
    <col min="6" max="6" width="11" style="2" customWidth="1"/>
    <col min="7" max="7" width="9.140625" style="2" customWidth="1"/>
    <col min="8" max="8" width="13.42578125" style="2" customWidth="1"/>
    <col min="9" max="15" width="9.140625" style="2"/>
    <col min="16" max="16" width="12" style="2" bestFit="1" customWidth="1"/>
    <col min="17" max="16384" width="9.140625" style="2"/>
  </cols>
  <sheetData>
    <row r="1" spans="1:18" x14ac:dyDescent="0.25">
      <c r="A1" s="1"/>
      <c r="J1" s="3" t="s">
        <v>0</v>
      </c>
    </row>
    <row r="2" spans="1:18" s="5" customFormat="1" ht="23.25" x14ac:dyDescent="0.35">
      <c r="A2" s="4" t="s">
        <v>1</v>
      </c>
    </row>
    <row r="3" spans="1:18" x14ac:dyDescent="0.25">
      <c r="B3" s="6" t="s">
        <v>2</v>
      </c>
      <c r="C3" s="7">
        <v>146.19999999999999</v>
      </c>
      <c r="D3" s="8" t="s">
        <v>3</v>
      </c>
    </row>
    <row r="4" spans="1:18" ht="18" x14ac:dyDescent="0.35">
      <c r="B4" s="9" t="s">
        <v>4</v>
      </c>
      <c r="C4" s="10">
        <v>22</v>
      </c>
      <c r="D4" s="9" t="s">
        <v>3</v>
      </c>
      <c r="H4" s="2" t="s">
        <v>5</v>
      </c>
      <c r="I4" s="11">
        <v>14.5</v>
      </c>
    </row>
    <row r="5" spans="1:18" ht="18" x14ac:dyDescent="0.35">
      <c r="B5" s="8" t="s">
        <v>6</v>
      </c>
      <c r="C5" s="12">
        <v>9.6999999999999993</v>
      </c>
      <c r="D5" s="8" t="s">
        <v>3</v>
      </c>
      <c r="H5" s="2" t="s">
        <v>7</v>
      </c>
      <c r="I5" s="13">
        <f>I4*0.54325</f>
        <v>7.8771250000000004</v>
      </c>
    </row>
    <row r="6" spans="1:18" ht="18.75" x14ac:dyDescent="0.35">
      <c r="B6" s="9" t="s">
        <v>13</v>
      </c>
      <c r="C6" s="14">
        <v>211.9733333333333</v>
      </c>
      <c r="D6" s="9" t="s">
        <v>14</v>
      </c>
    </row>
    <row r="7" spans="1:18" ht="18.75" x14ac:dyDescent="0.35">
      <c r="B7" s="8" t="s">
        <v>17</v>
      </c>
      <c r="C7" s="15">
        <v>14.089333333333332</v>
      </c>
      <c r="D7" s="8" t="s">
        <v>14</v>
      </c>
      <c r="H7" s="16" t="s">
        <v>10</v>
      </c>
      <c r="I7" s="17" t="s">
        <v>11</v>
      </c>
      <c r="J7" s="2" t="s">
        <v>12</v>
      </c>
      <c r="K7" s="18">
        <f>1.188*10^-6</f>
        <v>1.1879999999999999E-6</v>
      </c>
    </row>
    <row r="8" spans="1:18" ht="17.25" x14ac:dyDescent="0.25">
      <c r="B8" s="9" t="s">
        <v>19</v>
      </c>
      <c r="C8" s="14">
        <v>3.0543781452699883</v>
      </c>
      <c r="D8" s="9" t="s">
        <v>3</v>
      </c>
      <c r="H8" s="16" t="s">
        <v>15</v>
      </c>
      <c r="I8" s="17">
        <v>9.8066499999999994</v>
      </c>
      <c r="J8" s="2" t="s">
        <v>16</v>
      </c>
    </row>
    <row r="9" spans="1:18" ht="17.25" x14ac:dyDescent="0.25">
      <c r="B9" s="8" t="s">
        <v>20</v>
      </c>
      <c r="C9" s="7">
        <v>24344.577060938886</v>
      </c>
      <c r="D9" s="8" t="s">
        <v>21</v>
      </c>
      <c r="I9" s="17">
        <v>1.0249999999999999</v>
      </c>
      <c r="J9" s="2" t="s">
        <v>18</v>
      </c>
      <c r="O9" s="19"/>
    </row>
    <row r="10" spans="1:18" ht="17.25" customHeight="1" x14ac:dyDescent="0.25">
      <c r="B10" s="123" t="s">
        <v>22</v>
      </c>
      <c r="C10" s="124">
        <f>▼_*1.006*1.025</f>
        <v>25102.910636387129</v>
      </c>
      <c r="D10" s="123" t="s">
        <v>23</v>
      </c>
      <c r="O10" s="19"/>
    </row>
    <row r="11" spans="1:18" ht="18" x14ac:dyDescent="0.35">
      <c r="B11" s="126" t="s">
        <v>8</v>
      </c>
      <c r="C11" s="127">
        <f>▼_/(AMID*LBP)</f>
        <v>0.78554963661571697</v>
      </c>
      <c r="D11" s="126"/>
      <c r="N11" s="19"/>
      <c r="O11" s="19"/>
    </row>
    <row r="12" spans="1:18" ht="18" x14ac:dyDescent="0.35">
      <c r="B12" s="123" t="s">
        <v>9</v>
      </c>
      <c r="C12" s="125">
        <f>▼_/(LBP*BREADTH*DRAFT)</f>
        <v>0.78029791458398423</v>
      </c>
      <c r="D12" s="123"/>
      <c r="I12" s="20"/>
      <c r="N12" s="19"/>
      <c r="O12" s="19"/>
    </row>
    <row r="13" spans="1:18" x14ac:dyDescent="0.25">
      <c r="I13" s="20"/>
      <c r="N13" s="19"/>
      <c r="O13" s="19"/>
    </row>
    <row r="14" spans="1:18" ht="18.75" x14ac:dyDescent="0.3">
      <c r="A14" s="21" t="s">
        <v>24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</row>
    <row r="15" spans="1:18" s="23" customFormat="1" ht="20.25" customHeight="1" x14ac:dyDescent="0.35">
      <c r="C15" s="24" t="s">
        <v>25</v>
      </c>
      <c r="H15" s="25"/>
      <c r="J15" s="24" t="s">
        <v>26</v>
      </c>
    </row>
    <row r="16" spans="1:18" ht="18.75" x14ac:dyDescent="0.35">
      <c r="C16" s="26" t="s">
        <v>27</v>
      </c>
      <c r="D16" s="2">
        <f>C32</f>
        <v>1.5365337431908723</v>
      </c>
      <c r="H16" s="25"/>
      <c r="M16" s="142" t="s">
        <v>28</v>
      </c>
      <c r="N16" s="142"/>
    </row>
    <row r="17" spans="1:17" ht="18.75" x14ac:dyDescent="0.35">
      <c r="C17" s="26" t="s">
        <v>29</v>
      </c>
      <c r="D17" s="2">
        <f>C33</f>
        <v>0.4</v>
      </c>
      <c r="H17" s="25"/>
      <c r="I17" s="16" t="s">
        <v>30</v>
      </c>
      <c r="J17" s="27" t="s">
        <v>31</v>
      </c>
      <c r="K17" s="2">
        <f>1.025*LBP*(CB*BREADTH+1.7*DRAFT)</f>
        <v>5043.6029177796236</v>
      </c>
      <c r="M17" s="143" t="s">
        <v>32</v>
      </c>
      <c r="N17" s="143"/>
      <c r="O17" s="28" t="str">
        <f>CONCATENATE("=1.025*",LBP,"(",ROUND(CB,4),"*",BREADTH,"+1.7*",DRAFT,")")</f>
        <v>=1.025*146.2(0.7803*22+1.7*9.7)</v>
      </c>
      <c r="P17" s="29"/>
    </row>
    <row r="18" spans="1:17" ht="18.75" x14ac:dyDescent="0.35">
      <c r="B18" s="30" t="s">
        <v>33</v>
      </c>
      <c r="C18" s="26" t="s">
        <v>34</v>
      </c>
      <c r="D18" s="2">
        <f>C35</f>
        <v>1.9365337431908722</v>
      </c>
      <c r="H18" s="25"/>
      <c r="I18" s="16" t="s">
        <v>35</v>
      </c>
      <c r="J18" s="31" t="s">
        <v>36</v>
      </c>
      <c r="K18" s="2">
        <v>0</v>
      </c>
    </row>
    <row r="19" spans="1:17" ht="18" x14ac:dyDescent="0.35">
      <c r="H19" s="25"/>
      <c r="I19" s="16" t="s">
        <v>37</v>
      </c>
      <c r="J19" s="31" t="s">
        <v>38</v>
      </c>
      <c r="K19" s="2">
        <f>K18+K17</f>
        <v>5043.6029177796236</v>
      </c>
      <c r="M19" s="131" t="s">
        <v>39</v>
      </c>
      <c r="N19" s="131"/>
    </row>
    <row r="20" spans="1:17" ht="18.75" x14ac:dyDescent="0.35">
      <c r="C20" s="26" t="s">
        <v>34</v>
      </c>
      <c r="D20" s="2">
        <f>D18</f>
        <v>1.9365337431908722</v>
      </c>
      <c r="H20" s="25"/>
      <c r="J20" s="31" t="s">
        <v>40</v>
      </c>
      <c r="K20" s="2">
        <f>D20/1000*0.5*$I$9*$K$19*($I$5^2)</f>
        <v>310.59560083579953</v>
      </c>
      <c r="L20" s="19" t="str">
        <f t="shared" ref="L20:L23" si="0">IF(ISNUMBER(K20),"kN","")</f>
        <v>kN</v>
      </c>
      <c r="M20" s="131" t="s">
        <v>41</v>
      </c>
      <c r="N20" s="131"/>
    </row>
    <row r="21" spans="1:17" ht="18.75" x14ac:dyDescent="0.35">
      <c r="C21" s="31" t="s">
        <v>42</v>
      </c>
      <c r="D21" s="2">
        <f>IF(ISNUMBER(C99),C99,NA())</f>
        <v>2.0040996684438799</v>
      </c>
      <c r="H21" s="25"/>
      <c r="J21" s="31" t="s">
        <v>43</v>
      </c>
      <c r="K21" s="2">
        <f>D21/1000*0.5*$I$9*$K$19*($I$5^2)</f>
        <v>321.43232352331955</v>
      </c>
      <c r="L21" s="19" t="str">
        <f t="shared" si="0"/>
        <v>kN</v>
      </c>
      <c r="M21" s="131" t="s">
        <v>44</v>
      </c>
      <c r="N21" s="131"/>
    </row>
    <row r="22" spans="1:17" ht="18.75" x14ac:dyDescent="0.35">
      <c r="C22" s="31" t="s">
        <v>45</v>
      </c>
      <c r="D22" s="2">
        <v>7.0000000000000007E-2</v>
      </c>
      <c r="H22" s="25"/>
      <c r="J22" s="31" t="s">
        <v>46</v>
      </c>
      <c r="K22" s="2">
        <f t="shared" ref="K22:K24" si="1">D22/1000*0.5*$I$9*$K$19*($I$5^2)</f>
        <v>11.227117593459369</v>
      </c>
      <c r="L22" s="19" t="str">
        <f t="shared" si="0"/>
        <v>kN</v>
      </c>
      <c r="M22" s="131" t="s">
        <v>47</v>
      </c>
      <c r="N22" s="131"/>
    </row>
    <row r="23" spans="1:17" ht="18.75" x14ac:dyDescent="0.35">
      <c r="C23" s="31" t="s">
        <v>48</v>
      </c>
      <c r="D23" s="2">
        <v>0.04</v>
      </c>
      <c r="H23" s="25"/>
      <c r="J23" s="31" t="s">
        <v>49</v>
      </c>
      <c r="K23" s="2">
        <f t="shared" si="1"/>
        <v>6.4154957676910671</v>
      </c>
      <c r="L23" s="19" t="str">
        <f t="shared" si="0"/>
        <v>kN</v>
      </c>
      <c r="M23" s="131" t="s">
        <v>50</v>
      </c>
      <c r="N23" s="131"/>
    </row>
    <row r="24" spans="1:17" ht="18.75" x14ac:dyDescent="0.35">
      <c r="C24" s="32" t="s">
        <v>51</v>
      </c>
      <c r="D24" s="22">
        <f>SUM(D20:D23)</f>
        <v>4.0506334116347524</v>
      </c>
      <c r="H24" s="25"/>
      <c r="J24" s="33" t="s">
        <v>52</v>
      </c>
      <c r="K24" s="22">
        <f t="shared" si="1"/>
        <v>649.67053772026964</v>
      </c>
      <c r="L24" s="19" t="str">
        <f>IF(ISNUMBER(K24),"kN","")</f>
        <v>kN</v>
      </c>
      <c r="M24" s="19" t="s">
        <v>53</v>
      </c>
      <c r="N24" s="19"/>
    </row>
    <row r="25" spans="1:17" x14ac:dyDescent="0.25">
      <c r="H25" s="25"/>
    </row>
    <row r="26" spans="1:17" ht="18.75" x14ac:dyDescent="0.3">
      <c r="A26" s="21" t="s">
        <v>54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</row>
    <row r="27" spans="1:17" ht="24" x14ac:dyDescent="0.45">
      <c r="B27" s="34" t="s">
        <v>55</v>
      </c>
    </row>
    <row r="28" spans="1:17" x14ac:dyDescent="0.25">
      <c r="C28" s="138" t="s">
        <v>28</v>
      </c>
      <c r="D28" s="138"/>
    </row>
    <row r="29" spans="1:17" ht="18" x14ac:dyDescent="0.35">
      <c r="B29" s="35" t="s">
        <v>56</v>
      </c>
      <c r="C29" s="131" t="s">
        <v>57</v>
      </c>
      <c r="D29" s="131"/>
      <c r="E29" s="16" t="s">
        <v>58</v>
      </c>
      <c r="F29" s="139">
        <f>V*LBP/K7</f>
        <v>969390298.82154894</v>
      </c>
      <c r="G29" s="139"/>
      <c r="H29" s="36"/>
      <c r="I29" s="37"/>
      <c r="J29" s="38"/>
    </row>
    <row r="30" spans="1:17" ht="18.75" x14ac:dyDescent="0.35">
      <c r="B30" s="2" t="s">
        <v>59</v>
      </c>
      <c r="C30" s="140" t="s">
        <v>60</v>
      </c>
      <c r="D30" s="140"/>
      <c r="E30" s="16" t="s">
        <v>58</v>
      </c>
      <c r="F30" s="141">
        <f>0.075/(LOG10(F29)-2)^2</f>
        <v>1.5365337431908724E-3</v>
      </c>
      <c r="G30" s="141"/>
    </row>
    <row r="31" spans="1:17" x14ac:dyDescent="0.25">
      <c r="B31" s="35"/>
      <c r="C31" s="39"/>
      <c r="D31" s="39"/>
    </row>
    <row r="32" spans="1:17" ht="18.75" x14ac:dyDescent="0.35">
      <c r="B32" s="2" t="s">
        <v>61</v>
      </c>
      <c r="C32" s="40">
        <f>F30*1000</f>
        <v>1.5365337431908723</v>
      </c>
      <c r="D32" s="39"/>
    </row>
    <row r="33" spans="2:22" ht="18.75" x14ac:dyDescent="0.35">
      <c r="B33" s="31" t="s">
        <v>62</v>
      </c>
      <c r="C33" s="2">
        <f>CHOOSE(Tools1!O15,'G&amp;H'!F112,'G&amp;H'!F113,'G&amp;H'!F114)</f>
        <v>0.4</v>
      </c>
      <c r="G33" s="41"/>
    </row>
    <row r="34" spans="2:22" ht="18.75" x14ac:dyDescent="0.35">
      <c r="B34" s="2" t="s">
        <v>63</v>
      </c>
      <c r="C34" s="2" t="s">
        <v>64</v>
      </c>
    </row>
    <row r="35" spans="2:22" ht="17.25" x14ac:dyDescent="0.4">
      <c r="B35" s="30" t="s">
        <v>58</v>
      </c>
      <c r="C35" s="42">
        <f>C33+C32</f>
        <v>1.9365337431908722</v>
      </c>
    </row>
    <row r="36" spans="2:22" x14ac:dyDescent="0.25">
      <c r="B36" s="31"/>
    </row>
    <row r="37" spans="2:22" ht="24" x14ac:dyDescent="0.45">
      <c r="B37" s="34" t="s">
        <v>65</v>
      </c>
    </row>
    <row r="38" spans="2:22" ht="17.25" x14ac:dyDescent="0.25">
      <c r="B38" s="2" t="s">
        <v>66</v>
      </c>
      <c r="C38" s="2">
        <f>LBP/(▼_)^(1/3)</f>
        <v>5.0444438779126877</v>
      </c>
    </row>
    <row r="39" spans="2:22" ht="18" x14ac:dyDescent="0.35">
      <c r="B39" s="2" t="s">
        <v>67</v>
      </c>
      <c r="C39" s="2">
        <f>V/SQRT(g*LBP)</f>
        <v>0.20803370948780098</v>
      </c>
      <c r="P39" s="29"/>
      <c r="S39" s="29"/>
      <c r="T39" s="29"/>
      <c r="U39" s="29"/>
      <c r="V39" s="29"/>
    </row>
    <row r="40" spans="2:22" x14ac:dyDescent="0.25">
      <c r="B40" s="2" t="s">
        <v>68</v>
      </c>
      <c r="C40" s="2">
        <f>CP</f>
        <v>0.78554963661571697</v>
      </c>
      <c r="F40" s="41"/>
    </row>
    <row r="41" spans="2:22" ht="18.75" x14ac:dyDescent="0.35">
      <c r="B41" s="43" t="s">
        <v>69</v>
      </c>
      <c r="C41" s="44"/>
      <c r="P41" s="29"/>
      <c r="Q41" s="45"/>
      <c r="R41" s="45"/>
      <c r="S41" s="29"/>
      <c r="T41" s="29"/>
      <c r="U41" s="29"/>
      <c r="V41" s="29"/>
    </row>
    <row r="42" spans="2:22" x14ac:dyDescent="0.25">
      <c r="B42" s="44"/>
      <c r="P42" s="29"/>
      <c r="Q42" s="45"/>
      <c r="R42" s="45"/>
      <c r="S42" s="29"/>
      <c r="T42" s="29"/>
      <c r="U42" s="29"/>
      <c r="V42" s="29"/>
    </row>
    <row r="43" spans="2:22" ht="17.25" x14ac:dyDescent="0.25">
      <c r="B43" s="46" t="s">
        <v>70</v>
      </c>
      <c r="C43" s="47">
        <f>IF(ISNUMBER('G&amp;H'!C38),IF('G&amp;H'!C38&lt;4,4,IF('G&amp;H'!C38-ROUNDDOWN('G&amp;H'!C38,0)&gt;0.5,ROUNDDOWN('G&amp;H'!C38,0)+0.5,IF('G&amp;H'!C38-ROUNDDOWN('G&amp;H'!C38,0)&lt;0.5,ROUNDDOWN('G&amp;H'!C38,0),'G&amp;H'!C38))),"  ")</f>
        <v>5</v>
      </c>
      <c r="D43" s="47">
        <f>IF('G&amp;H'!C43='G&amp;H'!C38,"  ",'G&amp;H'!C43+0.5)</f>
        <v>5.5</v>
      </c>
      <c r="E43" s="48">
        <f>IF(C43=C38,"",C38)</f>
        <v>5.0444438779126877</v>
      </c>
      <c r="P43" s="29"/>
      <c r="Q43" s="45"/>
      <c r="R43" s="45"/>
      <c r="S43" s="29"/>
      <c r="T43" s="29"/>
      <c r="U43" s="29"/>
      <c r="V43" s="29"/>
    </row>
    <row r="44" spans="2:22" ht="18.75" x14ac:dyDescent="0.35">
      <c r="B44" s="46" t="s">
        <v>71</v>
      </c>
      <c r="C44" s="49">
        <v>1.5159573836331628</v>
      </c>
      <c r="D44" s="49">
        <v>1.3275176743405881</v>
      </c>
      <c r="E44" s="50">
        <f>IF(C43=C38,C44,IF(AND(ISNUMBER(D44),ISNUMBER(C44)),FORECAST(E43,C44:D44,C43:D43),""))</f>
        <v>1.4992074007657596</v>
      </c>
      <c r="J44" s="16" t="s">
        <v>72</v>
      </c>
      <c r="K44" s="2">
        <f>IF(ISNUMBER('G&amp;H'!E44),'G&amp;H'!E44,"(Not available)")</f>
        <v>1.4992074007657596</v>
      </c>
    </row>
    <row r="45" spans="2:22" ht="18.75" x14ac:dyDescent="0.35">
      <c r="J45" s="16" t="s">
        <v>73</v>
      </c>
      <c r="K45" s="2">
        <f>O143</f>
        <v>1.5505147987349106</v>
      </c>
      <c r="L45" s="51" t="s">
        <v>74</v>
      </c>
    </row>
    <row r="46" spans="2:22" ht="18.75" x14ac:dyDescent="0.35">
      <c r="B46" s="16" t="s">
        <v>75</v>
      </c>
    </row>
    <row r="47" spans="2:22" x14ac:dyDescent="0.25">
      <c r="C47" s="44">
        <f>CHOOSE(Tools1!O17,'G&amp;H'!K44,'G&amp;H'!K45,'G&amp;H'!K46)</f>
        <v>1.4992074007657596</v>
      </c>
    </row>
    <row r="48" spans="2:22" x14ac:dyDescent="0.25">
      <c r="D48" s="16"/>
    </row>
    <row r="49" spans="1:7" x14ac:dyDescent="0.25">
      <c r="B49" s="52" t="s">
        <v>76</v>
      </c>
    </row>
    <row r="50" spans="1:7" x14ac:dyDescent="0.25">
      <c r="B50" s="2" t="s">
        <v>77</v>
      </c>
      <c r="C50" s="2">
        <f>BREADTH/DRAFT</f>
        <v>2.2680412371134024</v>
      </c>
    </row>
    <row r="51" spans="1:7" ht="18.75" x14ac:dyDescent="0.35">
      <c r="C51" s="16" t="s">
        <v>78</v>
      </c>
      <c r="D51" s="131" t="str">
        <f>"0.16*(B/T-2.5)"</f>
        <v>0.16*(B/T-2.5)</v>
      </c>
      <c r="E51" s="131"/>
    </row>
    <row r="52" spans="1:7" ht="17.25" x14ac:dyDescent="0.4">
      <c r="C52" s="16" t="s">
        <v>58</v>
      </c>
      <c r="D52" s="42">
        <f>0.16*(C50-2.5)</f>
        <v>-3.7113402061855608E-2</v>
      </c>
    </row>
    <row r="53" spans="1:7" x14ac:dyDescent="0.25">
      <c r="C53" s="16"/>
    </row>
    <row r="54" spans="1:7" x14ac:dyDescent="0.25">
      <c r="B54" s="52" t="s">
        <v>79</v>
      </c>
      <c r="G54" s="31"/>
    </row>
    <row r="55" spans="1:7" x14ac:dyDescent="0.25">
      <c r="B55" s="52"/>
      <c r="G55" s="31"/>
    </row>
    <row r="56" spans="1:7" x14ac:dyDescent="0.25">
      <c r="B56" s="2" t="s">
        <v>19</v>
      </c>
      <c r="C56" s="2">
        <f>LCB</f>
        <v>3.0543781452699883</v>
      </c>
      <c r="G56" s="31"/>
    </row>
    <row r="57" spans="1:7" ht="18" x14ac:dyDescent="0.35">
      <c r="B57" s="2" t="s">
        <v>67</v>
      </c>
      <c r="C57" s="2">
        <f>Fn</f>
        <v>0.20803370948780098</v>
      </c>
      <c r="G57" s="31"/>
    </row>
    <row r="58" spans="1:7" x14ac:dyDescent="0.25">
      <c r="G58" s="31"/>
    </row>
    <row r="59" spans="1:7" x14ac:dyDescent="0.25">
      <c r="B59" s="2" t="s">
        <v>80</v>
      </c>
      <c r="C59" s="2">
        <f>(-3+(0.2838-C39)*6/0.1388)</f>
        <v>0.27519987804894885</v>
      </c>
      <c r="D59" s="2" t="s">
        <v>81</v>
      </c>
      <c r="G59" s="31"/>
    </row>
    <row r="60" spans="1:7" x14ac:dyDescent="0.25">
      <c r="B60" s="2" t="str">
        <f>IF(D59="aft","","Std. LCB")</f>
        <v>Std. LCB</v>
      </c>
      <c r="C60" s="2">
        <f>LBP*(C59/100)</f>
        <v>0.40234222170756317</v>
      </c>
      <c r="G60" s="31"/>
    </row>
    <row r="61" spans="1:7" x14ac:dyDescent="0.25">
      <c r="B61" s="2" t="str">
        <f>IF(D59="aft","","ΔLCB=")</f>
        <v>ΔLCB=</v>
      </c>
      <c r="C61" s="2">
        <f>IFERROR(C56-C60,"")</f>
        <v>2.6520359235624253</v>
      </c>
      <c r="G61" s="31"/>
    </row>
    <row r="62" spans="1:7" x14ac:dyDescent="0.25">
      <c r="B62" s="2" t="str">
        <f>IF(LCB&gt;C60,"LCB is fwd of Std. LCB, correction required",IF(LCB&lt;C60,"LCB is aft of Std. LCB, no correction required",IF(LCB=C60,"Ship has got std. LCB, no correction required","  ")))</f>
        <v>LCB is fwd of Std. LCB, correction required</v>
      </c>
      <c r="G62" s="31"/>
    </row>
    <row r="63" spans="1:7" x14ac:dyDescent="0.25">
      <c r="A63" s="53" t="b">
        <f>(B62="LCB is fwd of Std. LCB, correction required")</f>
        <v>1</v>
      </c>
      <c r="B63" s="54" t="str">
        <f>IF(ISNUMBER(Fn),IF(OR(Fn&lt;0.145,Fn&gt;0.2838),"!Froudes' number is out of the graph of LCB correction",""))</f>
        <v/>
      </c>
    </row>
    <row r="64" spans="1:7" x14ac:dyDescent="0.25">
      <c r="B64" s="55"/>
    </row>
    <row r="65" spans="2:13" ht="18.75" x14ac:dyDescent="0.35">
      <c r="B65" s="56" t="s">
        <v>82</v>
      </c>
      <c r="D65" s="2" t="s">
        <v>83</v>
      </c>
    </row>
    <row r="66" spans="2:13" ht="18.75" x14ac:dyDescent="0.35">
      <c r="B66" s="57" t="s">
        <v>84</v>
      </c>
      <c r="C66" s="57" t="s">
        <v>85</v>
      </c>
      <c r="D66" s="57" t="s">
        <v>86</v>
      </c>
    </row>
    <row r="67" spans="2:13" x14ac:dyDescent="0.25">
      <c r="B67" s="58">
        <f>Fn</f>
        <v>0.20803370948780098</v>
      </c>
      <c r="C67" s="58">
        <f>IF(CP&gt;=0.85,0.8,IF(CP&lt;=0.55,0.55,IF(CP-ROUNDDOWN(CP,1)&gt;0.05,ROUNDDOWN(CP,1)+0.05,ROUNDDOWN(CP,1))))</f>
        <v>0.75</v>
      </c>
      <c r="D67" s="58">
        <f>VLOOKUP(C67,Tools1!Z2:AD28,5,FALSE)</f>
        <v>0.151048330941599</v>
      </c>
    </row>
    <row r="68" spans="2:13" x14ac:dyDescent="0.25">
      <c r="B68" s="58">
        <f>Fn</f>
        <v>0.20803370948780098</v>
      </c>
      <c r="C68" s="58">
        <f>IF(C67=CP,"",C67+0.05)</f>
        <v>0.8</v>
      </c>
      <c r="D68" s="58">
        <f>VLOOKUP(C68,Tools1!Z3:AD29,5,FALSE)</f>
        <v>0.30983820716568966</v>
      </c>
    </row>
    <row r="69" spans="2:13" x14ac:dyDescent="0.25">
      <c r="B69" s="58">
        <f>Fn</f>
        <v>0.20803370948780098</v>
      </c>
      <c r="C69" s="58">
        <f>CP</f>
        <v>0.78554963661571697</v>
      </c>
      <c r="D69" s="58">
        <f>FORECAST(C69,D67:D68,C67:C68)</f>
        <v>0.26394677890202134</v>
      </c>
    </row>
    <row r="71" spans="2:13" ht="18.75" x14ac:dyDescent="0.35">
      <c r="E71" s="16" t="s">
        <v>87</v>
      </c>
      <c r="F71" s="2" t="str">
        <f>IF(A63,CONCATENATE("=",ROUND(D69,3),"*",ROUND(C61,3)),"0")</f>
        <v>=0.264*2.652</v>
      </c>
    </row>
    <row r="72" spans="2:13" ht="17.25" x14ac:dyDescent="0.4">
      <c r="E72" s="16" t="str">
        <f>"="</f>
        <v>=</v>
      </c>
      <c r="F72" s="42">
        <f>IF(A63,D69*C61,0)</f>
        <v>0.69999633955674945</v>
      </c>
    </row>
    <row r="74" spans="2:13" x14ac:dyDescent="0.25">
      <c r="B74" s="52" t="s">
        <v>88</v>
      </c>
      <c r="C74" s="59"/>
      <c r="D74" s="59"/>
      <c r="E74" s="31"/>
      <c r="F74" s="59"/>
    </row>
    <row r="75" spans="2:13" ht="18" customHeight="1" x14ac:dyDescent="0.35">
      <c r="B75" s="2" t="s">
        <v>89</v>
      </c>
      <c r="C75" s="2">
        <f>ABT</f>
        <v>14.089333333333332</v>
      </c>
      <c r="E75" s="134" t="s">
        <v>90</v>
      </c>
      <c r="F75" s="135" t="s">
        <v>91</v>
      </c>
      <c r="G75" s="135"/>
      <c r="H75" s="135"/>
      <c r="I75" s="135"/>
      <c r="J75" s="135"/>
      <c r="K75" s="135"/>
      <c r="L75" s="135"/>
      <c r="M75" s="135"/>
    </row>
    <row r="76" spans="2:13" ht="18" x14ac:dyDescent="0.35">
      <c r="B76" s="2" t="s">
        <v>92</v>
      </c>
      <c r="C76" s="2">
        <f>AMID</f>
        <v>211.9733333333333</v>
      </c>
      <c r="E76" s="134"/>
      <c r="F76" s="60">
        <v>0.15</v>
      </c>
      <c r="G76" s="60">
        <v>0.18</v>
      </c>
      <c r="H76" s="60">
        <v>0.21</v>
      </c>
      <c r="I76" s="60">
        <v>0.24</v>
      </c>
      <c r="J76" s="60">
        <v>0.27</v>
      </c>
      <c r="K76" s="60">
        <v>0.3</v>
      </c>
      <c r="L76" s="60">
        <v>0.33</v>
      </c>
      <c r="M76" s="60">
        <v>0.36</v>
      </c>
    </row>
    <row r="77" spans="2:13" ht="18" x14ac:dyDescent="0.35">
      <c r="B77" s="16" t="s">
        <v>93</v>
      </c>
      <c r="C77" s="2">
        <f>ABT/AMID</f>
        <v>6.646748018618695E-2</v>
      </c>
      <c r="E77" s="61">
        <v>0.5</v>
      </c>
      <c r="F77" s="62"/>
      <c r="G77" s="62"/>
      <c r="H77" s="62">
        <v>0.2</v>
      </c>
      <c r="I77" s="62">
        <v>0</v>
      </c>
      <c r="J77" s="62">
        <v>-0.2</v>
      </c>
      <c r="K77" s="62">
        <v>-0.4</v>
      </c>
      <c r="L77" s="62">
        <v>-0.4</v>
      </c>
      <c r="M77" s="62">
        <v>-0.4</v>
      </c>
    </row>
    <row r="78" spans="2:13" x14ac:dyDescent="0.25">
      <c r="E78" s="61">
        <v>0.6</v>
      </c>
      <c r="F78" s="62"/>
      <c r="G78" s="62"/>
      <c r="H78" s="62">
        <v>0.2</v>
      </c>
      <c r="I78" s="62">
        <v>0</v>
      </c>
      <c r="J78" s="62">
        <v>-0.2</v>
      </c>
      <c r="K78" s="62">
        <v>-0.3</v>
      </c>
      <c r="L78" s="62">
        <v>-0.3</v>
      </c>
      <c r="M78" s="62"/>
    </row>
    <row r="79" spans="2:13" x14ac:dyDescent="0.25">
      <c r="E79" s="61">
        <v>0.7</v>
      </c>
      <c r="F79" s="62"/>
      <c r="G79" s="62">
        <v>0.2</v>
      </c>
      <c r="H79" s="62">
        <v>0</v>
      </c>
      <c r="I79" s="62">
        <v>-0.2</v>
      </c>
      <c r="J79" s="62">
        <v>-0.3</v>
      </c>
      <c r="K79" s="62">
        <v>-0.3</v>
      </c>
      <c r="L79" s="62"/>
      <c r="M79" s="62"/>
    </row>
    <row r="80" spans="2:13" ht="18" x14ac:dyDescent="0.35">
      <c r="B80" s="16" t="s">
        <v>94</v>
      </c>
      <c r="C80" s="2" t="str">
        <f>IF(C77&gt;0.1,"&gt;0.1",IF(C77&lt;0.1,"&lt;0.1",IF(C77=0.1,"=0.1","  ")))</f>
        <v>&lt;0.1</v>
      </c>
      <c r="E80" s="61">
        <v>0.8</v>
      </c>
      <c r="F80" s="62">
        <v>0.1</v>
      </c>
      <c r="G80" s="62">
        <v>0</v>
      </c>
      <c r="H80" s="62">
        <v>-0.2</v>
      </c>
      <c r="I80" s="62"/>
      <c r="J80" s="62"/>
      <c r="K80" s="62"/>
      <c r="L80" s="62"/>
      <c r="M80" s="62"/>
    </row>
    <row r="81" spans="2:10" x14ac:dyDescent="0.25">
      <c r="B81" s="2" t="str">
        <f>IF(C80="&lt;0.1","Therefore, Corrections are assumed proportional to the size of the bulb"," ")</f>
        <v>Therefore, Corrections are assumed proportional to the size of the bulb</v>
      </c>
    </row>
    <row r="83" spans="2:10" x14ac:dyDescent="0.25">
      <c r="B83" s="31" t="s">
        <v>95</v>
      </c>
    </row>
    <row r="84" spans="2:10" x14ac:dyDescent="0.25">
      <c r="B84" s="134" t="s">
        <v>90</v>
      </c>
      <c r="C84" s="136" t="s">
        <v>96</v>
      </c>
      <c r="D84" s="136"/>
      <c r="E84" s="136"/>
      <c r="F84" s="136"/>
    </row>
    <row r="85" spans="2:10" x14ac:dyDescent="0.25">
      <c r="B85" s="134"/>
      <c r="C85" s="60">
        <f>C39-MOD(C39,0.03)</f>
        <v>0.18</v>
      </c>
      <c r="D85" s="60">
        <f>C85+0.03</f>
        <v>0.21</v>
      </c>
      <c r="E85" s="137">
        <f>C39</f>
        <v>0.20803370948780098</v>
      </c>
      <c r="F85" s="137"/>
    </row>
    <row r="86" spans="2:10" x14ac:dyDescent="0.25">
      <c r="B86" s="61">
        <f>ROUNDDOWN(CP,1)</f>
        <v>0.7</v>
      </c>
      <c r="C86" s="62">
        <f>VLOOKUP($B86,$E$77:$M$80,(C$85-0.09)/0.03,FALSE)</f>
        <v>0.2</v>
      </c>
      <c r="D86" s="62">
        <f>VLOOKUP($B86,$E$77:$M$80,(D$85-0.09)/0.03,FALSE)</f>
        <v>0</v>
      </c>
      <c r="E86" s="129"/>
      <c r="F86" s="129"/>
    </row>
    <row r="87" spans="2:10" x14ac:dyDescent="0.25">
      <c r="B87" s="61">
        <f>ROUNDDOWN(CP+0.1,1)</f>
        <v>0.8</v>
      </c>
      <c r="C87" s="62">
        <f>VLOOKUP($B87,$E$77:$M$80,(C$85-0.09)/0.03,FALSE)</f>
        <v>0</v>
      </c>
      <c r="D87" s="62">
        <f>VLOOKUP($B87,$E$77:$M$80,(D$85-0.09)/0.03,FALSE)</f>
        <v>-0.2</v>
      </c>
      <c r="E87" s="129"/>
      <c r="F87" s="129"/>
    </row>
    <row r="88" spans="2:10" x14ac:dyDescent="0.25">
      <c r="B88" s="61">
        <f>CP</f>
        <v>0.78554963661571697</v>
      </c>
      <c r="C88" s="62">
        <f>FORECAST($B88,C$86:C$87,$B$86:$B$87)</f>
        <v>2.8900726768566143E-2</v>
      </c>
      <c r="D88" s="62">
        <f>FORECAST($B88,D$86:D$87,$B$86:$B$87)</f>
        <v>-0.17109927323143403</v>
      </c>
      <c r="E88" s="129">
        <f>FORECAST(C39,C88:D88,C85:D85)</f>
        <v>-0.15799066981677368</v>
      </c>
      <c r="F88" s="129"/>
    </row>
    <row r="90" spans="2:10" ht="15" customHeight="1" x14ac:dyDescent="0.4">
      <c r="B90" s="63" t="s">
        <v>97</v>
      </c>
      <c r="D90" s="42">
        <f>E88</f>
        <v>-0.15799066981677368</v>
      </c>
    </row>
    <row r="91" spans="2:10" ht="15" customHeight="1" x14ac:dyDescent="0.25"/>
    <row r="92" spans="2:10" ht="15" customHeight="1" x14ac:dyDescent="0.25">
      <c r="B92" s="22"/>
      <c r="C92" s="22"/>
      <c r="D92" s="22"/>
      <c r="E92" s="22"/>
      <c r="F92" s="22"/>
      <c r="G92" s="22"/>
      <c r="H92" s="22"/>
      <c r="I92" s="22"/>
      <c r="J92" s="22"/>
    </row>
    <row r="93" spans="2:10" ht="15" customHeight="1" x14ac:dyDescent="0.35">
      <c r="B93" s="26" t="s">
        <v>98</v>
      </c>
      <c r="C93" s="64"/>
      <c r="D93" s="64">
        <f>C47</f>
        <v>1.4992074007657596</v>
      </c>
      <c r="E93" s="65"/>
      <c r="F93" s="65"/>
      <c r="G93" s="65"/>
      <c r="H93" s="23"/>
      <c r="I93" s="23"/>
      <c r="J93" s="23"/>
    </row>
    <row r="94" spans="2:10" ht="15" customHeight="1" x14ac:dyDescent="0.35">
      <c r="B94" s="31" t="s">
        <v>99</v>
      </c>
      <c r="C94" s="30"/>
      <c r="D94" s="30">
        <f>D52</f>
        <v>-3.7113402061855608E-2</v>
      </c>
      <c r="E94" s="16"/>
      <c r="F94" s="16"/>
      <c r="G94" s="16"/>
    </row>
    <row r="95" spans="2:10" ht="15" customHeight="1" x14ac:dyDescent="0.35">
      <c r="B95" s="31" t="s">
        <v>100</v>
      </c>
      <c r="C95" s="30"/>
      <c r="D95" s="30">
        <f>F72</f>
        <v>0.69999633955674945</v>
      </c>
      <c r="E95" s="16"/>
      <c r="F95" s="16"/>
      <c r="G95" s="16"/>
    </row>
    <row r="96" spans="2:10" ht="15" customHeight="1" x14ac:dyDescent="0.35">
      <c r="B96" s="31" t="s">
        <v>101</v>
      </c>
      <c r="C96" s="31"/>
      <c r="D96" s="31">
        <f>D90</f>
        <v>-0.15799066981677368</v>
      </c>
    </row>
    <row r="97" spans="2:18" ht="15" customHeight="1" x14ac:dyDescent="0.25">
      <c r="B97" s="31"/>
      <c r="C97" s="31"/>
      <c r="D97" s="31"/>
    </row>
    <row r="98" spans="2:18" ht="15" customHeight="1" x14ac:dyDescent="0.35">
      <c r="B98" s="31" t="s">
        <v>102</v>
      </c>
      <c r="C98" s="31"/>
      <c r="D98" s="31"/>
    </row>
    <row r="99" spans="2:18" ht="15" customHeight="1" x14ac:dyDescent="0.4">
      <c r="B99" s="31" t="s">
        <v>42</v>
      </c>
      <c r="C99" s="66">
        <f>D93+D94+D95+D96</f>
        <v>2.0040996684438799</v>
      </c>
      <c r="D99" s="31"/>
    </row>
    <row r="100" spans="2:18" ht="15" customHeight="1" x14ac:dyDescent="0.25">
      <c r="C100" s="31"/>
      <c r="D100" s="31"/>
    </row>
    <row r="101" spans="2:18" x14ac:dyDescent="0.25">
      <c r="B101" s="52" t="s">
        <v>103</v>
      </c>
    </row>
    <row r="103" spans="2:18" ht="18.75" x14ac:dyDescent="0.35">
      <c r="H103" s="67" t="s">
        <v>104</v>
      </c>
      <c r="I103" s="67" t="s">
        <v>105</v>
      </c>
      <c r="J103" s="68"/>
      <c r="Q103" s="67" t="s">
        <v>22</v>
      </c>
      <c r="R103" s="67" t="s">
        <v>105</v>
      </c>
    </row>
    <row r="104" spans="2:18" x14ac:dyDescent="0.25">
      <c r="H104" s="58">
        <v>100</v>
      </c>
      <c r="I104" s="58">
        <v>0.4</v>
      </c>
      <c r="J104" s="68"/>
      <c r="Q104" s="58">
        <v>1000</v>
      </c>
      <c r="R104" s="58">
        <v>0.6</v>
      </c>
    </row>
    <row r="105" spans="2:18" x14ac:dyDescent="0.25">
      <c r="H105" s="58">
        <v>150</v>
      </c>
      <c r="I105" s="58">
        <v>0.2</v>
      </c>
      <c r="J105" s="68"/>
      <c r="Q105" s="58">
        <v>10000</v>
      </c>
      <c r="R105" s="58">
        <v>0.4</v>
      </c>
    </row>
    <row r="106" spans="2:18" x14ac:dyDescent="0.25">
      <c r="H106" s="58">
        <v>200</v>
      </c>
      <c r="I106" s="58">
        <v>0</v>
      </c>
      <c r="J106" s="68"/>
      <c r="Q106" s="58">
        <v>100000</v>
      </c>
      <c r="R106" s="58">
        <v>0</v>
      </c>
    </row>
    <row r="107" spans="2:18" x14ac:dyDescent="0.25">
      <c r="H107" s="58">
        <v>250</v>
      </c>
      <c r="I107" s="58">
        <v>-0.2</v>
      </c>
      <c r="J107" s="68"/>
      <c r="Q107" s="58">
        <v>1000000</v>
      </c>
      <c r="R107" s="58">
        <v>-0.6</v>
      </c>
    </row>
    <row r="108" spans="2:18" x14ac:dyDescent="0.25">
      <c r="H108" s="58">
        <v>300</v>
      </c>
      <c r="I108" s="58">
        <v>-0.3</v>
      </c>
      <c r="J108" s="68"/>
      <c r="Q108" s="69">
        <f>▲_</f>
        <v>25102.910636387129</v>
      </c>
      <c r="R108" s="69">
        <f>FORECAST(Q108,R104:R107,Q104:Q107)</f>
        <v>0.35444032644136692</v>
      </c>
    </row>
    <row r="109" spans="2:18" x14ac:dyDescent="0.25">
      <c r="H109" s="69">
        <f>LBP</f>
        <v>146.19999999999999</v>
      </c>
      <c r="I109" s="69">
        <f>IF(AND(LBP&gt;=100,LBP&lt;=300),FORECAST(LBP,I104:I108,H104:H108),IF(LBP&lt;=100,0.4,IF(LBP&gt;=300,-0.3,"#NA")))</f>
        <v>0.21368000000000009</v>
      </c>
      <c r="J109" s="68"/>
    </row>
    <row r="110" spans="2:18" x14ac:dyDescent="0.25">
      <c r="J110" s="68"/>
    </row>
    <row r="112" spans="2:18" ht="18.75" x14ac:dyDescent="0.35">
      <c r="B112" s="130" t="s">
        <v>106</v>
      </c>
      <c r="C112" s="130"/>
      <c r="D112" s="130"/>
      <c r="E112" s="130"/>
      <c r="F112" s="70">
        <v>0.4</v>
      </c>
    </row>
    <row r="113" spans="1:20" ht="18.75" x14ac:dyDescent="0.35">
      <c r="B113" s="130" t="s">
        <v>107</v>
      </c>
      <c r="C113" s="130"/>
      <c r="D113" s="130"/>
      <c r="E113" s="130"/>
      <c r="F113" s="70">
        <f>I109</f>
        <v>0.21368000000000009</v>
      </c>
    </row>
    <row r="114" spans="1:20" ht="18.75" x14ac:dyDescent="0.35">
      <c r="B114" s="130" t="s">
        <v>108</v>
      </c>
      <c r="C114" s="130"/>
      <c r="D114" s="130"/>
      <c r="E114" s="130"/>
      <c r="F114" s="70">
        <f>R108</f>
        <v>0.35444032644136692</v>
      </c>
    </row>
    <row r="116" spans="1:20" x14ac:dyDescent="0.25">
      <c r="A116" s="22"/>
      <c r="B116" s="71"/>
      <c r="C116" s="22"/>
      <c r="D116" s="22"/>
      <c r="E116" s="22"/>
      <c r="F116" s="22"/>
      <c r="G116" s="22"/>
      <c r="H116" s="22"/>
      <c r="I116" s="22"/>
      <c r="J116" s="22"/>
      <c r="K116" s="22"/>
    </row>
    <row r="117" spans="1:20" x14ac:dyDescent="0.25">
      <c r="B117" s="25"/>
      <c r="C117" s="52" t="s">
        <v>109</v>
      </c>
    </row>
    <row r="118" spans="1:20" ht="18.75" x14ac:dyDescent="0.35">
      <c r="B118" s="25"/>
      <c r="C118" s="2" t="s">
        <v>110</v>
      </c>
      <c r="D118" s="2">
        <v>7.0000000000000007E-2</v>
      </c>
    </row>
    <row r="119" spans="1:20" x14ac:dyDescent="0.25">
      <c r="B119" s="25"/>
    </row>
    <row r="120" spans="1:20" x14ac:dyDescent="0.25">
      <c r="B120" s="25"/>
      <c r="C120" s="52" t="s">
        <v>111</v>
      </c>
    </row>
    <row r="121" spans="1:20" ht="18.75" x14ac:dyDescent="0.35">
      <c r="B121" s="25"/>
      <c r="C121" s="2" t="s">
        <v>112</v>
      </c>
      <c r="D121" s="2">
        <v>0.04</v>
      </c>
    </row>
    <row r="122" spans="1:20" x14ac:dyDescent="0.25">
      <c r="B122" s="25"/>
    </row>
    <row r="124" spans="1:2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</row>
    <row r="125" spans="1:20" ht="21" x14ac:dyDescent="0.35">
      <c r="B125" s="4" t="s">
        <v>113</v>
      </c>
    </row>
    <row r="126" spans="1:20" x14ac:dyDescent="0.25">
      <c r="C126" s="72" t="s">
        <v>114</v>
      </c>
      <c r="L126" s="52" t="s">
        <v>115</v>
      </c>
    </row>
    <row r="127" spans="1:20" ht="18.75" x14ac:dyDescent="0.35">
      <c r="C127" s="73" t="s">
        <v>116</v>
      </c>
      <c r="L127" s="131" t="s">
        <v>117</v>
      </c>
      <c r="M127" s="131"/>
      <c r="N127" s="19">
        <f>LBP/(▼_^(1/3))</f>
        <v>5.0444438779126877</v>
      </c>
    </row>
    <row r="128" spans="1:20" ht="18.75" x14ac:dyDescent="0.35">
      <c r="C128" s="73" t="s">
        <v>118</v>
      </c>
      <c r="K128" s="19" t="s">
        <v>119</v>
      </c>
      <c r="L128" s="19"/>
      <c r="M128" s="19"/>
      <c r="N128" s="2">
        <f>1.35-0.23*N127+0.012*(N127^2)</f>
        <v>0.49513487652901139</v>
      </c>
    </row>
    <row r="129" spans="2:16" ht="18.75" x14ac:dyDescent="0.35">
      <c r="C129" s="73" t="s">
        <v>120</v>
      </c>
      <c r="L129" s="131" t="s">
        <v>121</v>
      </c>
      <c r="M129" s="131"/>
      <c r="N129" s="19">
        <f>0.0011*(N127^9.1)</f>
        <v>2735.2288364481365</v>
      </c>
    </row>
    <row r="130" spans="2:16" ht="18.75" x14ac:dyDescent="0.35">
      <c r="C130" s="73" t="s">
        <v>122</v>
      </c>
      <c r="L130" s="132" t="s">
        <v>123</v>
      </c>
      <c r="M130" s="132"/>
      <c r="N130" s="23">
        <f>2*N127-3.7</f>
        <v>6.3888877558253752</v>
      </c>
    </row>
    <row r="131" spans="2:16" ht="18.75" x14ac:dyDescent="0.35">
      <c r="C131" s="73" t="s">
        <v>124</v>
      </c>
      <c r="M131" s="2" t="s">
        <v>67</v>
      </c>
      <c r="N131" s="2">
        <f>$I$5/SQRT($I$8*LBP)</f>
        <v>0.20803370948780098</v>
      </c>
    </row>
    <row r="132" spans="2:16" ht="18.75" x14ac:dyDescent="0.35">
      <c r="C132" s="73" t="s">
        <v>125</v>
      </c>
      <c r="O132" s="16" t="s">
        <v>126</v>
      </c>
      <c r="P132" s="2">
        <f>(N128+1.5*(N131^1.8)+N129*(N131^N130))*(0.98+2.5/(N127-2)^4)+((N127-5)^4)*((N131-0.1)^4)</f>
        <v>0.71081087957799372</v>
      </c>
    </row>
    <row r="133" spans="2:16" ht="18" x14ac:dyDescent="0.35">
      <c r="C133" s="73" t="s">
        <v>127</v>
      </c>
    </row>
    <row r="134" spans="2:16" ht="18.75" x14ac:dyDescent="0.35">
      <c r="C134" s="73" t="s">
        <v>128</v>
      </c>
      <c r="L134" s="133" t="s">
        <v>129</v>
      </c>
      <c r="M134" s="133"/>
      <c r="N134" s="74">
        <f>7-0.09*N127^2</f>
        <v>4.7098227366330292</v>
      </c>
      <c r="O134" s="23"/>
    </row>
    <row r="135" spans="2:16" ht="18.75" x14ac:dyDescent="0.35">
      <c r="C135" s="73" t="s">
        <v>130</v>
      </c>
      <c r="L135" s="133" t="s">
        <v>131</v>
      </c>
      <c r="M135" s="133"/>
      <c r="N135" s="74">
        <f>(5*CP-2.5)^2</f>
        <v>2.0384648742842004</v>
      </c>
      <c r="O135" s="23"/>
    </row>
    <row r="136" spans="2:16" ht="18.75" x14ac:dyDescent="0.35">
      <c r="C136" s="73" t="s">
        <v>132</v>
      </c>
      <c r="M136" s="65" t="s">
        <v>133</v>
      </c>
      <c r="N136" s="74">
        <f>(600*(N131-0.315)^2+1)^1.5</f>
        <v>22.057388156919359</v>
      </c>
      <c r="O136" s="23"/>
    </row>
    <row r="137" spans="2:16" ht="18" x14ac:dyDescent="0.35">
      <c r="C137" s="73" t="s">
        <v>134</v>
      </c>
      <c r="L137" s="128" t="s">
        <v>135</v>
      </c>
      <c r="M137" s="128"/>
      <c r="N137" s="19">
        <f>N134*N135/N136</f>
        <v>0.4352649617638325</v>
      </c>
      <c r="O137" s="23"/>
    </row>
    <row r="138" spans="2:16" ht="18.75" x14ac:dyDescent="0.35">
      <c r="C138" s="73" t="s">
        <v>136</v>
      </c>
      <c r="L138" s="75"/>
      <c r="M138" s="75"/>
      <c r="N138" s="75"/>
      <c r="O138" s="23"/>
    </row>
    <row r="139" spans="2:16" ht="18" x14ac:dyDescent="0.35">
      <c r="L139" s="23"/>
      <c r="M139" s="65" t="s">
        <v>137</v>
      </c>
      <c r="N139" s="65">
        <f>CP</f>
        <v>0.78554963661571697</v>
      </c>
    </row>
    <row r="140" spans="2:16" ht="18" x14ac:dyDescent="0.35">
      <c r="M140" s="23"/>
      <c r="O140" s="65" t="s">
        <v>138</v>
      </c>
      <c r="P140" s="2">
        <f>EXP(80*(N131-(0.04+0.59*CP)-(0.015*(N127-5))))</f>
        <v>5.1544338199809025E-11</v>
      </c>
    </row>
    <row r="141" spans="2:16" ht="18.75" x14ac:dyDescent="0.35">
      <c r="L141" s="16"/>
      <c r="N141" s="16" t="s">
        <v>139</v>
      </c>
      <c r="O141" s="2">
        <f>180*N131^3.7*EXP(20*CP-16)</f>
        <v>0.40443895734154006</v>
      </c>
    </row>
    <row r="142" spans="2:16" x14ac:dyDescent="0.25">
      <c r="L142" s="16"/>
    </row>
    <row r="143" spans="2:16" ht="18.75" x14ac:dyDescent="0.35">
      <c r="B143" s="2" t="s">
        <v>140</v>
      </c>
      <c r="N143" s="16" t="s">
        <v>141</v>
      </c>
      <c r="O143" s="2">
        <f>P132+N137+P140+O141</f>
        <v>1.5505147987349106</v>
      </c>
    </row>
    <row r="144" spans="2:16" x14ac:dyDescent="0.25">
      <c r="B144" s="2" t="s">
        <v>142</v>
      </c>
    </row>
    <row r="146" spans="2:2" x14ac:dyDescent="0.25">
      <c r="B146" s="76" t="s">
        <v>143</v>
      </c>
    </row>
    <row r="147" spans="2:2" x14ac:dyDescent="0.25">
      <c r="B147" s="76" t="s">
        <v>144</v>
      </c>
    </row>
  </sheetData>
  <sheetProtection password="CB5D" sheet="1" objects="1" scenarios="1"/>
  <mergeCells count="30">
    <mergeCell ref="M22:N22"/>
    <mergeCell ref="M16:N16"/>
    <mergeCell ref="M17:N17"/>
    <mergeCell ref="M19:N19"/>
    <mergeCell ref="M20:N20"/>
    <mergeCell ref="M21:N21"/>
    <mergeCell ref="M23:N23"/>
    <mergeCell ref="C28:D28"/>
    <mergeCell ref="C29:D29"/>
    <mergeCell ref="F29:G29"/>
    <mergeCell ref="C30:D30"/>
    <mergeCell ref="F30:G30"/>
    <mergeCell ref="D51:E51"/>
    <mergeCell ref="E75:E76"/>
    <mergeCell ref="F75:M75"/>
    <mergeCell ref="B84:B85"/>
    <mergeCell ref="C84:F84"/>
    <mergeCell ref="E85:F85"/>
    <mergeCell ref="L137:M137"/>
    <mergeCell ref="E86:F86"/>
    <mergeCell ref="E87:F87"/>
    <mergeCell ref="E88:F88"/>
    <mergeCell ref="B112:E112"/>
    <mergeCell ref="B113:E113"/>
    <mergeCell ref="B114:E114"/>
    <mergeCell ref="L127:M127"/>
    <mergeCell ref="L129:M129"/>
    <mergeCell ref="L130:M130"/>
    <mergeCell ref="L134:M134"/>
    <mergeCell ref="L135:M135"/>
  </mergeCells>
  <dataValidations count="15">
    <dataValidation type="decimal" allowBlank="1" showInputMessage="1" showErrorMessage="1" errorTitle="LCB" error="Enter a value within the dimension (LBP) of ship (w.r.t.  amidship)" promptTitle="Longitudinal Center of Buoyancy" prompt="LCB (w.r.t.  amidship)" sqref="C8">
      <formula1>-C3/2</formula1>
      <formula2>C3/2</formula2>
    </dataValidation>
    <dataValidation type="decimal" operator="greaterThan" allowBlank="1" showInputMessage="1" showErrorMessage="1" errorTitle="Area of midship" error="Enter a positive number" promptTitle="Area of midship" prompt="(Area upto LWL)" sqref="C6">
      <formula1>0</formula1>
    </dataValidation>
    <dataValidation type="decimal" operator="greaterThanOrEqual" allowBlank="1" showInputMessage="1" showErrorMessage="1" errorTitle="ABT" error="Enter a non-negetive number" promptTitle="Bulbous bow" prompt="Transverse area" sqref="C7">
      <formula1>0</formula1>
    </dataValidation>
    <dataValidation operator="greaterThan" allowBlank="1" showInputMessage="1" showErrorMessage="1" errorTitle="Velocity in knots" error="Enter a positive number" promptTitle="Velocity of ship" prompt="(in m/s)" sqref="I5"/>
    <dataValidation type="decimal" operator="greaterThan" allowBlank="1" showInputMessage="1" showErrorMessage="1" errorTitle="Velocity in knots" error="Enter a positive number" promptTitle="Velocity of ship" prompt="(in knots)" sqref="I4">
      <formula1>0</formula1>
    </dataValidation>
    <dataValidation allowBlank="1" showInputMessage="1" showErrorMessage="1" promptTitle="Dynamic viscosity" prompt="(of sea-water)" sqref="I7"/>
    <dataValidation allowBlank="1" showInputMessage="1" showErrorMessage="1" promptTitle="Density of Seawater" prompt="(in tonnes/metercube)" sqref="I9"/>
    <dataValidation allowBlank="1" showInputMessage="1" showErrorMessage="1" promptTitle="Acceleration due to gravity" prompt="g" sqref="I8"/>
    <dataValidation type="decimal" operator="greaterThan" allowBlank="1" showInputMessage="1" showErrorMessage="1" errorTitle="Breadth of Ship" error="Enter a positive number" promptTitle="Breadth of Ship" prompt="B" sqref="C4">
      <formula1>0</formula1>
    </dataValidation>
    <dataValidation type="decimal" operator="greaterThan" allowBlank="1" showInputMessage="1" showErrorMessage="1" errorTitle="Draft of Ship" error="Enter a positive number" promptTitle="Draft" prompt="T" sqref="C5">
      <formula1>0</formula1>
    </dataValidation>
    <dataValidation type="decimal" operator="greaterThan" allowBlank="1" showInputMessage="1" showErrorMessage="1" errorTitle="LBP" error="Enter a positive number" promptTitle="Length b/w perpendiculars" prompt="LBP" sqref="C3">
      <formula1>0</formula1>
    </dataValidation>
    <dataValidation type="decimal" allowBlank="1" showInputMessage="1" showErrorMessage="1" errorTitle="Prismatic Coefficient" error="Enter value between 0 and 1" promptTitle="Prismatic coeficient" prompt=" " sqref="C11">
      <formula1>0</formula1>
      <formula2>1</formula2>
    </dataValidation>
    <dataValidation type="decimal" allowBlank="1" showInputMessage="1" showErrorMessage="1" errorTitle="Block Coefficient" error="Enter value between 0 and 1" promptTitle="Block coefficient" prompt="δ" sqref="C12">
      <formula1>0</formula1>
      <formula2>1</formula2>
    </dataValidation>
    <dataValidation allowBlank="1" showInputMessage="1" showErrorMessage="1" promptTitle="Volume Displacement" prompt="(in meter cubes)" sqref="C9"/>
    <dataValidation allowBlank="1" showInputMessage="1" showErrorMessage="1" promptTitle="Mass Displacement" prompt="(tonnes)" sqref="C10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5</xdr:col>
                    <xdr:colOff>533400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>
                <anchor mov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609600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utton2_Click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Drop Down 5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476250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Drop Down 6">
              <controlPr defaultSize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504825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learCR">
                <anchor moveWithCells="1" sizeWithCells="1">
                  <from>
                    <xdr:col>5</xdr:col>
                    <xdr:colOff>152400</xdr:colOff>
                    <xdr:row>43</xdr:row>
                    <xdr:rowOff>0</xdr:rowOff>
                  </from>
                  <to>
                    <xdr:col>6</xdr:col>
                    <xdr:colOff>152400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K13:P39"/>
  <sheetViews>
    <sheetView showGridLines="0" showRowColHeaders="0" workbookViewId="0">
      <selection activeCell="L8" sqref="L8"/>
    </sheetView>
  </sheetViews>
  <sheetFormatPr defaultRowHeight="15" x14ac:dyDescent="0.25"/>
  <cols>
    <col min="1" max="9" width="9.140625" style="77"/>
    <col min="10" max="10" width="9.140625" style="77" customWidth="1"/>
    <col min="11" max="11" width="9.140625" style="77"/>
    <col min="12" max="12" width="14.7109375" style="77" customWidth="1"/>
    <col min="13" max="13" width="18.140625" style="77" customWidth="1"/>
    <col min="14" max="16384" width="9.140625" style="77"/>
  </cols>
  <sheetData>
    <row r="13" spans="11:14" x14ac:dyDescent="0.25">
      <c r="L13" s="78" t="s">
        <v>145</v>
      </c>
    </row>
    <row r="16" spans="11:14" x14ac:dyDescent="0.25">
      <c r="K16" s="79" t="s">
        <v>85</v>
      </c>
      <c r="L16" s="80">
        <f>CHOOSE(Tools1!$N$9,N33,N34)</f>
        <v>0.75</v>
      </c>
      <c r="M16" s="80">
        <f>IF(L16=CP,"",CHOOSE(Tools1!$N$9,O33,O34))</f>
        <v>0.8</v>
      </c>
      <c r="N16" s="81">
        <f>CP</f>
        <v>0.78554963661571697</v>
      </c>
    </row>
    <row r="17" spans="11:14" x14ac:dyDescent="0.25">
      <c r="K17" s="82" t="s">
        <v>146</v>
      </c>
      <c r="L17" s="83"/>
      <c r="M17" s="83"/>
      <c r="N17" s="84" t="str">
        <f>IF(L16=CP,L17,IF(AND(ISNUMBER(L17),ISNUMBER(M17)),FORECAST(CP,N36:O36,N35:O35),""))</f>
        <v/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77" t="str">
        <f>IF(ISNUMBER(#REF!),submitCr1(#REF!),"")</f>
        <v/>
      </c>
    </row>
    <row r="22" spans="11:14" x14ac:dyDescent="0.25">
      <c r="L22" s="86"/>
      <c r="N22" s="77" t="str">
        <f>IF(ISNUMBER(#REF!),submitCr2(#REF!),"")</f>
        <v/>
      </c>
    </row>
    <row r="33" spans="13:16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/>
      </c>
    </row>
    <row r="34" spans="13:16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/>
      </c>
    </row>
    <row r="35" spans="13:16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</row>
    <row r="36" spans="13:16" x14ac:dyDescent="0.25">
      <c r="M36" s="88">
        <v>4</v>
      </c>
      <c r="N36" s="87">
        <f>L17</f>
        <v>0</v>
      </c>
      <c r="O36" s="87">
        <f>M17</f>
        <v>0</v>
      </c>
      <c r="P36" s="87" t="str">
        <f>N17</f>
        <v/>
      </c>
    </row>
    <row r="37" spans="13:16" x14ac:dyDescent="0.25">
      <c r="M37" s="87" t="b">
        <f>(OR(M36='G&amp;H'!C43,M36='G&amp;H'!D43))</f>
        <v>0</v>
      </c>
      <c r="N37" s="87" t="e">
        <f>IF($M$37,N36,NA())</f>
        <v>#N/A</v>
      </c>
      <c r="O37" s="87" t="e">
        <f>IF($M$37,O36,NA())</f>
        <v>#N/A</v>
      </c>
      <c r="P37" s="87" t="e">
        <f>IF($M$37,P36,NA())</f>
        <v>#N/A</v>
      </c>
    </row>
    <row r="38" spans="13:16" x14ac:dyDescent="0.25">
      <c r="M38" s="87">
        <f>IF('G&amp;H'!C43='4.0'!$M$36,1,IF('G&amp;H'!D43='4.0'!$M$36,2,3))</f>
        <v>3</v>
      </c>
      <c r="N38" s="87">
        <v>0.15</v>
      </c>
      <c r="O38" s="87">
        <f>'G&amp;H'!Fn</f>
        <v>0.20803370948780098</v>
      </c>
      <c r="P38" s="87">
        <f>O38</f>
        <v>0.20803370948780098</v>
      </c>
    </row>
    <row r="39" spans="13:16" x14ac:dyDescent="0.25">
      <c r="N39" s="87"/>
      <c r="O39" s="87">
        <v>0</v>
      </c>
      <c r="P39" s="87" t="e">
        <f>IF(M37,12,NA())</f>
        <v>#N/A</v>
      </c>
    </row>
  </sheetData>
  <sheetProtection password="CB5D" sheet="1" objects="1" scenarios="1"/>
  <conditionalFormatting sqref="L13 K16:N18">
    <cfRule type="expression" dxfId="8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K13:P39"/>
  <sheetViews>
    <sheetView showGridLines="0" showRowColHeaders="0" workbookViewId="0">
      <selection activeCell="L6" sqref="L6"/>
    </sheetView>
  </sheetViews>
  <sheetFormatPr defaultRowHeight="15" x14ac:dyDescent="0.25"/>
  <cols>
    <col min="1" max="9" width="9.140625" style="77"/>
    <col min="10" max="10" width="9.140625" style="77" customWidth="1"/>
    <col min="11" max="11" width="9.140625" style="77"/>
    <col min="12" max="12" width="14.7109375" style="77" customWidth="1"/>
    <col min="13" max="13" width="18.140625" style="77" customWidth="1"/>
    <col min="14" max="16384" width="9.140625" style="77"/>
  </cols>
  <sheetData>
    <row r="13" spans="11:14" x14ac:dyDescent="0.25">
      <c r="L13" s="78" t="s">
        <v>145</v>
      </c>
    </row>
    <row r="16" spans="11:14" x14ac:dyDescent="0.25">
      <c r="K16" s="79" t="s">
        <v>85</v>
      </c>
      <c r="L16" s="80">
        <f>CHOOSE(Tools1!$N$10,N33,N34)</f>
        <v>0.75</v>
      </c>
      <c r="M16" s="80">
        <f>IF(L16=CP,"",CHOOSE(Tools1!$N$10,O33,O34))</f>
        <v>0.8</v>
      </c>
      <c r="N16" s="81">
        <f>CP</f>
        <v>0.78554963661571697</v>
      </c>
    </row>
    <row r="17" spans="11:14" x14ac:dyDescent="0.25">
      <c r="K17" s="82" t="s">
        <v>146</v>
      </c>
      <c r="L17" s="83"/>
      <c r="M17" s="83"/>
      <c r="N17" s="84" t="str">
        <f>IF(L16=CP,L17,IF(AND(ISNUMBER(L17),ISNUMBER(M17)),FORECAST(CP,N36:O36,N35:O35),""))</f>
        <v/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77" t="str">
        <f>IF(ISNUMBER(#REF!),submitCr1(#REF!),"")</f>
        <v/>
      </c>
    </row>
    <row r="22" spans="11:14" x14ac:dyDescent="0.25">
      <c r="L22" s="86"/>
      <c r="N22" s="77" t="str">
        <f>IF(ISNUMBER(#REF!),submitCr2(#REF!),"")</f>
        <v/>
      </c>
    </row>
    <row r="33" spans="13:16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/>
      </c>
    </row>
    <row r="34" spans="13:16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/>
      </c>
    </row>
    <row r="35" spans="13:16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</row>
    <row r="36" spans="13:16" x14ac:dyDescent="0.25">
      <c r="M36" s="88">
        <v>4.5</v>
      </c>
      <c r="N36" s="87">
        <f>L17</f>
        <v>0</v>
      </c>
      <c r="O36" s="87">
        <f>M17</f>
        <v>0</v>
      </c>
      <c r="P36" s="87" t="str">
        <f>N17</f>
        <v/>
      </c>
    </row>
    <row r="37" spans="13:16" x14ac:dyDescent="0.25">
      <c r="M37" s="87" t="b">
        <f>(OR(M36='G&amp;H'!C43,M36='G&amp;H'!D43))</f>
        <v>0</v>
      </c>
      <c r="N37" s="87" t="e">
        <f>IF($M$37,N36,NA())</f>
        <v>#N/A</v>
      </c>
      <c r="O37" s="87" t="e">
        <f>IF($M$37,O36,NA())</f>
        <v>#N/A</v>
      </c>
      <c r="P37" s="87" t="e">
        <f>IF($M$37,P36,NA())</f>
        <v>#N/A</v>
      </c>
    </row>
    <row r="38" spans="13:16" x14ac:dyDescent="0.25">
      <c r="M38" s="87">
        <f>IF('G&amp;H'!C43='4.5'!$M$36,1,IF('G&amp;H'!D43='4.5'!$M$36,2,3))</f>
        <v>3</v>
      </c>
      <c r="N38" s="87">
        <v>0.15</v>
      </c>
      <c r="O38" s="87">
        <f>'G&amp;H'!Fn</f>
        <v>0.20803370948780098</v>
      </c>
      <c r="P38" s="87">
        <f>O38</f>
        <v>0.20803370948780098</v>
      </c>
    </row>
    <row r="39" spans="13:16" x14ac:dyDescent="0.25">
      <c r="N39" s="87"/>
      <c r="O39" s="87">
        <v>0</v>
      </c>
      <c r="P39" s="87" t="e">
        <f>IF(M37,12,NA())</f>
        <v>#N/A</v>
      </c>
    </row>
  </sheetData>
  <sheetProtection password="CB5D" sheet="1" objects="1" scenarios="1"/>
  <conditionalFormatting sqref="L13 K16:N18">
    <cfRule type="expression" dxfId="7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K13:Q39"/>
  <sheetViews>
    <sheetView showGridLines="0" showRowColHeaders="0" workbookViewId="0">
      <selection activeCell="L2" sqref="L2"/>
    </sheetView>
  </sheetViews>
  <sheetFormatPr defaultRowHeight="15" x14ac:dyDescent="0.25"/>
  <cols>
    <col min="1" max="9" width="9.140625" style="89"/>
    <col min="10" max="10" width="9.140625" style="89" customWidth="1"/>
    <col min="11" max="11" width="9.140625" style="89"/>
    <col min="12" max="12" width="14.7109375" style="89" customWidth="1"/>
    <col min="13" max="13" width="18.140625" style="89" customWidth="1"/>
    <col min="14" max="16384" width="9.140625" style="89"/>
  </cols>
  <sheetData>
    <row r="13" spans="11:14" x14ac:dyDescent="0.25">
      <c r="L13" s="90" t="s">
        <v>148</v>
      </c>
    </row>
    <row r="16" spans="11:14" x14ac:dyDescent="0.25">
      <c r="K16" s="91" t="s">
        <v>85</v>
      </c>
      <c r="L16" s="92">
        <f>CHOOSE(Tools1!$N$11,N33,N34)</f>
        <v>0.75</v>
      </c>
      <c r="M16" s="92">
        <f>IF(L16=CP,"",CHOOSE(Tools1!$N$11,O33,O34))</f>
        <v>0.8</v>
      </c>
      <c r="N16" s="93">
        <f>CP</f>
        <v>0.78554963661571697</v>
      </c>
    </row>
    <row r="17" spans="11:14" x14ac:dyDescent="0.25">
      <c r="K17" s="94" t="s">
        <v>149</v>
      </c>
      <c r="L17" s="95"/>
      <c r="M17" s="95"/>
      <c r="N17" s="96" t="str">
        <f>IF(L16=CP,L17,IF(AND(ISNUMBER(L17),ISNUMBER(M17)),FORECAST(CP,N36:O36,N35:O35),""))</f>
        <v/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89" t="str">
        <f>IF(ISNUMBER(#REF!),submitCr1(#REF!),"")</f>
        <v/>
      </c>
    </row>
    <row r="22" spans="11:14" x14ac:dyDescent="0.25">
      <c r="L22" s="97"/>
      <c r="N22" s="89" t="str">
        <f>IF(ISNUMBER(#REF!),submitCr2(#REF!),"")</f>
        <v/>
      </c>
    </row>
    <row r="33" spans="13:17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>Enter values for Cp =0.75 &amp; 0.8</v>
      </c>
      <c r="Q33" s="87"/>
    </row>
    <row r="34" spans="13:17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>Enter values for Cp =0.78 &amp; 0.79</v>
      </c>
      <c r="Q34" s="87"/>
    </row>
    <row r="35" spans="13:17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  <c r="Q35" s="87"/>
    </row>
    <row r="36" spans="13:17" x14ac:dyDescent="0.25">
      <c r="M36" s="88">
        <v>5</v>
      </c>
      <c r="N36" s="87">
        <f>L17</f>
        <v>0</v>
      </c>
      <c r="O36" s="87">
        <f>M17</f>
        <v>0</v>
      </c>
      <c r="P36" s="87" t="str">
        <f>N17</f>
        <v/>
      </c>
      <c r="Q36" s="87"/>
    </row>
    <row r="37" spans="13:17" x14ac:dyDescent="0.25">
      <c r="M37" s="87" t="b">
        <f>(OR(M36='G&amp;H'!C43,M36='G&amp;H'!D43))</f>
        <v>1</v>
      </c>
      <c r="N37" s="87">
        <f>IF($M$37,N36,NA())</f>
        <v>0</v>
      </c>
      <c r="O37" s="87">
        <f>IF($M$37,O36,NA())</f>
        <v>0</v>
      </c>
      <c r="P37" s="87" t="str">
        <f>IF($M$37,P36,NA())</f>
        <v/>
      </c>
      <c r="Q37" s="87"/>
    </row>
    <row r="38" spans="13:17" x14ac:dyDescent="0.25">
      <c r="M38" s="87">
        <f>IF('G&amp;H'!C43='5.0'!$M$36,1,IF('G&amp;H'!D43='5.0'!$M$36,2,3))</f>
        <v>1</v>
      </c>
      <c r="N38" s="87">
        <v>0.15</v>
      </c>
      <c r="O38" s="87">
        <f>'G&amp;H'!Fn</f>
        <v>0.20803370948780098</v>
      </c>
      <c r="P38" s="87">
        <f>O38</f>
        <v>0.20803370948780098</v>
      </c>
      <c r="Q38" s="87"/>
    </row>
    <row r="39" spans="13:17" x14ac:dyDescent="0.25">
      <c r="M39" s="87"/>
      <c r="N39" s="87"/>
      <c r="O39" s="87">
        <v>0</v>
      </c>
      <c r="P39" s="87">
        <f>IF(M37,12,NA())</f>
        <v>12</v>
      </c>
      <c r="Q39" s="87"/>
    </row>
  </sheetData>
  <sheetProtection password="CB5D" sheet="1" objects="1" scenarios="1"/>
  <conditionalFormatting sqref="L13 K16:N18">
    <cfRule type="expression" dxfId="6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K13:P39"/>
  <sheetViews>
    <sheetView showGridLines="0" showRowColHeaders="0" workbookViewId="0">
      <selection activeCell="L1" sqref="L1"/>
    </sheetView>
  </sheetViews>
  <sheetFormatPr defaultRowHeight="15" x14ac:dyDescent="0.25"/>
  <cols>
    <col min="1" max="9" width="9.140625" style="77"/>
    <col min="10" max="10" width="9.140625" style="77" customWidth="1"/>
    <col min="11" max="11" width="9.140625" style="77"/>
    <col min="12" max="12" width="14.7109375" style="77" customWidth="1"/>
    <col min="13" max="13" width="18.140625" style="77" customWidth="1"/>
    <col min="14" max="16384" width="9.140625" style="77"/>
  </cols>
  <sheetData>
    <row r="13" spans="11:14" x14ac:dyDescent="0.25">
      <c r="L13" s="78" t="s">
        <v>145</v>
      </c>
    </row>
    <row r="16" spans="11:14" x14ac:dyDescent="0.25">
      <c r="K16" s="79" t="s">
        <v>85</v>
      </c>
      <c r="L16" s="80">
        <f>CHOOSE(Tools1!$N$12,N33,N34)</f>
        <v>0.75</v>
      </c>
      <c r="M16" s="80">
        <f>IF(L16=CP,"",CHOOSE(Tools1!$N$12,O33,O34))</f>
        <v>0.8</v>
      </c>
      <c r="N16" s="81">
        <f>CP</f>
        <v>0.78554963661571697</v>
      </c>
    </row>
    <row r="17" spans="11:14" x14ac:dyDescent="0.25">
      <c r="K17" s="82" t="s">
        <v>146</v>
      </c>
      <c r="L17" s="83">
        <v>1.1000000000000001</v>
      </c>
      <c r="M17" s="83">
        <v>1.42</v>
      </c>
      <c r="N17" s="84">
        <f>IF(L16=CP,L17,IF(AND(ISNUMBER(L17),ISNUMBER(M17)),FORECAST(CP,N36:O36,N35:O35),""))</f>
        <v>1.3275176743405881</v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77" t="str">
        <f>IF(ISNUMBER(#REF!),submitCr1(#REF!),"")</f>
        <v/>
      </c>
    </row>
    <row r="22" spans="11:14" x14ac:dyDescent="0.25">
      <c r="L22" s="86"/>
      <c r="N22" s="77" t="str">
        <f>IF(ISNUMBER(#REF!),submitCr2(#REF!),"")</f>
        <v/>
      </c>
    </row>
    <row r="33" spans="13:16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>Enter values for Cp =0.75 &amp; 0.8</v>
      </c>
    </row>
    <row r="34" spans="13:16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>Enter values for Cp =0.78 &amp; 0.79</v>
      </c>
    </row>
    <row r="35" spans="13:16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</row>
    <row r="36" spans="13:16" x14ac:dyDescent="0.25">
      <c r="M36" s="88">
        <v>5.5</v>
      </c>
      <c r="N36" s="87">
        <f>L17</f>
        <v>1.1000000000000001</v>
      </c>
      <c r="O36" s="87">
        <f>M17</f>
        <v>1.42</v>
      </c>
      <c r="P36" s="87">
        <f>N17</f>
        <v>1.3275176743405881</v>
      </c>
    </row>
    <row r="37" spans="13:16" x14ac:dyDescent="0.25">
      <c r="M37" s="87" t="b">
        <f>(OR(M36='G&amp;H'!C43,M36='G&amp;H'!D43))</f>
        <v>1</v>
      </c>
      <c r="N37" s="87">
        <f>IF($M$37,N36,NA())</f>
        <v>1.1000000000000001</v>
      </c>
      <c r="O37" s="87">
        <f>IF($M$37,O36,NA())</f>
        <v>1.42</v>
      </c>
      <c r="P37" s="87">
        <f>IF($M$37,P36,NA())</f>
        <v>1.3275176743405881</v>
      </c>
    </row>
    <row r="38" spans="13:16" x14ac:dyDescent="0.25">
      <c r="M38" s="87">
        <f>IF('G&amp;H'!C43='5.5'!$M$36,1,IF('G&amp;H'!D43='5.5'!$M$36,2,3))</f>
        <v>2</v>
      </c>
      <c r="N38" s="87">
        <v>0.15</v>
      </c>
      <c r="O38" s="87">
        <f>'G&amp;H'!Fn</f>
        <v>0.20803370948780098</v>
      </c>
      <c r="P38" s="87">
        <f>O38</f>
        <v>0.20803370948780098</v>
      </c>
    </row>
    <row r="39" spans="13:16" x14ac:dyDescent="0.25">
      <c r="N39" s="87"/>
      <c r="O39" s="87">
        <v>0</v>
      </c>
      <c r="P39" s="87">
        <f>IF(M37,12,NA())</f>
        <v>12</v>
      </c>
    </row>
  </sheetData>
  <sheetProtection password="CB5D" sheet="1" objects="1" scenarios="1"/>
  <conditionalFormatting sqref="L13 K16:N18">
    <cfRule type="expression" dxfId="5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K13:P39"/>
  <sheetViews>
    <sheetView showGridLines="0" showRowColHeaders="0" workbookViewId="0">
      <selection activeCell="L1" sqref="L1"/>
    </sheetView>
  </sheetViews>
  <sheetFormatPr defaultRowHeight="15" x14ac:dyDescent="0.25"/>
  <cols>
    <col min="1" max="9" width="9.140625" style="77"/>
    <col min="10" max="10" width="9.140625" style="77" customWidth="1"/>
    <col min="11" max="11" width="9.140625" style="77"/>
    <col min="12" max="12" width="14.7109375" style="77" customWidth="1"/>
    <col min="13" max="13" width="18.140625" style="77" customWidth="1"/>
    <col min="14" max="16384" width="9.140625" style="77"/>
  </cols>
  <sheetData>
    <row r="13" spans="11:14" x14ac:dyDescent="0.25">
      <c r="L13" s="78" t="s">
        <v>145</v>
      </c>
    </row>
    <row r="16" spans="11:14" x14ac:dyDescent="0.25">
      <c r="K16" s="79" t="s">
        <v>85</v>
      </c>
      <c r="L16" s="80">
        <f>CHOOSE(Tools1!$N$13,N33,N34)</f>
        <v>0.75</v>
      </c>
      <c r="M16" s="80">
        <f>IF(L16=CP,"",CHOOSE(Tools1!$N$13,O33,O34))</f>
        <v>0.8</v>
      </c>
      <c r="N16" s="81">
        <f>CP</f>
        <v>0.78554963661571697</v>
      </c>
    </row>
    <row r="17" spans="11:14" x14ac:dyDescent="0.25">
      <c r="K17" s="82" t="s">
        <v>146</v>
      </c>
      <c r="L17" s="83"/>
      <c r="M17" s="83"/>
      <c r="N17" s="84" t="str">
        <f>IF(L16=CP,L17,IF(AND(ISNUMBER(L17),ISNUMBER(M17)),FORECAST(CP,N36:O36,N35:O35),""))</f>
        <v/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77" t="str">
        <f>IF(ISNUMBER(#REF!),submitCr1(#REF!),"")</f>
        <v/>
      </c>
    </row>
    <row r="22" spans="11:14" x14ac:dyDescent="0.25">
      <c r="L22" s="86"/>
      <c r="N22" s="77" t="str">
        <f>IF(ISNUMBER(#REF!),submitCr2(#REF!),"")</f>
        <v/>
      </c>
    </row>
    <row r="33" spans="13:16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/>
      </c>
    </row>
    <row r="34" spans="13:16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/>
      </c>
    </row>
    <row r="35" spans="13:16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</row>
    <row r="36" spans="13:16" x14ac:dyDescent="0.25">
      <c r="M36" s="88">
        <v>6</v>
      </c>
      <c r="N36" s="87">
        <f>L17</f>
        <v>0</v>
      </c>
      <c r="O36" s="87">
        <f>M17</f>
        <v>0</v>
      </c>
      <c r="P36" s="87" t="str">
        <f>N17</f>
        <v/>
      </c>
    </row>
    <row r="37" spans="13:16" x14ac:dyDescent="0.25">
      <c r="M37" s="87" t="b">
        <f>(OR(M36='G&amp;H'!C43,M36='G&amp;H'!D43))</f>
        <v>0</v>
      </c>
      <c r="N37" s="87" t="e">
        <f>IF($M$37,N36,NA())</f>
        <v>#N/A</v>
      </c>
      <c r="O37" s="87" t="e">
        <f>IF($M$37,O36,NA())</f>
        <v>#N/A</v>
      </c>
      <c r="P37" s="87" t="e">
        <f>IF($M$37,P36,NA())</f>
        <v>#N/A</v>
      </c>
    </row>
    <row r="38" spans="13:16" x14ac:dyDescent="0.25">
      <c r="M38" s="87">
        <f>IF('G&amp;H'!C43='6.0'!$M$36,1,IF('G&amp;H'!D43='6.0'!$M$36,2,3))</f>
        <v>3</v>
      </c>
      <c r="N38" s="87">
        <v>0.15</v>
      </c>
      <c r="O38" s="87">
        <f>'G&amp;H'!Fn</f>
        <v>0.20803370948780098</v>
      </c>
      <c r="P38" s="87">
        <f>O38</f>
        <v>0.20803370948780098</v>
      </c>
    </row>
    <row r="39" spans="13:16" x14ac:dyDescent="0.25">
      <c r="N39" s="87"/>
      <c r="O39" s="87">
        <v>0</v>
      </c>
      <c r="P39" s="87" t="e">
        <f>IF(M37,12,NA())</f>
        <v>#N/A</v>
      </c>
    </row>
  </sheetData>
  <sheetProtection password="CB5D" sheet="1" objects="1" scenarios="1"/>
  <conditionalFormatting sqref="L13 K16:N18">
    <cfRule type="expression" dxfId="4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K13:P39"/>
  <sheetViews>
    <sheetView showGridLines="0" showRowColHeaders="0" workbookViewId="0">
      <selection activeCell="L1" sqref="L1"/>
    </sheetView>
  </sheetViews>
  <sheetFormatPr defaultRowHeight="15" x14ac:dyDescent="0.25"/>
  <cols>
    <col min="1" max="9" width="9.140625" style="77"/>
    <col min="10" max="10" width="9.140625" style="77" customWidth="1"/>
    <col min="11" max="11" width="9.140625" style="77"/>
    <col min="12" max="12" width="14.7109375" style="77" customWidth="1"/>
    <col min="13" max="13" width="18.140625" style="77" customWidth="1"/>
    <col min="14" max="16384" width="9.140625" style="77"/>
  </cols>
  <sheetData>
    <row r="13" spans="11:14" x14ac:dyDescent="0.25">
      <c r="L13" s="78" t="s">
        <v>145</v>
      </c>
    </row>
    <row r="16" spans="11:14" x14ac:dyDescent="0.25">
      <c r="K16" s="79" t="s">
        <v>85</v>
      </c>
      <c r="L16" s="80">
        <f>CHOOSE(Tools1!$N$14,N33,N34)</f>
        <v>0.75</v>
      </c>
      <c r="M16" s="80">
        <f>IF(L16=CP,"",CHOOSE(Tools1!$N$14,O33,O34))</f>
        <v>0.8</v>
      </c>
      <c r="N16" s="81">
        <f>CP</f>
        <v>0.78554963661571697</v>
      </c>
    </row>
    <row r="17" spans="11:14" x14ac:dyDescent="0.25">
      <c r="K17" s="82" t="s">
        <v>146</v>
      </c>
      <c r="L17" s="83"/>
      <c r="M17" s="83"/>
      <c r="N17" s="84" t="str">
        <f>IF(L16=CP,L17,IF(AND(ISNUMBER(L17),ISNUMBER(M17)),FORECAST(CP,N36:O36,N35:O35),""))</f>
        <v/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77" t="str">
        <f>IF(ISNUMBER(#REF!),submitCr1(#REF!),"")</f>
        <v/>
      </c>
    </row>
    <row r="22" spans="11:14" x14ac:dyDescent="0.25">
      <c r="L22" s="86"/>
      <c r="N22" s="77" t="str">
        <f>IF(ISNUMBER(#REF!),submitCr2(#REF!),"")</f>
        <v/>
      </c>
    </row>
    <row r="33" spans="13:16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/>
      </c>
    </row>
    <row r="34" spans="13:16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/>
      </c>
    </row>
    <row r="35" spans="13:16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</row>
    <row r="36" spans="13:16" x14ac:dyDescent="0.25">
      <c r="M36" s="88">
        <v>6.5</v>
      </c>
      <c r="N36" s="87">
        <f>L17</f>
        <v>0</v>
      </c>
      <c r="O36" s="87">
        <f>M17</f>
        <v>0</v>
      </c>
      <c r="P36" s="87" t="str">
        <f>N17</f>
        <v/>
      </c>
    </row>
    <row r="37" spans="13:16" x14ac:dyDescent="0.25">
      <c r="M37" s="87" t="b">
        <f>(OR(M36='G&amp;H'!C43,M36='G&amp;H'!D43))</f>
        <v>0</v>
      </c>
      <c r="N37" s="87" t="e">
        <f>IF($M$37,N36,NA())</f>
        <v>#N/A</v>
      </c>
      <c r="O37" s="87" t="e">
        <f>IF($M$37,O36,NA())</f>
        <v>#N/A</v>
      </c>
      <c r="P37" s="87" t="e">
        <f>IF($M$37,P36,NA())</f>
        <v>#N/A</v>
      </c>
    </row>
    <row r="38" spans="13:16" x14ac:dyDescent="0.25">
      <c r="M38" s="87">
        <f>IF('G&amp;H'!C43='6.5'!$M$36,1,IF('G&amp;H'!D43='6.5'!$M$36,2,3))</f>
        <v>3</v>
      </c>
      <c r="N38" s="87">
        <v>0.15</v>
      </c>
      <c r="O38" s="87">
        <f>'G&amp;H'!Fn</f>
        <v>0.20803370948780098</v>
      </c>
      <c r="P38" s="87">
        <f>O38</f>
        <v>0.20803370948780098</v>
      </c>
    </row>
    <row r="39" spans="13:16" x14ac:dyDescent="0.25">
      <c r="N39" s="87"/>
      <c r="O39" s="87">
        <v>0</v>
      </c>
      <c r="P39" s="87" t="e">
        <f>IF(M37,12,NA())</f>
        <v>#N/A</v>
      </c>
    </row>
  </sheetData>
  <sheetProtection password="CB5D" sheet="1" objects="1" scenarios="1"/>
  <conditionalFormatting sqref="L13 K16:N18">
    <cfRule type="expression" dxfId="3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K13:P39"/>
  <sheetViews>
    <sheetView showGridLines="0" showRowColHeaders="0" workbookViewId="0">
      <selection activeCell="L1" sqref="L1"/>
    </sheetView>
  </sheetViews>
  <sheetFormatPr defaultRowHeight="15" x14ac:dyDescent="0.25"/>
  <cols>
    <col min="1" max="9" width="9.140625" style="77"/>
    <col min="10" max="10" width="9.140625" style="77" customWidth="1"/>
    <col min="11" max="11" width="9.140625" style="77"/>
    <col min="12" max="12" width="14.7109375" style="77" customWidth="1"/>
    <col min="13" max="13" width="18.140625" style="77" customWidth="1"/>
    <col min="14" max="16384" width="9.140625" style="77"/>
  </cols>
  <sheetData>
    <row r="13" spans="11:14" x14ac:dyDescent="0.25">
      <c r="L13" s="78" t="s">
        <v>145</v>
      </c>
    </row>
    <row r="16" spans="11:14" x14ac:dyDescent="0.25">
      <c r="K16" s="79" t="s">
        <v>85</v>
      </c>
      <c r="L16" s="80">
        <f>CHOOSE(Tools1!$N$15,N33,N34)</f>
        <v>0.75</v>
      </c>
      <c r="M16" s="80">
        <f>IF(L16=CP,"",CHOOSE(Tools1!$N$15,O33,O34))</f>
        <v>0.8</v>
      </c>
      <c r="N16" s="81">
        <f>CP</f>
        <v>0.78554963661571697</v>
      </c>
    </row>
    <row r="17" spans="11:14" x14ac:dyDescent="0.25">
      <c r="K17" s="82" t="s">
        <v>146</v>
      </c>
      <c r="L17" s="83"/>
      <c r="M17" s="83"/>
      <c r="N17" s="84" t="str">
        <f>IF(L16=CP,L17,IF(AND(ISNUMBER(L17),ISNUMBER(M17)),FORECAST(CP,N36:O36,N35:O35),""))</f>
        <v/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77" t="str">
        <f>IF(ISNUMBER(#REF!),submitCr1(#REF!),"")</f>
        <v/>
      </c>
    </row>
    <row r="22" spans="11:14" x14ac:dyDescent="0.25">
      <c r="L22" s="86"/>
      <c r="N22" s="77" t="str">
        <f>IF(ISNUMBER(#REF!),submitCr2(#REF!),"")</f>
        <v/>
      </c>
    </row>
    <row r="33" spans="13:16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/>
      </c>
    </row>
    <row r="34" spans="13:16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/>
      </c>
    </row>
    <row r="35" spans="13:16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</row>
    <row r="36" spans="13:16" x14ac:dyDescent="0.25">
      <c r="M36" s="88">
        <v>7</v>
      </c>
      <c r="N36" s="87">
        <f>L17</f>
        <v>0</v>
      </c>
      <c r="O36" s="87">
        <f>M17</f>
        <v>0</v>
      </c>
      <c r="P36" s="87" t="str">
        <f>N17</f>
        <v/>
      </c>
    </row>
    <row r="37" spans="13:16" x14ac:dyDescent="0.25">
      <c r="M37" s="87" t="b">
        <f>(OR(M36='G&amp;H'!C43,M36='G&amp;H'!D43))</f>
        <v>0</v>
      </c>
      <c r="N37" s="87" t="e">
        <f>IF($M$37,N36,NA())</f>
        <v>#N/A</v>
      </c>
      <c r="O37" s="87" t="e">
        <f>IF($M$37,O36,NA())</f>
        <v>#N/A</v>
      </c>
      <c r="P37" s="87" t="e">
        <f>IF($M$37,P36,NA())</f>
        <v>#N/A</v>
      </c>
    </row>
    <row r="38" spans="13:16" x14ac:dyDescent="0.25">
      <c r="M38" s="87">
        <f>IF('G&amp;H'!C43='7.0'!$M$36,1,IF('G&amp;H'!D43='7.0'!$M$36,2,3))</f>
        <v>3</v>
      </c>
      <c r="N38" s="87">
        <v>0.15</v>
      </c>
      <c r="O38" s="87">
        <f>'G&amp;H'!Fn</f>
        <v>0.20803370948780098</v>
      </c>
      <c r="P38" s="87">
        <f>O38</f>
        <v>0.20803370948780098</v>
      </c>
    </row>
    <row r="39" spans="13:16" x14ac:dyDescent="0.25">
      <c r="N39" s="87"/>
      <c r="O39" s="87">
        <v>0</v>
      </c>
      <c r="P39" s="87" t="e">
        <f>IF(M37,12,NA())</f>
        <v>#N/A</v>
      </c>
    </row>
  </sheetData>
  <sheetProtection password="CB5D" sheet="1" objects="1" scenarios="1"/>
  <conditionalFormatting sqref="L13 K16:N18">
    <cfRule type="expression" dxfId="2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K13:P39"/>
  <sheetViews>
    <sheetView showGridLines="0" showRowColHeaders="0" workbookViewId="0">
      <selection activeCell="L1" sqref="L1"/>
    </sheetView>
  </sheetViews>
  <sheetFormatPr defaultRowHeight="15" x14ac:dyDescent="0.25"/>
  <cols>
    <col min="1" max="9" width="9.140625" style="77"/>
    <col min="10" max="10" width="9.140625" style="77" customWidth="1"/>
    <col min="11" max="11" width="9.140625" style="77"/>
    <col min="12" max="12" width="14.7109375" style="77" customWidth="1"/>
    <col min="13" max="13" width="18.140625" style="77" customWidth="1"/>
    <col min="14" max="16384" width="9.140625" style="77"/>
  </cols>
  <sheetData>
    <row r="13" spans="11:14" x14ac:dyDescent="0.25">
      <c r="L13" s="78" t="s">
        <v>145</v>
      </c>
    </row>
    <row r="16" spans="11:14" x14ac:dyDescent="0.25">
      <c r="K16" s="79" t="s">
        <v>85</v>
      </c>
      <c r="L16" s="80">
        <f>CHOOSE(Tools1!$N$16,N33,N34)</f>
        <v>0.75</v>
      </c>
      <c r="M16" s="80">
        <f>IF(L16=CP,"",CHOOSE(Tools1!$N$16,O33,O34))</f>
        <v>0.8</v>
      </c>
      <c r="N16" s="81">
        <f>CP</f>
        <v>0.78554963661571697</v>
      </c>
    </row>
    <row r="17" spans="11:14" x14ac:dyDescent="0.25">
      <c r="K17" s="82" t="s">
        <v>146</v>
      </c>
      <c r="L17" s="83"/>
      <c r="M17" s="83"/>
      <c r="N17" s="84" t="str">
        <f>IF(L16=CP,L17,IF(AND(ISNUMBER(L17),ISNUMBER(M17)),FORECAST(CP,N36:O36,N35:O35),""))</f>
        <v/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77" t="str">
        <f>IF(ISNUMBER(#REF!),submitCr1(#REF!),"")</f>
        <v/>
      </c>
    </row>
    <row r="22" spans="11:14" x14ac:dyDescent="0.25">
      <c r="L22" s="86"/>
      <c r="N22" s="77" t="str">
        <f>IF(ISNUMBER(#REF!),submitCr2(#REF!),"")</f>
        <v/>
      </c>
    </row>
    <row r="33" spans="13:16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/>
      </c>
    </row>
    <row r="34" spans="13:16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/>
      </c>
    </row>
    <row r="35" spans="13:16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</row>
    <row r="36" spans="13:16" x14ac:dyDescent="0.25">
      <c r="M36" s="88">
        <v>7.5</v>
      </c>
      <c r="N36" s="87">
        <f>L17</f>
        <v>0</v>
      </c>
      <c r="O36" s="87">
        <f>M17</f>
        <v>0</v>
      </c>
      <c r="P36" s="87" t="str">
        <f>N17</f>
        <v/>
      </c>
    </row>
    <row r="37" spans="13:16" x14ac:dyDescent="0.25">
      <c r="M37" s="87" t="b">
        <f>(OR(M36='G&amp;H'!C43,M36='G&amp;H'!D43))</f>
        <v>0</v>
      </c>
      <c r="N37" s="87" t="e">
        <f>IF($M$37,N36,NA())</f>
        <v>#N/A</v>
      </c>
      <c r="O37" s="87" t="e">
        <f>IF($M$37,O36,NA())</f>
        <v>#N/A</v>
      </c>
      <c r="P37" s="87" t="e">
        <f>IF($M$37,P36,NA())</f>
        <v>#N/A</v>
      </c>
    </row>
    <row r="38" spans="13:16" x14ac:dyDescent="0.25">
      <c r="M38" s="87">
        <f>IF('G&amp;H'!C43='7.5'!$M$36,1,IF('G&amp;H'!D43='7.5'!$M$36,2,3))</f>
        <v>3</v>
      </c>
      <c r="N38" s="87">
        <v>0.15</v>
      </c>
      <c r="O38" s="87">
        <f>'G&amp;H'!Fn</f>
        <v>0.20803370948780098</v>
      </c>
      <c r="P38" s="87">
        <f>O38</f>
        <v>0.20803370948780098</v>
      </c>
    </row>
    <row r="39" spans="13:16" x14ac:dyDescent="0.25">
      <c r="N39" s="87"/>
      <c r="O39" s="87">
        <v>0</v>
      </c>
      <c r="P39" s="87" t="e">
        <f>IF(M37,12,NA())</f>
        <v>#N/A</v>
      </c>
    </row>
  </sheetData>
  <sheetProtection password="CB5D" sheet="1" objects="1" scenarios="1"/>
  <conditionalFormatting sqref="L13 K16:N18">
    <cfRule type="expression" dxfId="1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K13:P39"/>
  <sheetViews>
    <sheetView showGridLines="0" showRowColHeaders="0" workbookViewId="0">
      <selection activeCell="L1" sqref="L1"/>
    </sheetView>
  </sheetViews>
  <sheetFormatPr defaultRowHeight="15" x14ac:dyDescent="0.25"/>
  <cols>
    <col min="1" max="9" width="9.140625" style="77"/>
    <col min="10" max="10" width="9.140625" style="77" customWidth="1"/>
    <col min="11" max="11" width="9.140625" style="77"/>
    <col min="12" max="12" width="14.7109375" style="77" customWidth="1"/>
    <col min="13" max="13" width="18.140625" style="77" customWidth="1"/>
    <col min="14" max="16384" width="9.140625" style="77"/>
  </cols>
  <sheetData>
    <row r="13" spans="11:14" x14ac:dyDescent="0.25">
      <c r="L13" s="78" t="s">
        <v>145</v>
      </c>
    </row>
    <row r="16" spans="11:14" x14ac:dyDescent="0.25">
      <c r="K16" s="79" t="s">
        <v>85</v>
      </c>
      <c r="L16" s="80">
        <f>CHOOSE(Tools1!$N$17,N33,N34)</f>
        <v>0.75</v>
      </c>
      <c r="M16" s="80">
        <f>IF(L16=CP,"",CHOOSE(Tools1!$N$17,O33,O34))</f>
        <v>0.8</v>
      </c>
      <c r="N16" s="81">
        <f>CP</f>
        <v>0.78554963661571697</v>
      </c>
    </row>
    <row r="17" spans="11:14" x14ac:dyDescent="0.25">
      <c r="K17" s="82" t="s">
        <v>146</v>
      </c>
      <c r="L17" s="83"/>
      <c r="M17" s="83"/>
      <c r="N17" s="84" t="str">
        <f>IF(L16=CP,L17,IF(AND(ISNUMBER(L17),ISNUMBER(M17)),FORECAST(CP,N36:O36,N35:O35),""))</f>
        <v/>
      </c>
    </row>
    <row r="18" spans="11:14" x14ac:dyDescent="0.25">
      <c r="L18" s="85" t="s">
        <v>147</v>
      </c>
      <c r="M18" s="85" t="s">
        <v>147</v>
      </c>
    </row>
    <row r="21" spans="11:14" x14ac:dyDescent="0.25">
      <c r="N21" s="77" t="str">
        <f>IF(ISNUMBER(#REF!),submitCr1(#REF!),"")</f>
        <v/>
      </c>
    </row>
    <row r="22" spans="11:14" x14ac:dyDescent="0.25">
      <c r="L22" s="86"/>
      <c r="N22" s="77" t="str">
        <f>IF(ISNUMBER(#REF!),submitCr2(#REF!),"")</f>
        <v/>
      </c>
    </row>
    <row r="33" spans="13:16" x14ac:dyDescent="0.25">
      <c r="M33" s="87"/>
      <c r="N33" s="87">
        <f>IF(CP&lt;0.5,0.5,IF(CP&gt;0.8,0.8,IF(CP-ROUNDDOWN(CP,1)&lt;0.05,ROUNDDOWN(CP,1),IF(CP-ROUNDDOWN(CP,1)&gt;=0.05,ROUNDDOWN(CP,1)+0.05,"  "))))</f>
        <v>0.75</v>
      </c>
      <c r="O33" s="87">
        <f>IF(N33=CP,"",N33+0.05)</f>
        <v>0.8</v>
      </c>
      <c r="P33" s="87" t="str">
        <f>IF(M37,IF(N33=CP,CP,CONCATENATE("Enter values for Cp =",N33," &amp; ",O33)),"")</f>
        <v/>
      </c>
    </row>
    <row r="34" spans="13:16" x14ac:dyDescent="0.25">
      <c r="M34" s="87"/>
      <c r="N34" s="87">
        <f>(ROUNDDOWN(CP,2))</f>
        <v>0.78</v>
      </c>
      <c r="O34" s="87">
        <f>IF(N34=CP,"",ROUNDUP(CP,2))</f>
        <v>0.79</v>
      </c>
      <c r="P34" s="87" t="str">
        <f>IF(M37,IF(N34=CP,CP,CONCATENATE("Enter values for Cp =",N34," &amp; ",O34)),"")</f>
        <v/>
      </c>
    </row>
    <row r="35" spans="13:16" x14ac:dyDescent="0.25">
      <c r="M35" s="87"/>
      <c r="N35" s="87">
        <f>L16</f>
        <v>0.75</v>
      </c>
      <c r="O35" s="87">
        <f>M16</f>
        <v>0.8</v>
      </c>
      <c r="P35" s="87">
        <f>CP</f>
        <v>0.78554963661571697</v>
      </c>
    </row>
    <row r="36" spans="13:16" x14ac:dyDescent="0.25">
      <c r="M36" s="88">
        <v>8</v>
      </c>
      <c r="N36" s="87">
        <f>L17</f>
        <v>0</v>
      </c>
      <c r="O36" s="87">
        <f>M17</f>
        <v>0</v>
      </c>
      <c r="P36" s="87" t="str">
        <f>N17</f>
        <v/>
      </c>
    </row>
    <row r="37" spans="13:16" x14ac:dyDescent="0.25">
      <c r="M37" s="87" t="b">
        <f>(OR(M36='G&amp;H'!C43,M36='G&amp;H'!D43))</f>
        <v>0</v>
      </c>
      <c r="N37" s="87" t="e">
        <f>IF($M$37,N36,NA())</f>
        <v>#N/A</v>
      </c>
      <c r="O37" s="87" t="e">
        <f>IF($M$37,O36,NA())</f>
        <v>#N/A</v>
      </c>
      <c r="P37" s="87" t="e">
        <f>IF($M$37,P36,NA())</f>
        <v>#N/A</v>
      </c>
    </row>
    <row r="38" spans="13:16" x14ac:dyDescent="0.25">
      <c r="M38" s="87">
        <f>IF('G&amp;H'!C43='8.0'!$M$36,1,IF('G&amp;H'!D43='8.0'!$M$36,2,3))</f>
        <v>3</v>
      </c>
      <c r="N38" s="87">
        <v>0.15</v>
      </c>
      <c r="O38" s="87">
        <f>'G&amp;H'!Fn</f>
        <v>0.20803370948780098</v>
      </c>
      <c r="P38" s="87">
        <f>O38</f>
        <v>0.20803370948780098</v>
      </c>
    </row>
    <row r="39" spans="13:16" x14ac:dyDescent="0.25">
      <c r="N39" s="87"/>
      <c r="O39" s="87">
        <v>0</v>
      </c>
      <c r="P39" s="87" t="e">
        <f>IF(M37,12,NA())</f>
        <v>#N/A</v>
      </c>
    </row>
  </sheetData>
  <sheetProtection password="CB5D" sheet="1" objects="1" scenarios="1"/>
  <conditionalFormatting sqref="L13 K16:N18">
    <cfRule type="expression" dxfId="0" priority="1">
      <formula>NOT($M$37)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ist Box 1">
              <controlPr defaultSize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923925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6_Click" altText="Submit">
                <anchor moveWithCells="1" sizeWithCells="1">
                  <from>
                    <xdr:col>12</xdr:col>
                    <xdr:colOff>1181100</xdr:colOff>
                    <xdr:row>17</xdr:row>
                    <xdr:rowOff>133350</xdr:rowOff>
                  </from>
                  <to>
                    <xdr:col>14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Button1_Click">
                <anchor moveWithCells="1" sizeWithCells="1">
                  <from>
                    <xdr:col>11</xdr:col>
                    <xdr:colOff>485775</xdr:colOff>
                    <xdr:row>8</xdr:row>
                    <xdr:rowOff>104775</xdr:rowOff>
                  </from>
                  <to>
                    <xdr:col>12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Button2_Click">
                <anchor moveWithCells="1" sizeWithCells="1">
                  <from>
                    <xdr:col>12</xdr:col>
                    <xdr:colOff>800100</xdr:colOff>
                    <xdr:row>8</xdr:row>
                    <xdr:rowOff>76200</xdr:rowOff>
                  </from>
                  <to>
                    <xdr:col>13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_xludf.Clear">
                <anchor moveWithCells="1" sizeWithCells="1">
                  <from>
                    <xdr:col>12</xdr:col>
                    <xdr:colOff>285750</xdr:colOff>
                    <xdr:row>17</xdr:row>
                    <xdr:rowOff>142875</xdr:rowOff>
                  </from>
                  <to>
                    <xdr:col>12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E35"/>
  <sheetViews>
    <sheetView zoomScale="70" zoomScaleNormal="70" workbookViewId="0">
      <selection activeCell="K22" sqref="K22"/>
    </sheetView>
  </sheetViews>
  <sheetFormatPr defaultRowHeight="15" x14ac:dyDescent="0.25"/>
  <sheetData>
    <row r="2" spans="2:31" x14ac:dyDescent="0.25">
      <c r="V2" s="98"/>
      <c r="W2" s="98"/>
      <c r="X2" s="98"/>
      <c r="Y2" s="98"/>
      <c r="Z2" s="98">
        <v>0.85</v>
      </c>
      <c r="AA2" s="98"/>
      <c r="AB2" s="98"/>
      <c r="AC2" s="98"/>
      <c r="AD2" s="98" t="e">
        <f>AD3</f>
        <v>#N/A</v>
      </c>
      <c r="AE2" s="98"/>
    </row>
    <row r="3" spans="2:31" x14ac:dyDescent="0.25">
      <c r="B3" s="99"/>
      <c r="C3" s="99"/>
      <c r="D3" s="99"/>
      <c r="E3" s="99"/>
      <c r="F3" s="99"/>
      <c r="G3" s="99"/>
      <c r="H3" s="99"/>
      <c r="V3" s="98"/>
      <c r="W3" s="98"/>
      <c r="X3" s="98"/>
      <c r="Y3" s="98"/>
      <c r="Z3" s="98">
        <v>0.113</v>
      </c>
      <c r="AA3" s="98">
        <v>0</v>
      </c>
      <c r="AB3" s="98" t="e">
        <f>IF(OR('G&amp;H'!$C$67=$Z2,'G&amp;H'!$C$68=$Z2),Z3,NA())</f>
        <v>#N/A</v>
      </c>
      <c r="AC3" s="98" t="e">
        <f>IF(OR('G&amp;H'!$C$67=$Z2,'G&amp;H'!$C$68=$Z2),AA3,NA())</f>
        <v>#N/A</v>
      </c>
      <c r="AD3" s="98" t="e">
        <f>AD4</f>
        <v>#N/A</v>
      </c>
      <c r="AE3" s="98"/>
    </row>
    <row r="4" spans="2:31" ht="18.75" x14ac:dyDescent="0.3">
      <c r="B4" s="99"/>
      <c r="C4" s="100" t="str">
        <f>"(From graphs)"</f>
        <v>(From graphs)</v>
      </c>
      <c r="D4" s="99"/>
      <c r="E4" s="99"/>
      <c r="F4" s="99"/>
      <c r="G4" s="99"/>
      <c r="H4" s="99"/>
      <c r="Q4" s="101" t="s">
        <v>150</v>
      </c>
      <c r="R4" s="102"/>
      <c r="S4" s="102"/>
      <c r="T4" s="103"/>
      <c r="V4" s="98"/>
      <c r="W4" s="98"/>
      <c r="X4" s="98"/>
      <c r="Y4" s="98"/>
      <c r="Z4" s="98">
        <v>0.2034</v>
      </c>
      <c r="AA4" s="98">
        <v>0.57099999999999995</v>
      </c>
      <c r="AB4" s="98" t="e">
        <f>IF(OR('G&amp;H'!$C$67=$Z2,'G&amp;H'!$C$68=$Z2),Z4,NA())</f>
        <v>#N/A</v>
      </c>
      <c r="AC4" s="98" t="e">
        <f>IF(OR('G&amp;H'!$C$67=$Z2,'G&amp;H'!$C$68=$Z2),AA4,NA())</f>
        <v>#N/A</v>
      </c>
      <c r="AD4" s="104" t="e">
        <f>IF(OR('G&amp;H'!$C$67=$Z2,'G&amp;H'!$C$68=$Z2),AA4/(Z4-Z3)*('G&amp;H'!Fn-Z3),NA())</f>
        <v>#N/A</v>
      </c>
      <c r="AE4" s="98"/>
    </row>
    <row r="5" spans="2:31" x14ac:dyDescent="0.25">
      <c r="B5" s="99"/>
      <c r="C5" s="100" t="str">
        <f>"(By empirical procedure)"</f>
        <v>(By empirical procedure)</v>
      </c>
      <c r="D5" s="99"/>
      <c r="E5" s="99"/>
      <c r="F5" s="99"/>
      <c r="G5" s="99"/>
      <c r="H5" s="99"/>
      <c r="Q5" s="105" t="s">
        <v>151</v>
      </c>
      <c r="R5" s="106" t="str">
        <f>IF(ISNUMBER([0]!V),"",Tools1!Q5)</f>
        <v/>
      </c>
      <c r="S5" s="106">
        <f>IF(ISNUMBER([0]!V),1,0)</f>
        <v>1</v>
      </c>
      <c r="T5" s="107"/>
      <c r="V5" s="98"/>
      <c r="W5" s="98"/>
      <c r="X5" s="98"/>
      <c r="Y5" s="98"/>
      <c r="Z5" s="98"/>
      <c r="AA5" s="98"/>
      <c r="AB5" s="98"/>
      <c r="AC5" s="98"/>
      <c r="AD5" s="98"/>
      <c r="AE5" s="98"/>
    </row>
    <row r="6" spans="2:31" x14ac:dyDescent="0.25">
      <c r="B6" s="99"/>
      <c r="C6" s="99"/>
      <c r="D6" s="99"/>
      <c r="E6" s="99"/>
      <c r="F6" s="99"/>
      <c r="G6" s="99"/>
      <c r="H6" s="99"/>
      <c r="Q6" s="105" t="s">
        <v>152</v>
      </c>
      <c r="R6" s="106" t="str">
        <f>IF(ISNUMBER([0]!h),"",Tools1!Q6)</f>
        <v>Shallow water depth</v>
      </c>
      <c r="S6" s="106">
        <f>IF(ISNUMBER([0]!h),1,0)</f>
        <v>0</v>
      </c>
      <c r="T6" s="107"/>
      <c r="V6" s="98"/>
      <c r="W6" s="98"/>
      <c r="X6" s="98"/>
      <c r="Y6" s="98"/>
      <c r="Z6" s="98">
        <v>0.8</v>
      </c>
      <c r="AA6" s="98"/>
      <c r="AB6" s="98"/>
      <c r="AC6" s="98"/>
      <c r="AD6" s="98">
        <f>AD7</f>
        <v>0.30983820716568966</v>
      </c>
      <c r="AE6" s="98"/>
    </row>
    <row r="7" spans="2:31" x14ac:dyDescent="0.25">
      <c r="B7" s="99"/>
      <c r="C7" s="99"/>
      <c r="D7" s="100">
        <v>3</v>
      </c>
      <c r="E7" s="100">
        <v>0.1</v>
      </c>
      <c r="F7" s="100">
        <f>'G&amp;H'!C39</f>
        <v>0.20803370948780098</v>
      </c>
      <c r="G7" s="100">
        <f>F7</f>
        <v>0.20803370948780098</v>
      </c>
      <c r="H7" s="99"/>
      <c r="Q7" s="105"/>
      <c r="R7" s="106"/>
      <c r="S7" s="106"/>
      <c r="T7" s="107"/>
      <c r="V7" s="98"/>
      <c r="W7" s="98"/>
      <c r="X7" s="98"/>
      <c r="Y7" s="98"/>
      <c r="Z7" s="98">
        <v>0.15720000000000001</v>
      </c>
      <c r="AA7" s="98">
        <v>0</v>
      </c>
      <c r="AB7" s="98">
        <f>IF(OR('G&amp;H'!$C$67=$Z6,'G&amp;H'!$C$68=$Z6),Z7,NA())</f>
        <v>0.15720000000000001</v>
      </c>
      <c r="AC7" s="98">
        <f>IF(OR('G&amp;H'!$C$67=$Z6,'G&amp;H'!$C$68=$Z6),AA7,NA())</f>
        <v>0</v>
      </c>
      <c r="AD7" s="98">
        <f>AD8</f>
        <v>0.30983820716568966</v>
      </c>
      <c r="AE7" s="98"/>
    </row>
    <row r="8" spans="2:31" x14ac:dyDescent="0.25">
      <c r="B8" s="99"/>
      <c r="C8" s="99"/>
      <c r="D8" s="100">
        <v>-3</v>
      </c>
      <c r="E8" s="100">
        <f>'G&amp;H'!C59</f>
        <v>0.27519987804894885</v>
      </c>
      <c r="F8" s="100">
        <f>E8</f>
        <v>0.27519987804894885</v>
      </c>
      <c r="G8" s="100">
        <v>-3</v>
      </c>
      <c r="H8" s="99"/>
      <c r="Q8" s="108"/>
      <c r="R8" s="109" t="s">
        <v>153</v>
      </c>
      <c r="S8" s="110" t="str">
        <f>IF(S5+S6=2,"",IF(S5+S6=1,CONCATENATE("Enter ",R5,R6),IF(S5+S6=0,CONCATENATE("Enter ",Q5," and ",Q6),"")))</f>
        <v>Enter Shallow water depth</v>
      </c>
      <c r="T8" s="111" t="str">
        <f>IF(ISNUMBER(AMID),"","Midship area not available")</f>
        <v/>
      </c>
      <c r="V8" s="98"/>
      <c r="W8" s="98"/>
      <c r="X8" s="98"/>
      <c r="Y8" s="98"/>
      <c r="Z8" s="98">
        <v>0.24759999999999999</v>
      </c>
      <c r="AA8" s="98">
        <v>0.55100000000000005</v>
      </c>
      <c r="AB8" s="98">
        <f>IF(OR('G&amp;H'!$C$67=$Z6,'G&amp;H'!$C$68=$Z6),Z8,NA())</f>
        <v>0.24759999999999999</v>
      </c>
      <c r="AC8" s="98">
        <f>IF(OR('G&amp;H'!$C$67=$Z6,'G&amp;H'!$C$68=$Z6),AA8,NA())</f>
        <v>0.55100000000000005</v>
      </c>
      <c r="AD8" s="104">
        <f>IF(OR('G&amp;H'!$C$67=$Z6,'G&amp;H'!$C$68=$Z6),AA8/(Z8-Z7)*('G&amp;H'!Fn-Z7),NA())</f>
        <v>0.30983820716568966</v>
      </c>
      <c r="AE8" s="98"/>
    </row>
    <row r="9" spans="2:31" x14ac:dyDescent="0.25">
      <c r="B9" s="99"/>
      <c r="C9" s="99"/>
      <c r="D9" s="100">
        <v>0.08</v>
      </c>
      <c r="E9" s="100">
        <v>0.105</v>
      </c>
      <c r="F9" s="100">
        <f>0.145</f>
        <v>0.14499999999999999</v>
      </c>
      <c r="G9" s="99"/>
      <c r="H9" s="99"/>
      <c r="M9">
        <v>4</v>
      </c>
      <c r="N9" s="112">
        <v>1</v>
      </c>
      <c r="V9" s="98"/>
      <c r="W9" s="98"/>
      <c r="X9" s="98"/>
      <c r="Y9" s="98"/>
      <c r="Z9" s="98"/>
      <c r="AA9" s="98"/>
      <c r="AB9" s="98"/>
      <c r="AC9" s="98"/>
      <c r="AD9" s="98"/>
      <c r="AE9" s="98"/>
    </row>
    <row r="10" spans="2:31" x14ac:dyDescent="0.25">
      <c r="B10" s="99"/>
      <c r="C10" s="99"/>
      <c r="D10" s="100">
        <f>LCB/LBP*100</f>
        <v>2.0891779379411686</v>
      </c>
      <c r="E10" s="100">
        <f>D10</f>
        <v>2.0891779379411686</v>
      </c>
      <c r="F10" s="100">
        <v>0.2838</v>
      </c>
      <c r="G10" s="99"/>
      <c r="H10" s="99"/>
      <c r="M10">
        <v>4.5</v>
      </c>
      <c r="N10" s="112">
        <v>1</v>
      </c>
      <c r="V10" s="98"/>
      <c r="W10" s="98"/>
      <c r="X10" s="98"/>
      <c r="Y10" s="98"/>
      <c r="Z10" s="98">
        <v>0.75</v>
      </c>
      <c r="AA10" s="98"/>
      <c r="AB10" s="98"/>
      <c r="AC10" s="98"/>
      <c r="AD10" s="98">
        <f>AD11</f>
        <v>0.151048330941599</v>
      </c>
      <c r="AE10" s="98"/>
    </row>
    <row r="11" spans="2:31" x14ac:dyDescent="0.25">
      <c r="B11" s="99"/>
      <c r="C11" s="99"/>
      <c r="D11" s="99"/>
      <c r="E11" s="99"/>
      <c r="F11" s="99"/>
      <c r="G11" s="99"/>
      <c r="H11" s="99"/>
      <c r="M11">
        <v>5</v>
      </c>
      <c r="N11" s="112">
        <v>1</v>
      </c>
      <c r="V11" s="98"/>
      <c r="W11" s="98"/>
      <c r="X11" s="98"/>
      <c r="Y11" s="98"/>
      <c r="Z11" s="98">
        <v>0.17774999999999999</v>
      </c>
      <c r="AA11" s="98">
        <v>0</v>
      </c>
      <c r="AB11" s="98">
        <f>IF(OR('G&amp;H'!$C$67=$Z10,'G&amp;H'!$C$68=$Z10),Z11,NA())</f>
        <v>0.17774999999999999</v>
      </c>
      <c r="AC11" s="98">
        <f>IF(OR('G&amp;H'!$C$67=$Z10,'G&amp;H'!$C$68=$Z10),AA11,NA())</f>
        <v>0</v>
      </c>
      <c r="AD11" s="98">
        <f>AD12</f>
        <v>0.151048330941599</v>
      </c>
      <c r="AE11" s="98"/>
    </row>
    <row r="12" spans="2:31" x14ac:dyDescent="0.25">
      <c r="B12" s="99"/>
      <c r="C12" s="99"/>
      <c r="D12" s="99"/>
      <c r="E12" s="99"/>
      <c r="F12" s="99"/>
      <c r="G12" s="99"/>
      <c r="H12" s="99"/>
      <c r="M12">
        <v>5.5</v>
      </c>
      <c r="N12" s="112">
        <v>1</v>
      </c>
      <c r="V12" s="98"/>
      <c r="W12" s="98"/>
      <c r="X12" s="98"/>
      <c r="Y12" s="98"/>
      <c r="Z12" s="98">
        <v>0.28000000000000003</v>
      </c>
      <c r="AA12" s="98">
        <v>0.51</v>
      </c>
      <c r="AB12" s="98">
        <f>IF(OR('G&amp;H'!$C$67=$Z10,'G&amp;H'!$C$68=$Z10),Z12,NA())</f>
        <v>0.28000000000000003</v>
      </c>
      <c r="AC12" s="98">
        <f>IF(OR('G&amp;H'!$C$67=$Z10,'G&amp;H'!$C$68=$Z10),AA12,NA())</f>
        <v>0.51</v>
      </c>
      <c r="AD12" s="104">
        <f>IF(OR('G&amp;H'!$C$67=$Z10,'G&amp;H'!$C$68=$Z10),AA12/(Z12-Z11)*('G&amp;H'!Fn-Z11),NA())</f>
        <v>0.151048330941599</v>
      </c>
      <c r="AE12" s="98"/>
    </row>
    <row r="13" spans="2:31" ht="19.5" x14ac:dyDescent="0.35">
      <c r="B13" s="99"/>
      <c r="C13" s="113" t="s">
        <v>154</v>
      </c>
      <c r="D13" s="114" t="s">
        <v>155</v>
      </c>
      <c r="E13" s="99"/>
      <c r="F13" s="99"/>
      <c r="G13" s="99"/>
      <c r="H13" s="99"/>
      <c r="M13">
        <v>6</v>
      </c>
      <c r="N13" s="112">
        <v>1</v>
      </c>
      <c r="O13" s="101" t="s">
        <v>156</v>
      </c>
      <c r="P13" s="102"/>
      <c r="Q13" s="102"/>
      <c r="R13" s="102"/>
      <c r="S13" s="102"/>
      <c r="T13" s="103"/>
      <c r="V13" s="98"/>
      <c r="W13" s="98"/>
      <c r="X13" s="98"/>
      <c r="Y13" s="98"/>
      <c r="Z13" s="98"/>
      <c r="AA13" s="98"/>
      <c r="AB13" s="98"/>
      <c r="AC13" s="98"/>
      <c r="AD13" s="98"/>
      <c r="AE13" s="98"/>
    </row>
    <row r="14" spans="2:31" x14ac:dyDescent="0.25">
      <c r="B14" s="99"/>
      <c r="C14" s="99"/>
      <c r="D14" s="99"/>
      <c r="E14" s="99"/>
      <c r="F14" s="99"/>
      <c r="G14" s="99"/>
      <c r="H14" s="99"/>
      <c r="M14">
        <v>6.5</v>
      </c>
      <c r="N14" s="112">
        <v>1</v>
      </c>
      <c r="O14" s="105"/>
      <c r="P14" s="106"/>
      <c r="Q14" s="106"/>
      <c r="R14" s="106"/>
      <c r="S14" s="106"/>
      <c r="T14" s="107"/>
      <c r="V14" s="98"/>
      <c r="W14" s="98"/>
      <c r="X14" s="98"/>
      <c r="Y14" s="98"/>
      <c r="Z14" s="98">
        <v>0.7</v>
      </c>
      <c r="AA14" s="98"/>
      <c r="AB14" s="98"/>
      <c r="AC14" s="98"/>
      <c r="AD14" s="98" t="e">
        <f>AD15</f>
        <v>#N/A</v>
      </c>
      <c r="AE14" s="98"/>
    </row>
    <row r="15" spans="2:31" x14ac:dyDescent="0.25">
      <c r="B15" s="99"/>
      <c r="C15" s="144" t="s">
        <v>157</v>
      </c>
      <c r="D15" s="145"/>
      <c r="E15" s="115">
        <v>14.5</v>
      </c>
      <c r="F15" s="99" t="s">
        <v>158</v>
      </c>
      <c r="G15" s="99"/>
      <c r="H15" s="99"/>
      <c r="M15">
        <v>7</v>
      </c>
      <c r="N15" s="112">
        <v>1</v>
      </c>
      <c r="O15" s="116">
        <v>1</v>
      </c>
      <c r="P15" s="117"/>
      <c r="Q15" s="117"/>
      <c r="R15" s="106"/>
      <c r="S15" s="106"/>
      <c r="T15" s="107"/>
      <c r="V15" s="98"/>
      <c r="W15" s="98"/>
      <c r="X15" s="98"/>
      <c r="Y15" s="98"/>
      <c r="Z15" s="98">
        <v>0.1948</v>
      </c>
      <c r="AA15" s="98">
        <v>0</v>
      </c>
      <c r="AB15" s="98" t="e">
        <f>IF(OR('G&amp;H'!$C$67=$Z14,'G&amp;H'!$C$68=$Z14),Z15,NA())</f>
        <v>#N/A</v>
      </c>
      <c r="AC15" s="98" t="e">
        <f>IF(OR('G&amp;H'!$C$67=$Z14,'G&amp;H'!$C$68=$Z14),AA15,NA())</f>
        <v>#N/A</v>
      </c>
      <c r="AD15" s="98" t="e">
        <f>AD16</f>
        <v>#N/A</v>
      </c>
      <c r="AE15" s="98"/>
    </row>
    <row r="16" spans="2:31" x14ac:dyDescent="0.25">
      <c r="B16" s="99"/>
      <c r="C16" s="99"/>
      <c r="D16" s="99"/>
      <c r="E16" s="99"/>
      <c r="F16" s="99"/>
      <c r="G16" s="99"/>
      <c r="H16" s="99"/>
      <c r="M16">
        <v>7.5</v>
      </c>
      <c r="N16" s="112">
        <v>1</v>
      </c>
      <c r="O16" s="105"/>
      <c r="P16" s="106"/>
      <c r="Q16" s="106"/>
      <c r="R16" s="106"/>
      <c r="S16" s="106"/>
      <c r="T16" s="107"/>
      <c r="V16" s="98"/>
      <c r="W16" s="98"/>
      <c r="X16" s="98"/>
      <c r="Y16" s="98"/>
      <c r="Z16" s="98">
        <v>0.30130000000000001</v>
      </c>
      <c r="AA16" s="98">
        <v>0.47</v>
      </c>
      <c r="AB16" s="98" t="e">
        <f>IF(OR('G&amp;H'!$C$67=$Z14,'G&amp;H'!$C$68=$Z14),Z16,NA())</f>
        <v>#N/A</v>
      </c>
      <c r="AC16" s="98" t="e">
        <f>IF(OR('G&amp;H'!$C$67=$Z14,'G&amp;H'!$C$68=$Z14),AA16,NA())</f>
        <v>#N/A</v>
      </c>
      <c r="AD16" s="104" t="e">
        <f>IF(OR('G&amp;H'!$C$67=$Z14,'G&amp;H'!$C$68=$Z14),AA16/(Z16-Z15)*('G&amp;H'!Fn-Z15),NA())</f>
        <v>#N/A</v>
      </c>
      <c r="AE16" s="98"/>
    </row>
    <row r="17" spans="1:31" x14ac:dyDescent="0.25">
      <c r="B17" s="99"/>
      <c r="C17" s="99"/>
      <c r="D17" s="99"/>
      <c r="E17" s="99"/>
      <c r="F17" s="99"/>
      <c r="G17" s="99"/>
      <c r="H17" s="99"/>
      <c r="M17">
        <v>8</v>
      </c>
      <c r="N17" s="112">
        <v>1</v>
      </c>
      <c r="O17" s="118">
        <v>1</v>
      </c>
      <c r="P17" s="119"/>
      <c r="Q17" s="119"/>
      <c r="R17" s="106"/>
      <c r="S17" s="106"/>
      <c r="T17" s="107"/>
      <c r="V17" s="98">
        <v>0.09</v>
      </c>
      <c r="W17" s="98"/>
      <c r="X17" s="98"/>
      <c r="Y17" s="98"/>
      <c r="Z17" s="98"/>
      <c r="AA17" s="98"/>
      <c r="AB17" s="98"/>
      <c r="AC17" s="98"/>
      <c r="AD17" s="98"/>
      <c r="AE17" s="98"/>
    </row>
    <row r="18" spans="1:31" x14ac:dyDescent="0.25">
      <c r="A18" s="120" t="s">
        <v>159</v>
      </c>
      <c r="B18" s="99"/>
      <c r="C18" s="99"/>
      <c r="E18" s="99"/>
      <c r="F18" s="99"/>
      <c r="G18" s="99"/>
      <c r="H18" s="99"/>
      <c r="O18" s="105"/>
      <c r="P18" s="106"/>
      <c r="Q18" s="106"/>
      <c r="R18" s="106"/>
      <c r="S18" s="106"/>
      <c r="T18" s="107"/>
      <c r="V18" s="98">
        <f>'G&amp;H'!Fn</f>
        <v>0.20803370948780098</v>
      </c>
      <c r="W18" s="98">
        <v>-0.2</v>
      </c>
      <c r="X18" s="98"/>
      <c r="Y18" s="98"/>
      <c r="Z18" s="98">
        <v>0.65</v>
      </c>
      <c r="AA18" s="98"/>
      <c r="AB18" s="98"/>
      <c r="AC18" s="98"/>
      <c r="AD18" s="98" t="e">
        <f>AD19</f>
        <v>#N/A</v>
      </c>
      <c r="AE18" s="98"/>
    </row>
    <row r="19" spans="1:31" x14ac:dyDescent="0.25">
      <c r="A19" s="120" t="s">
        <v>160</v>
      </c>
      <c r="B19" s="99"/>
      <c r="C19" s="99"/>
      <c r="D19" s="99"/>
      <c r="E19" s="99"/>
      <c r="F19" s="99"/>
      <c r="G19" s="99"/>
      <c r="H19" s="99"/>
      <c r="O19" s="105"/>
      <c r="P19" s="106"/>
      <c r="Q19" s="106"/>
      <c r="R19" s="106"/>
      <c r="S19" s="106"/>
      <c r="T19" s="107"/>
      <c r="V19" s="98">
        <f>V18</f>
        <v>0.20803370948780098</v>
      </c>
      <c r="W19" s="98">
        <v>0.59</v>
      </c>
      <c r="X19" s="98"/>
      <c r="Y19" s="98"/>
      <c r="Z19" s="98">
        <v>0.20390000000000003</v>
      </c>
      <c r="AA19" s="98">
        <v>0</v>
      </c>
      <c r="AB19" s="98" t="e">
        <f>IF(OR('G&amp;H'!$C$67=$Z18,'G&amp;H'!$C$68=$Z18),Z19,NA())</f>
        <v>#N/A</v>
      </c>
      <c r="AC19" s="98" t="e">
        <f>IF(OR('G&amp;H'!$C$67=$Z18,'G&amp;H'!$C$68=$Z18),AA19,NA())</f>
        <v>#N/A</v>
      </c>
      <c r="AD19" s="98" t="e">
        <f>AD20</f>
        <v>#N/A</v>
      </c>
      <c r="AE19" s="98"/>
    </row>
    <row r="20" spans="1:31" x14ac:dyDescent="0.25">
      <c r="A20" s="120" t="s">
        <v>161</v>
      </c>
      <c r="B20" s="99"/>
      <c r="C20" s="99"/>
      <c r="D20" s="99"/>
      <c r="E20" s="99"/>
      <c r="F20" s="99"/>
      <c r="G20" s="99"/>
      <c r="H20" s="99"/>
      <c r="O20" s="105"/>
      <c r="P20" s="106"/>
      <c r="Q20" s="106"/>
      <c r="R20" s="106"/>
      <c r="S20" s="106"/>
      <c r="T20" s="107"/>
      <c r="V20" s="98"/>
      <c r="W20" s="98"/>
      <c r="X20" s="98"/>
      <c r="Y20" s="98"/>
      <c r="Z20" s="98">
        <v>0.31180000000000002</v>
      </c>
      <c r="AA20" s="98">
        <v>0.42599999999999999</v>
      </c>
      <c r="AB20" s="98" t="e">
        <f>IF(OR('G&amp;H'!$C$67=$Z18,'G&amp;H'!$C$68=$Z18),Z20,NA())</f>
        <v>#N/A</v>
      </c>
      <c r="AC20" s="98" t="e">
        <f>IF(OR('G&amp;H'!$C$67=$Z18,'G&amp;H'!$C$68=$Z18),AA20,NA())</f>
        <v>#N/A</v>
      </c>
      <c r="AD20" s="104" t="e">
        <f>IF(OR('G&amp;H'!$C$67=$Z18,'G&amp;H'!$C$68=$Z18),AA20/(Z20-Z19)*('G&amp;H'!Fn-Z19),NA())</f>
        <v>#N/A</v>
      </c>
      <c r="AE20" s="98"/>
    </row>
    <row r="21" spans="1:31" x14ac:dyDescent="0.25">
      <c r="B21" s="99"/>
      <c r="C21" s="99"/>
      <c r="D21" s="99"/>
      <c r="E21" s="99"/>
      <c r="F21" s="99"/>
      <c r="G21" s="99"/>
      <c r="H21" s="99"/>
      <c r="O21">
        <f>'G&amp;H'!C43</f>
        <v>5</v>
      </c>
      <c r="P21">
        <f>(O21-3)/0.5</f>
        <v>4</v>
      </c>
      <c r="Q21" s="106"/>
      <c r="R21" s="106"/>
      <c r="S21" s="106"/>
      <c r="T21" s="107"/>
      <c r="V21" s="98"/>
      <c r="W21" s="98"/>
      <c r="X21" s="98"/>
      <c r="Y21" s="98"/>
      <c r="Z21" s="98"/>
      <c r="AA21" s="98"/>
      <c r="AB21" s="98"/>
      <c r="AC21" s="98"/>
      <c r="AD21" s="98"/>
      <c r="AE21" s="98"/>
    </row>
    <row r="22" spans="1:31" x14ac:dyDescent="0.25">
      <c r="B22" s="99"/>
      <c r="C22" s="99"/>
      <c r="O22">
        <f>'G&amp;H'!D43</f>
        <v>5.5</v>
      </c>
      <c r="P22">
        <f>(O22-3)/0.5</f>
        <v>5</v>
      </c>
      <c r="Q22" s="106"/>
      <c r="R22" s="106"/>
      <c r="S22" s="106"/>
      <c r="T22" s="107"/>
      <c r="V22" s="98" t="s">
        <v>162</v>
      </c>
      <c r="W22" s="98"/>
      <c r="X22" s="98"/>
      <c r="Y22" s="98"/>
      <c r="Z22" s="98">
        <v>0.6</v>
      </c>
      <c r="AA22" s="98"/>
      <c r="AB22" s="98"/>
      <c r="AC22" s="98"/>
      <c r="AD22" s="98" t="e">
        <f>AD23</f>
        <v>#N/A</v>
      </c>
      <c r="AE22" s="98"/>
    </row>
    <row r="23" spans="1:31" x14ac:dyDescent="0.25">
      <c r="B23" s="99"/>
      <c r="C23" s="99"/>
      <c r="O23" s="105"/>
      <c r="P23" s="106"/>
      <c r="Q23" s="106"/>
      <c r="R23" s="106"/>
      <c r="S23" s="106"/>
      <c r="T23" s="107"/>
      <c r="V23" s="98"/>
      <c r="W23" s="98"/>
      <c r="X23" s="98"/>
      <c r="Y23" s="98"/>
      <c r="Z23" s="98">
        <v>0.2082</v>
      </c>
      <c r="AA23" s="98">
        <v>0</v>
      </c>
      <c r="AB23" s="98" t="e">
        <f>IF(OR('G&amp;H'!$C$67=$Z22,'G&amp;H'!$C$68=$Z22),Z23,NA())</f>
        <v>#N/A</v>
      </c>
      <c r="AC23" s="98" t="e">
        <f>IF(OR('G&amp;H'!$C$67=$Z22,'G&amp;H'!$C$68=$Z22),AA23,NA())</f>
        <v>#N/A</v>
      </c>
      <c r="AD23" s="98" t="e">
        <f>AD24</f>
        <v>#N/A</v>
      </c>
      <c r="AE23" s="98"/>
    </row>
    <row r="24" spans="1:31" x14ac:dyDescent="0.25">
      <c r="B24" s="99"/>
      <c r="C24" s="99"/>
      <c r="O24">
        <f>IF(AND(ISNUMBER(LBP),ISNUMBER(▼_)),1,2)</f>
        <v>1</v>
      </c>
      <c r="P24" s="106"/>
      <c r="Q24" s="106"/>
      <c r="R24" s="106"/>
      <c r="S24" s="106"/>
      <c r="T24" s="107"/>
      <c r="V24" s="98"/>
      <c r="W24" s="98"/>
      <c r="X24" s="98"/>
      <c r="Y24" s="98"/>
      <c r="Z24" s="98">
        <v>0.31590000000000001</v>
      </c>
      <c r="AA24" s="98">
        <v>0.41</v>
      </c>
      <c r="AB24" s="98" t="e">
        <f>IF(OR('G&amp;H'!$C$67=$Z22,'G&amp;H'!$C$68=$Z22),Z24,NA())</f>
        <v>#N/A</v>
      </c>
      <c r="AC24" s="98" t="e">
        <f>IF(OR('G&amp;H'!$C$67=$Z22,'G&amp;H'!$C$68=$Z22),AA24,NA())</f>
        <v>#N/A</v>
      </c>
      <c r="AD24" s="104" t="e">
        <f>IF(OR('G&amp;H'!$C$67=$Z22,'G&amp;H'!$C$68=$Z22),AA24/(Z24-Z23)*('G&amp;H'!Fn-Z23),NA())</f>
        <v>#N/A</v>
      </c>
      <c r="AE24" s="98"/>
    </row>
    <row r="25" spans="1:31" x14ac:dyDescent="0.25">
      <c r="B25" s="99"/>
      <c r="C25" s="99"/>
      <c r="O25" s="105"/>
      <c r="P25" s="106"/>
      <c r="Q25" s="106"/>
      <c r="R25" s="106"/>
      <c r="S25" s="106"/>
      <c r="T25" s="107"/>
      <c r="V25" s="98"/>
      <c r="W25" s="98"/>
      <c r="X25" s="98"/>
      <c r="Y25" s="98"/>
      <c r="Z25" s="98"/>
      <c r="AA25" s="98"/>
      <c r="AB25" s="98"/>
      <c r="AC25" s="98"/>
      <c r="AD25" s="98"/>
      <c r="AE25" s="98"/>
    </row>
    <row r="26" spans="1:31" x14ac:dyDescent="0.25">
      <c r="B26" s="99"/>
      <c r="C26" s="99"/>
      <c r="O26" s="105"/>
      <c r="P26" s="106"/>
      <c r="Q26" s="106"/>
      <c r="R26" s="106"/>
      <c r="S26" s="106"/>
      <c r="T26" s="107"/>
      <c r="V26" s="98"/>
      <c r="W26" s="98">
        <f>'G&amp;H'!D69</f>
        <v>0.26394677890202134</v>
      </c>
      <c r="X26" s="98"/>
      <c r="Y26" s="98"/>
      <c r="Z26" s="98">
        <v>0.55000000000000004</v>
      </c>
      <c r="AA26" s="98"/>
      <c r="AB26" s="98"/>
      <c r="AC26" s="98"/>
      <c r="AD26" s="98" t="e">
        <f>AD27</f>
        <v>#N/A</v>
      </c>
      <c r="AE26" s="98"/>
    </row>
    <row r="27" spans="1:31" x14ac:dyDescent="0.25">
      <c r="B27" s="99"/>
      <c r="O27" s="105"/>
      <c r="P27" s="106"/>
      <c r="Q27" s="106"/>
      <c r="R27" s="106"/>
      <c r="S27" s="106"/>
      <c r="T27" s="107"/>
      <c r="V27" s="98"/>
      <c r="W27" s="98">
        <f>W26</f>
        <v>0.26394677890202134</v>
      </c>
      <c r="X27" s="98"/>
      <c r="Y27" s="98"/>
      <c r="Z27" s="98">
        <v>0.21174999999999999</v>
      </c>
      <c r="AA27" s="98">
        <v>0</v>
      </c>
      <c r="AB27" s="98" t="e">
        <f>IF(OR('G&amp;H'!$C$67=$Z26,'G&amp;H'!$C$68=$Z26),Z27,NA())</f>
        <v>#N/A</v>
      </c>
      <c r="AC27" s="98" t="e">
        <f>IF(OR('G&amp;H'!$C$67=$Z26,'G&amp;H'!$C$68=$Z26),AA27,NA())</f>
        <v>#N/A</v>
      </c>
      <c r="AD27" s="98" t="e">
        <f>AD28</f>
        <v>#N/A</v>
      </c>
      <c r="AE27" s="98"/>
    </row>
    <row r="28" spans="1:31" x14ac:dyDescent="0.25">
      <c r="B28" s="99"/>
      <c r="O28" s="105"/>
      <c r="P28" s="106"/>
      <c r="Q28" s="106"/>
      <c r="R28" s="106"/>
      <c r="S28" s="106"/>
      <c r="T28" s="107"/>
      <c r="V28" s="98"/>
      <c r="W28" s="98"/>
      <c r="X28" s="98"/>
      <c r="Y28" s="98"/>
      <c r="Z28" s="98">
        <v>0.31769999999999998</v>
      </c>
      <c r="AA28" s="98">
        <v>0.40200000000000002</v>
      </c>
      <c r="AB28" s="98" t="e">
        <f>IF(OR('G&amp;H'!$C$67=$Z26,'G&amp;H'!$C$68=$Z26),Z28,NA())</f>
        <v>#N/A</v>
      </c>
      <c r="AC28" s="98" t="e">
        <f>IF(OR('G&amp;H'!$C$67=$Z26,'G&amp;H'!$C$68=$Z26),AA28,NA())</f>
        <v>#N/A</v>
      </c>
      <c r="AD28" s="104" t="e">
        <f>IF(OR('G&amp;H'!$C$67=$Z26,'G&amp;H'!$C$68=$Z26),AA28/(Z28-Z27)*('G&amp;H'!Fn-Z27),NA())</f>
        <v>#N/A</v>
      </c>
      <c r="AE28" s="98"/>
    </row>
    <row r="29" spans="1:31" x14ac:dyDescent="0.25">
      <c r="B29" s="99"/>
      <c r="O29" s="105"/>
      <c r="P29" s="106"/>
      <c r="Q29" s="106"/>
      <c r="R29" s="106"/>
      <c r="S29" s="106"/>
      <c r="T29" s="107"/>
      <c r="V29" s="98"/>
      <c r="W29" s="98"/>
      <c r="X29" s="98"/>
      <c r="Y29" s="98"/>
      <c r="Z29" s="98"/>
      <c r="AA29" s="98"/>
      <c r="AB29" s="98"/>
      <c r="AC29" s="98"/>
      <c r="AD29" s="98"/>
      <c r="AE29" s="98"/>
    </row>
    <row r="30" spans="1:31" x14ac:dyDescent="0.25">
      <c r="B30" s="99"/>
      <c r="O30" s="105"/>
      <c r="P30" s="106"/>
      <c r="Q30" s="106"/>
      <c r="R30" s="106"/>
      <c r="S30" s="106"/>
      <c r="T30" s="107"/>
      <c r="V30" s="98"/>
      <c r="W30" s="98"/>
      <c r="X30" s="98"/>
      <c r="Y30" s="98"/>
      <c r="Z30" s="98"/>
      <c r="AA30" s="98"/>
      <c r="AB30" s="98"/>
      <c r="AC30" s="98"/>
      <c r="AD30" s="98"/>
      <c r="AE30" s="98"/>
    </row>
    <row r="31" spans="1:31" x14ac:dyDescent="0.25">
      <c r="B31" s="99"/>
      <c r="O31" s="105"/>
      <c r="P31" s="106"/>
      <c r="Q31" s="106"/>
      <c r="R31" s="106"/>
      <c r="S31" s="106"/>
      <c r="T31" s="107"/>
    </row>
    <row r="32" spans="1:31" x14ac:dyDescent="0.25">
      <c r="B32" s="99"/>
      <c r="O32" s="105"/>
      <c r="P32" s="106"/>
      <c r="Q32" s="106"/>
      <c r="R32" s="106"/>
      <c r="S32" s="106"/>
      <c r="T32" s="107"/>
    </row>
    <row r="33" spans="15:20" x14ac:dyDescent="0.25">
      <c r="O33" s="105"/>
      <c r="P33" s="106"/>
      <c r="Q33" s="106"/>
      <c r="R33" s="106"/>
      <c r="S33" s="106"/>
      <c r="T33" s="107"/>
    </row>
    <row r="34" spans="15:20" x14ac:dyDescent="0.25">
      <c r="O34" s="105"/>
      <c r="P34" s="106"/>
      <c r="Q34" s="106"/>
      <c r="R34" s="106"/>
      <c r="S34" s="106"/>
      <c r="T34" s="107"/>
    </row>
    <row r="35" spans="15:20" x14ac:dyDescent="0.25">
      <c r="O35" s="108"/>
      <c r="P35" s="121"/>
      <c r="Q35" s="121"/>
      <c r="R35" s="121"/>
      <c r="S35" s="121"/>
      <c r="T35" s="122"/>
    </row>
  </sheetData>
  <sheetProtection password="C89D" sheet="1" objects="1" scenarios="1"/>
  <mergeCells count="1">
    <mergeCell ref="C15:D15"/>
  </mergeCells>
  <dataValidations count="2">
    <dataValidation type="list" allowBlank="1" showInputMessage="1" showErrorMessage="1" sqref="D13">
      <formula1>"Yes,No"</formula1>
    </dataValidation>
    <dataValidation type="decimal" operator="greaterThan" allowBlank="1" showInputMessage="1" showErrorMessage="1" errorTitle="Ship service speed (in knots)" error="Enter a positive number." sqref="E15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16</vt:i4>
      </vt:variant>
    </vt:vector>
  </HeadingPairs>
  <TitlesOfParts>
    <vt:vector size="27" baseType="lpstr">
      <vt:lpstr>G&amp;H</vt:lpstr>
      <vt:lpstr>4.0</vt:lpstr>
      <vt:lpstr>4.5</vt:lpstr>
      <vt:lpstr>5.0</vt:lpstr>
      <vt:lpstr>5.5</vt:lpstr>
      <vt:lpstr>6.0</vt:lpstr>
      <vt:lpstr>6.5</vt:lpstr>
      <vt:lpstr>7.0</vt:lpstr>
      <vt:lpstr>7.5</vt:lpstr>
      <vt:lpstr>8.0</vt:lpstr>
      <vt:lpstr>Tools1</vt:lpstr>
      <vt:lpstr>▲_</vt:lpstr>
      <vt:lpstr>▼_</vt:lpstr>
      <vt:lpstr>ABT</vt:lpstr>
      <vt:lpstr>AMID</vt:lpstr>
      <vt:lpstr>BREADTH</vt:lpstr>
      <vt:lpstr>CB</vt:lpstr>
      <vt:lpstr>'G&amp;H'!CF’</vt:lpstr>
      <vt:lpstr>CP</vt:lpstr>
      <vt:lpstr>DRAFT</vt:lpstr>
      <vt:lpstr>'G&amp;H'!Fn</vt:lpstr>
      <vt:lpstr>g</vt:lpstr>
      <vt:lpstr>LBP</vt:lpstr>
      <vt:lpstr>LCB</vt:lpstr>
      <vt:lpstr>'G&amp;H'!Rn</vt:lpstr>
      <vt:lpstr>V</vt:lpstr>
      <vt:lpstr>ρ</vt:lpstr>
    </vt:vector>
  </TitlesOfParts>
  <Company>rg-adguard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Rahim Ovingal</dc:creator>
  <cp:lastModifiedBy>Abdul Rahim Ovingal</cp:lastModifiedBy>
  <dcterms:created xsi:type="dcterms:W3CDTF">2017-10-16T19:11:10Z</dcterms:created>
  <dcterms:modified xsi:type="dcterms:W3CDTF">2018-01-21T13:56:30Z</dcterms:modified>
</cp:coreProperties>
</file>