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1ED" lockStructure="1"/>
  <bookViews>
    <workbookView xWindow="240" yWindow="60" windowWidth="20115" windowHeight="8010"/>
  </bookViews>
  <sheets>
    <sheet name="Sheet1" sheetId="1" r:id="rId1"/>
  </sheets>
  <externalReferences>
    <externalReference r:id="rId2"/>
  </externalReferences>
  <definedNames>
    <definedName name="AMID">Sheet1!$C$4</definedName>
    <definedName name="g">Sheet1!$C$7</definedName>
    <definedName name="h">Sheet1!$C$5</definedName>
    <definedName name="LBP">Sheet1!$C$3</definedName>
    <definedName name="S">Sheet1!#REF!</definedName>
    <definedName name="ν">Sheet1!$C$8</definedName>
  </definedNames>
  <calcPr calcId="144525"/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F25" i="1"/>
  <c r="E25" i="1"/>
  <c r="D25" i="1"/>
  <c r="K16" i="1"/>
  <c r="J16" i="1"/>
  <c r="I16" i="1"/>
  <c r="H16" i="1"/>
  <c r="G16" i="1"/>
  <c r="F16" i="1"/>
  <c r="E16" i="1"/>
  <c r="D16" i="1"/>
  <c r="K11" i="1"/>
  <c r="K15" i="1" s="1"/>
  <c r="J11" i="1"/>
  <c r="J15" i="1" s="1"/>
  <c r="I11" i="1"/>
  <c r="I15" i="1" s="1"/>
  <c r="H11" i="1"/>
  <c r="H15" i="1" s="1"/>
  <c r="G11" i="1"/>
  <c r="F11" i="1"/>
  <c r="F15" i="1" s="1"/>
  <c r="E11" i="1"/>
  <c r="E18" i="1" s="1"/>
  <c r="E19" i="1" s="1"/>
  <c r="D11" i="1"/>
  <c r="D15" i="1" s="1"/>
  <c r="C25" i="1"/>
  <c r="E15" i="1" l="1"/>
  <c r="G12" i="1"/>
  <c r="G13" i="1" s="1"/>
  <c r="G20" i="1" s="1"/>
  <c r="K12" i="1"/>
  <c r="K13" i="1" s="1"/>
  <c r="K20" i="1" s="1"/>
  <c r="G15" i="1"/>
  <c r="G18" i="1"/>
  <c r="G19" i="1" s="1"/>
  <c r="D12" i="1"/>
  <c r="D13" i="1" s="1"/>
  <c r="H12" i="1"/>
  <c r="H13" i="1" s="1"/>
  <c r="D18" i="1"/>
  <c r="D19" i="1" s="1"/>
  <c r="H18" i="1"/>
  <c r="H19" i="1" s="1"/>
  <c r="I12" i="1"/>
  <c r="I13" i="1" s="1"/>
  <c r="I18" i="1"/>
  <c r="I19" i="1" s="1"/>
  <c r="E12" i="1"/>
  <c r="E13" i="1" s="1"/>
  <c r="F12" i="1"/>
  <c r="F13" i="1" s="1"/>
  <c r="J12" i="1"/>
  <c r="J13" i="1" s="1"/>
  <c r="J20" i="1" s="1"/>
  <c r="F18" i="1"/>
  <c r="F19" i="1" s="1"/>
  <c r="J18" i="1"/>
  <c r="J19" i="1" s="1"/>
  <c r="K18" i="1"/>
  <c r="K19" i="1" s="1"/>
  <c r="H30" i="1"/>
  <c r="G49" i="1"/>
  <c r="G50" i="1"/>
  <c r="F50" i="1" s="1"/>
  <c r="G32" i="1"/>
  <c r="G33" i="1"/>
  <c r="G37" i="1" s="1"/>
  <c r="G41" i="1" s="1"/>
  <c r="C16" i="1"/>
  <c r="C8" i="1"/>
  <c r="C11" i="1"/>
  <c r="C12" i="1" s="1"/>
  <c r="C13" i="1" s="1"/>
  <c r="G43" i="1" l="1"/>
  <c r="H43" i="1" s="1"/>
  <c r="O43" i="1"/>
  <c r="O44" i="1"/>
  <c r="P44" i="1" s="1"/>
  <c r="G62" i="1"/>
  <c r="F62" i="1"/>
  <c r="F21" i="1"/>
  <c r="F14" i="1"/>
  <c r="I14" i="1"/>
  <c r="I21" i="1"/>
  <c r="D21" i="1"/>
  <c r="D14" i="1"/>
  <c r="G21" i="1"/>
  <c r="G22" i="1" s="1"/>
  <c r="G14" i="1"/>
  <c r="E14" i="1"/>
  <c r="E21" i="1"/>
  <c r="I20" i="1"/>
  <c r="F20" i="1"/>
  <c r="H21" i="1"/>
  <c r="H14" i="1"/>
  <c r="E20" i="1"/>
  <c r="H20" i="1"/>
  <c r="J21" i="1"/>
  <c r="J22" i="1" s="1"/>
  <c r="J14" i="1"/>
  <c r="K21" i="1"/>
  <c r="K22" i="1" s="1"/>
  <c r="K14" i="1"/>
  <c r="D20" i="1"/>
  <c r="G47" i="1"/>
  <c r="F47" i="1" s="1"/>
  <c r="F33" i="1"/>
  <c r="G36" i="1"/>
  <c r="H33" i="1"/>
  <c r="F41" i="1"/>
  <c r="H37" i="1"/>
  <c r="F36" i="1"/>
  <c r="F37" i="1"/>
  <c r="H41" i="1"/>
  <c r="F40" i="1"/>
  <c r="F32" i="1"/>
  <c r="G55" i="1"/>
  <c r="G56" i="1"/>
  <c r="O48" i="1" s="1"/>
  <c r="G40" i="1"/>
  <c r="G46" i="1"/>
  <c r="C18" i="1"/>
  <c r="C19" i="1" s="1"/>
  <c r="C15" i="1"/>
  <c r="C20" i="1"/>
  <c r="O51" i="1" l="1"/>
  <c r="O52" i="1"/>
  <c r="I22" i="1"/>
  <c r="E22" i="1"/>
  <c r="D22" i="1"/>
  <c r="H22" i="1"/>
  <c r="F22" i="1"/>
  <c r="N44" i="1"/>
  <c r="N43" i="1"/>
  <c r="F56" i="1"/>
  <c r="F55" i="1"/>
  <c r="O47" i="1"/>
  <c r="C21" i="1"/>
  <c r="C22" i="1" s="1"/>
  <c r="C14" i="1"/>
  <c r="N48" i="1" l="1"/>
  <c r="N47" i="1"/>
  <c r="P48" i="1"/>
  <c r="P52" i="1" l="1"/>
  <c r="N52" i="1"/>
  <c r="N51" i="1"/>
</calcChain>
</file>

<file path=xl/sharedStrings.xml><?xml version="1.0" encoding="utf-8"?>
<sst xmlns="http://schemas.openxmlformats.org/spreadsheetml/2006/main" count="61" uniqueCount="55">
  <si>
    <t>Shallow Water Resistance Calculations</t>
  </si>
  <si>
    <t>LBP</t>
  </si>
  <si>
    <t>g</t>
  </si>
  <si>
    <t>h</t>
  </si>
  <si>
    <t>ν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</si>
  <si>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ꝏ</t>
    </r>
    <r>
      <rPr>
        <b/>
        <sz val="11"/>
        <color theme="1"/>
        <rFont val="Calibri"/>
        <family val="2"/>
        <scheme val="minor"/>
      </rPr>
      <t>(knots)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</si>
  <si>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ꝏ</t>
    </r>
    <r>
      <rPr>
        <b/>
        <sz val="11"/>
        <color theme="1"/>
        <rFont val="Calibri"/>
        <family val="2"/>
        <scheme val="minor"/>
      </rPr>
      <t>(m/s)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</si>
  <si>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(m)</t>
    </r>
  </si>
  <si>
    <t>V/sqrt(gh)</t>
  </si>
  <si>
    <t>Sqrt(Ax)/h</t>
  </si>
  <si>
    <t>%Decrease in V (from fig.)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</si>
  <si>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</si>
  <si>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(knots)</t>
    </r>
  </si>
  <si>
    <t>ΔC(m/s)</t>
  </si>
  <si>
    <r>
      <t>ΔV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(m/s)</t>
    </r>
  </si>
  <si>
    <t>ΔV(m/s)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</si>
  <si>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(at V</t>
    </r>
    <r>
      <rPr>
        <b/>
        <vertAlign val="subscript"/>
        <sz val="11"/>
        <color theme="1"/>
        <rFont val="Calibri"/>
        <family val="2"/>
        <scheme val="minor"/>
      </rPr>
      <t>ꝏ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</si>
  <si>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(Deep,at 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</si>
  <si>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(Shallow,at V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</si>
  <si>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</si>
  <si>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(knots)</t>
    </r>
  </si>
  <si>
    <t>V/√(gh)=</t>
  </si>
  <si>
    <t>%Decrease in V (from fig.)=</t>
  </si>
  <si>
    <t>(From Schlichting's chart)</t>
  </si>
  <si>
    <t>ΔV=</t>
  </si>
  <si>
    <t>m/s</t>
  </si>
  <si>
    <t>ΔC=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</si>
  <si>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MID</t>
    </r>
  </si>
  <si>
    <t>(input)</t>
  </si>
  <si>
    <r>
      <t>Velocity at deep water, V</t>
    </r>
    <r>
      <rPr>
        <b/>
        <vertAlign val="subscript"/>
        <sz val="12"/>
        <color theme="1"/>
        <rFont val="Calibri"/>
        <family val="2"/>
        <scheme val="minor"/>
      </rPr>
      <t>ꝏ</t>
    </r>
    <r>
      <rPr>
        <b/>
        <sz val="12"/>
        <color theme="1"/>
        <rFont val="Calibri"/>
        <family val="2"/>
        <scheme val="minor"/>
      </rPr>
      <t>(knots)=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</si>
  <si>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ꝏ</t>
    </r>
    <r>
      <rPr>
        <b/>
        <sz val="12"/>
        <color theme="1"/>
        <rFont val="Calibri"/>
        <family val="2"/>
        <scheme val="minor"/>
      </rPr>
      <t>(m/s)=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</si>
  <si>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ꝏ</t>
    </r>
    <r>
      <rPr>
        <b/>
        <sz val="12"/>
        <color theme="1"/>
        <rFont val="Calibri"/>
        <family val="2"/>
        <scheme val="minor"/>
      </rPr>
      <t>(knots)*0.51435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</si>
  <si>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(m)=</t>
    </r>
  </si>
  <si>
    <r>
      <t>V</t>
    </r>
    <r>
      <rPr>
        <b/>
        <vertAlign val="subscript"/>
        <sz val="12"/>
        <color rgb="FF000000"/>
        <rFont val="Calibri"/>
        <family val="2"/>
        <scheme val="minor"/>
      </rPr>
      <t>ꝏ</t>
    </r>
    <r>
      <rPr>
        <b/>
        <vertAlign val="super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.2π/g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</si>
  <si>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(m/s)=</t>
    </r>
  </si>
  <si>
    <r>
      <t>(gL</t>
    </r>
    <r>
      <rPr>
        <b/>
        <vertAlign val="subscript"/>
        <sz val="12"/>
        <color rgb="FF000000"/>
        <rFont val="Calibri"/>
        <family val="2"/>
        <scheme val="minor"/>
      </rPr>
      <t>W</t>
    </r>
    <r>
      <rPr>
        <b/>
        <sz val="12"/>
        <color rgb="FF000000"/>
        <rFont val="Calibri"/>
        <family val="2"/>
        <scheme val="minor"/>
      </rPr>
      <t>/2π)*tanh(2πh/L</t>
    </r>
    <r>
      <rPr>
        <b/>
        <vertAlign val="subscript"/>
        <sz val="12"/>
        <color rgb="FF000000"/>
        <rFont val="Calibri"/>
        <family val="2"/>
        <scheme val="minor"/>
      </rPr>
      <t>W</t>
    </r>
    <r>
      <rPr>
        <b/>
        <sz val="12"/>
        <color rgb="FF000000"/>
        <rFont val="Calibri"/>
        <family val="2"/>
        <scheme val="minor"/>
      </rPr>
      <t>)</t>
    </r>
  </si>
  <si>
    <r>
      <t>V</t>
    </r>
    <r>
      <rPr>
        <b/>
        <vertAlign val="subscript"/>
        <sz val="12"/>
        <color rgb="FF000000"/>
        <rFont val="Calibri"/>
        <family val="2"/>
        <scheme val="minor"/>
      </rPr>
      <t>ꝏ</t>
    </r>
    <r>
      <rPr>
        <b/>
        <sz val="12"/>
        <color rgb="FF000000"/>
        <rFont val="Calibri"/>
        <family val="2"/>
        <scheme val="minor"/>
      </rPr>
      <t>-V</t>
    </r>
    <r>
      <rPr>
        <b/>
        <vertAlign val="subscript"/>
        <sz val="12"/>
        <color rgb="FF000000"/>
        <rFont val="Calibri"/>
        <family val="2"/>
        <scheme val="minor"/>
      </rPr>
      <t>i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</si>
  <si>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(knots)</t>
    </r>
  </si>
  <si>
    <r>
      <t>ΔV</t>
    </r>
    <r>
      <rPr>
        <b/>
        <vertAlign val="subscript"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=</t>
    </r>
  </si>
  <si>
    <r>
      <t>V</t>
    </r>
    <r>
      <rPr>
        <b/>
        <vertAlign val="subscript"/>
        <sz val="12"/>
        <color rgb="FF000000"/>
        <rFont val="Calibri"/>
        <family val="2"/>
        <scheme val="minor"/>
      </rPr>
      <t>i</t>
    </r>
    <r>
      <rPr>
        <b/>
        <sz val="12"/>
        <color rgb="FF000000"/>
        <rFont val="Calibri"/>
        <family val="2"/>
        <scheme val="minor"/>
      </rPr>
      <t>-V</t>
    </r>
    <r>
      <rPr>
        <b/>
        <vertAlign val="subscript"/>
        <sz val="12"/>
        <color rgb="FF000000"/>
        <rFont val="Calibri"/>
        <family val="2"/>
        <scheme val="minor"/>
      </rPr>
      <t>h</t>
    </r>
  </si>
  <si>
    <r>
      <t>√(A</t>
    </r>
    <r>
      <rPr>
        <b/>
        <vertAlign val="subscript"/>
        <sz val="12"/>
        <color theme="1"/>
        <rFont val="Calibri"/>
        <family val="2"/>
        <scheme val="minor"/>
      </rPr>
      <t>MID</t>
    </r>
    <r>
      <rPr>
        <b/>
        <sz val="12"/>
        <color theme="1"/>
        <rFont val="Calibri"/>
        <family val="2"/>
        <scheme val="minor"/>
      </rPr>
      <t>)/h=</t>
    </r>
  </si>
  <si>
    <r>
      <t>ΔC</t>
    </r>
    <r>
      <rPr>
        <b/>
        <sz val="12"/>
        <color rgb="FF000000"/>
        <rFont val="Calibri"/>
        <family val="2"/>
        <scheme val="minor"/>
      </rPr>
      <t>+ΔV</t>
    </r>
    <r>
      <rPr>
        <b/>
        <vertAlign val="subscript"/>
        <sz val="12"/>
        <color rgb="FF000000"/>
        <rFont val="Calibri"/>
        <family val="2"/>
        <scheme val="minor"/>
      </rPr>
      <t>P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</si>
  <si>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>=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</si>
  <si>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(100-x)/100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</si>
  <si>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>(at V</t>
    </r>
    <r>
      <rPr>
        <b/>
        <vertAlign val="subscript"/>
        <sz val="12"/>
        <color theme="1"/>
        <rFont val="Calibri"/>
        <family val="2"/>
        <scheme val="minor"/>
      </rPr>
      <t>ꝏ</t>
    </r>
    <r>
      <rPr>
        <b/>
        <sz val="12"/>
        <color theme="1"/>
        <rFont val="Calibri"/>
        <family val="2"/>
        <scheme val="minor"/>
      </rPr>
      <t>)=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</si>
  <si>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(Deep,at V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)=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</si>
  <si>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(Shallow,at V</t>
    </r>
    <r>
      <rPr>
        <b/>
        <vertAlign val="subscript"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>)=</t>
    </r>
  </si>
  <si>
    <r>
      <t>R</t>
    </r>
    <r>
      <rPr>
        <b/>
        <vertAlign val="subscript"/>
        <sz val="14"/>
        <color rgb="FF000000"/>
        <rFont val="Calibri"/>
        <family val="2"/>
        <scheme val="minor"/>
      </rPr>
      <t>R(Deep, at Vꝏ)+</t>
    </r>
    <r>
      <rPr>
        <b/>
        <sz val="14"/>
        <color rgb="FF000000"/>
        <rFont val="Calibri"/>
        <family val="2"/>
        <scheme val="minor"/>
      </rPr>
      <t>R</t>
    </r>
    <r>
      <rPr>
        <b/>
        <vertAlign val="subscript"/>
        <sz val="14"/>
        <color rgb="FF000000"/>
        <rFont val="Calibri"/>
        <family val="2"/>
        <scheme val="minor"/>
      </rPr>
      <t>F(Deep, at Vi)</t>
    </r>
  </si>
  <si>
    <t>Sample Calculations</t>
  </si>
  <si>
    <t>abdulrahimom@outlook.com</t>
  </si>
  <si>
    <t>Abdul Rahim O M</t>
  </si>
  <si>
    <t>#CUSAT</t>
  </si>
  <si>
    <t>This workbook may contain errors</t>
  </si>
  <si>
    <t>Please help to correct mistakes, if any</t>
  </si>
  <si>
    <t xml:space="preserve">#RoyalShippies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</si>
</sst>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vertAlign val="subscript"/>
      <sz val="14"/>
      <color rgb="FF000000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b/>
      <u val="double"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u/>
      <sz val="9"/>
      <color theme="1" tint="0.34998626667073579"/>
      <name val="Calibri"/>
      <family val="2"/>
      <scheme val="minor"/>
    </font>
    <font>
      <sz val="10"/>
      <color theme="1" tint="0.34998626667073579"/>
      <name val="Cambria"/>
      <family val="1"/>
      <scheme val="major"/>
    </font>
    <font>
      <sz val="18"/>
      <color theme="1"/>
      <name val="Calibri"/>
      <family val="2"/>
      <scheme val="minor"/>
    </font>
    <font>
      <sz val="18"/>
      <color theme="0" tint="-0.499984740745262"/>
      <name val="Bodoni MT Black"/>
      <family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 applyProtection="1">
      <protection hidden="1"/>
    </xf>
    <xf numFmtId="0" fontId="1" fillId="0" borderId="0" xfId="0" applyFont="1" applyBorder="1" applyAlignment="1" applyProtection="1">
      <protection hidden="1"/>
    </xf>
    <xf numFmtId="0" fontId="1" fillId="2" borderId="0" xfId="0" applyNumberFormat="1" applyFont="1" applyFill="1" applyBorder="1" applyAlignment="1" applyProtection="1">
      <protection locked="0" hidden="1"/>
    </xf>
    <xf numFmtId="0" fontId="1" fillId="5" borderId="0" xfId="0" applyNumberFormat="1" applyFont="1" applyFill="1" applyBorder="1" applyAlignment="1" applyProtection="1">
      <protection locked="0" hidden="1"/>
    </xf>
    <xf numFmtId="0" fontId="1" fillId="6" borderId="0" xfId="0" applyNumberFormat="1" applyFont="1" applyFill="1" applyBorder="1" applyAlignment="1" applyProtection="1">
      <protection locked="0" hidden="1"/>
    </xf>
    <xf numFmtId="0" fontId="1" fillId="3" borderId="0" xfId="0" applyFont="1" applyFill="1" applyBorder="1" applyAlignment="1" applyProtection="1">
      <protection hidden="1"/>
    </xf>
    <xf numFmtId="0" fontId="1" fillId="4" borderId="0" xfId="0" applyFont="1" applyFill="1" applyAlignment="1" applyProtection="1">
      <protection locked="0" hidden="1"/>
    </xf>
    <xf numFmtId="0" fontId="1" fillId="15" borderId="0" xfId="0" applyFont="1" applyFill="1" applyAlignment="1" applyProtection="1">
      <protection hidden="1"/>
    </xf>
    <xf numFmtId="0" fontId="1" fillId="15" borderId="0" xfId="0" applyFont="1" applyFill="1" applyBorder="1" applyAlignment="1" applyProtection="1">
      <protection hidden="1"/>
    </xf>
    <xf numFmtId="0" fontId="1" fillId="15" borderId="0" xfId="0" applyFont="1" applyFill="1" applyBorder="1" applyAlignment="1" applyProtection="1">
      <alignment horizontal="right"/>
      <protection hidden="1"/>
    </xf>
    <xf numFmtId="0" fontId="3" fillId="15" borderId="0" xfId="0" applyFont="1" applyFill="1" applyAlignment="1" applyProtection="1">
      <protection hidden="1"/>
    </xf>
    <xf numFmtId="0" fontId="1" fillId="15" borderId="0" xfId="0" applyFont="1" applyFill="1" applyAlignment="1" applyProtection="1">
      <alignment horizontal="right"/>
      <protection hidden="1"/>
    </xf>
    <xf numFmtId="0" fontId="4" fillId="15" borderId="0" xfId="0" applyFont="1" applyFill="1" applyAlignment="1" applyProtection="1">
      <alignment horizontal="right"/>
      <protection hidden="1"/>
    </xf>
    <xf numFmtId="0" fontId="4" fillId="15" borderId="0" xfId="0" applyFont="1" applyFill="1" applyAlignment="1" applyProtection="1">
      <protection hidden="1"/>
    </xf>
    <xf numFmtId="0" fontId="4" fillId="15" borderId="0" xfId="0" applyFont="1" applyFill="1" applyBorder="1" applyAlignment="1" applyProtection="1">
      <protection hidden="1"/>
    </xf>
    <xf numFmtId="0" fontId="9" fillId="15" borderId="0" xfId="0" applyFont="1" applyFill="1" applyAlignment="1" applyProtection="1">
      <alignment horizontal="right"/>
      <protection hidden="1"/>
    </xf>
    <xf numFmtId="0" fontId="4" fillId="15" borderId="0" xfId="0" applyFont="1" applyFill="1" applyBorder="1" applyAlignment="1" applyProtection="1">
      <alignment horizontal="center" vertical="top"/>
      <protection hidden="1"/>
    </xf>
    <xf numFmtId="0" fontId="4" fillId="15" borderId="0" xfId="0" applyFont="1" applyFill="1" applyBorder="1" applyAlignment="1" applyProtection="1">
      <alignment horizontal="right"/>
      <protection hidden="1"/>
    </xf>
    <xf numFmtId="0" fontId="4" fillId="15" borderId="0" xfId="0" applyFont="1" applyFill="1" applyAlignment="1" applyProtection="1">
      <alignment horizontal="left"/>
      <protection hidden="1"/>
    </xf>
    <xf numFmtId="0" fontId="1" fillId="8" borderId="0" xfId="0" applyFont="1" applyFill="1" applyAlignment="1" applyProtection="1">
      <protection locked="0" hidden="1"/>
    </xf>
    <xf numFmtId="0" fontId="12" fillId="15" borderId="0" xfId="0" applyFont="1" applyFill="1" applyAlignment="1" applyProtection="1">
      <protection hidden="1"/>
    </xf>
    <xf numFmtId="0" fontId="1" fillId="15" borderId="0" xfId="0" applyFont="1" applyFill="1" applyAlignment="1" applyProtection="1">
      <protection locked="0" hidden="1"/>
    </xf>
    <xf numFmtId="0" fontId="1" fillId="15" borderId="0" xfId="0" applyFont="1" applyFill="1" applyAlignment="1" applyProtection="1">
      <alignment horizontal="right"/>
      <protection hidden="1"/>
    </xf>
    <xf numFmtId="0" fontId="1" fillId="7" borderId="0" xfId="0" applyFont="1" applyFill="1" applyAlignment="1" applyProtection="1">
      <protection locked="0" hidden="1"/>
    </xf>
    <xf numFmtId="0" fontId="1" fillId="9" borderId="0" xfId="0" applyFont="1" applyFill="1" applyAlignment="1" applyProtection="1">
      <protection locked="0" hidden="1"/>
    </xf>
    <xf numFmtId="0" fontId="1" fillId="11" borderId="0" xfId="0" applyFont="1" applyFill="1" applyAlignment="1" applyProtection="1">
      <protection locked="0" hidden="1"/>
    </xf>
    <xf numFmtId="0" fontId="1" fillId="12" borderId="0" xfId="0" applyFont="1" applyFill="1" applyAlignment="1" applyProtection="1">
      <protection locked="0" hidden="1"/>
    </xf>
    <xf numFmtId="0" fontId="1" fillId="13" borderId="0" xfId="0" applyFont="1" applyFill="1" applyAlignment="1" applyProtection="1">
      <protection locked="0" hidden="1"/>
    </xf>
    <xf numFmtId="0" fontId="1" fillId="14" borderId="0" xfId="0" applyFont="1" applyFill="1" applyAlignment="1" applyProtection="1">
      <protection locked="0" hidden="1"/>
    </xf>
    <xf numFmtId="0" fontId="13" fillId="15" borderId="0" xfId="0" applyFont="1" applyFill="1" applyAlignment="1" applyProtection="1">
      <protection hidden="1"/>
    </xf>
    <xf numFmtId="0" fontId="4" fillId="15" borderId="1" xfId="0" applyFont="1" applyFill="1" applyBorder="1" applyAlignment="1" applyProtection="1">
      <protection locked="0" hidden="1"/>
    </xf>
    <xf numFmtId="0" fontId="6" fillId="15" borderId="0" xfId="0" applyFont="1" applyFill="1" applyBorder="1" applyAlignment="1" applyProtection="1">
      <alignment vertical="center"/>
      <protection hidden="1"/>
    </xf>
    <xf numFmtId="0" fontId="4" fillId="15" borderId="0" xfId="0" applyFont="1" applyFill="1" applyBorder="1" applyAlignment="1" applyProtection="1">
      <alignment horizontal="right" vertical="center"/>
      <protection hidden="1"/>
    </xf>
    <xf numFmtId="0" fontId="4" fillId="10" borderId="1" xfId="0" applyFont="1" applyFill="1" applyBorder="1" applyAlignment="1" applyProtection="1">
      <protection locked="0" hidden="1"/>
    </xf>
    <xf numFmtId="0" fontId="10" fillId="15" borderId="0" xfId="0" applyFont="1" applyFill="1" applyProtection="1">
      <protection hidden="1"/>
    </xf>
    <xf numFmtId="0" fontId="1" fillId="15" borderId="2" xfId="0" applyFont="1" applyFill="1" applyBorder="1" applyAlignment="1" applyProtection="1">
      <protection hidden="1"/>
    </xf>
    <xf numFmtId="0" fontId="15" fillId="15" borderId="0" xfId="1" applyFont="1" applyFill="1" applyAlignment="1" applyProtection="1">
      <protection hidden="1"/>
    </xf>
    <xf numFmtId="0" fontId="17" fillId="15" borderId="0" xfId="1" applyFont="1" applyFill="1" applyAlignment="1" applyProtection="1">
      <protection hidden="1"/>
    </xf>
    <xf numFmtId="0" fontId="16" fillId="15" borderId="0" xfId="1" applyFont="1" applyFill="1" applyAlignment="1" applyProtection="1">
      <protection hidden="1"/>
    </xf>
    <xf numFmtId="0" fontId="18" fillId="15" borderId="0" xfId="0" applyFont="1" applyFill="1" applyProtection="1">
      <protection hidden="1"/>
    </xf>
    <xf numFmtId="0" fontId="19" fillId="15" borderId="0" xfId="0" applyFont="1" applyFill="1" applyAlignment="1" applyProtection="1">
      <protection hidden="1"/>
    </xf>
  </cellXfs>
  <cellStyles count="2">
    <cellStyle name="Hyperlink" xfId="1" builtinId="8"/>
    <cellStyle name="Normal" xfId="0" builtinId="0"/>
  </cellStyles>
  <dxfs count="1">
    <dxf>
      <font>
        <u val="double"/>
      </font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227079302872042E-2"/>
          <c:y val="3.447868584525611E-2"/>
          <c:w val="0.97941857049743852"/>
          <c:h val="0.955532651656888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ln w="28575">
                <a:noFill/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 w="28575">
                  <a:noFill/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  <a:ln w="28575">
                  <a:noFill/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2">
                    <a:lumMod val="60000"/>
                    <a:lumOff val="40000"/>
                  </a:schemeClr>
                </a:solidFill>
                <a:ln w="28575">
                  <a:noFill/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00B050"/>
                </a:solidFill>
                <a:ln w="28575">
                  <a:noFill/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28575">
                  <a:noFill/>
                </a:ln>
              </c:spPr>
            </c:marker>
            <c:bubble3D val="0"/>
          </c:dPt>
          <c:dPt>
            <c:idx val="5"/>
            <c:marker>
              <c:spPr>
                <a:solidFill>
                  <a:schemeClr val="accent6">
                    <a:lumMod val="75000"/>
                  </a:schemeClr>
                </a:solidFill>
                <a:ln w="28575">
                  <a:noFill/>
                </a:ln>
              </c:spPr>
            </c:marker>
            <c:bubble3D val="0"/>
          </c:dPt>
          <c:dPt>
            <c:idx val="6"/>
            <c:marker>
              <c:spPr>
                <a:solidFill>
                  <a:schemeClr val="accent4"/>
                </a:solidFill>
                <a:ln w="28575">
                  <a:noFill/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FF0066"/>
                </a:solidFill>
                <a:ln w="28575">
                  <a:noFill/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FF00"/>
                </a:solidFill>
                <a:ln w="28575">
                  <a:noFill/>
                </a:ln>
              </c:spPr>
            </c:marker>
            <c:bubble3D val="0"/>
          </c:dPt>
          <c:xVal>
            <c:numRef>
              <c:f>Sheet1!$C$15:$K$15</c:f>
              <c:numCache>
                <c:formatCode>General</c:formatCode>
                <c:ptCount val="9"/>
                <c:pt idx="0">
                  <c:v>0.68319365356980011</c:v>
                </c:pt>
                <c:pt idx="1">
                  <c:v>0.7287398971411202</c:v>
                </c:pt>
                <c:pt idx="2">
                  <c:v>0.77428614071244029</c:v>
                </c:pt>
                <c:pt idx="3">
                  <c:v>0.81983238428376026</c:v>
                </c:pt>
                <c:pt idx="4">
                  <c:v>0.86537862785508013</c:v>
                </c:pt>
                <c:pt idx="5">
                  <c:v>0.91092487142640022</c:v>
                </c:pt>
                <c:pt idx="6">
                  <c:v>0.95647111499772031</c:v>
                </c:pt>
                <c:pt idx="7">
                  <c:v>1.0020173585690404</c:v>
                </c:pt>
                <c:pt idx="8">
                  <c:v>1.0475636021403603</c:v>
                </c:pt>
              </c:numCache>
            </c:numRef>
          </c:xVal>
          <c:yVal>
            <c:numRef>
              <c:f>Sheet1!$C$16:$K$16</c:f>
              <c:numCache>
                <c:formatCode>General</c:formatCode>
                <c:ptCount val="9"/>
                <c:pt idx="0">
                  <c:v>1.3323467750529827</c:v>
                </c:pt>
                <c:pt idx="1">
                  <c:v>1.3323467750529827</c:v>
                </c:pt>
                <c:pt idx="2">
                  <c:v>1.3323467750529827</c:v>
                </c:pt>
                <c:pt idx="3">
                  <c:v>1.3323467750529827</c:v>
                </c:pt>
                <c:pt idx="4">
                  <c:v>1.3323467750529827</c:v>
                </c:pt>
                <c:pt idx="5">
                  <c:v>1.3323467750529827</c:v>
                </c:pt>
                <c:pt idx="6">
                  <c:v>1.3323467750529827</c:v>
                </c:pt>
                <c:pt idx="7">
                  <c:v>1.3323467750529827</c:v>
                </c:pt>
                <c:pt idx="8">
                  <c:v>1.3323467750529827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04160"/>
        <c:axId val="239405696"/>
      </c:scatterChart>
      <c:valAx>
        <c:axId val="239404160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39405696"/>
        <c:crosses val="autoZero"/>
        <c:crossBetween val="midCat"/>
      </c:valAx>
      <c:valAx>
        <c:axId val="239405696"/>
        <c:scaling>
          <c:orientation val="minMax"/>
          <c:max val="1.6"/>
          <c:min val="-0.2"/>
        </c:scaling>
        <c:delete val="1"/>
        <c:axPos val="l"/>
        <c:numFmt formatCode="General" sourceLinked="1"/>
        <c:majorTickMark val="out"/>
        <c:minorTickMark val="none"/>
        <c:tickLblPos val="nextTo"/>
        <c:crossAx val="239404160"/>
        <c:crosses val="autoZero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4</xdr:row>
      <xdr:rowOff>22412</xdr:rowOff>
    </xdr:from>
    <xdr:to>
      <xdr:col>24</xdr:col>
      <xdr:colOff>403412</xdr:colOff>
      <xdr:row>26</xdr:row>
      <xdr:rowOff>56029</xdr:rowOff>
    </xdr:to>
    <xdr:graphicFrame macro="">
      <xdr:nvGraphicFramePr>
        <xdr:cNvPr id="2" name="Chart 1" title="Shallow Wate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%20Excel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&amp;H"/>
      <sheetName val="Shallow"/>
    </sheetNames>
    <sheetDataSet>
      <sheetData sheetId="0" refreshError="1"/>
      <sheetData sheetId="1">
        <row r="12">
          <cell r="D12">
            <v>0.5</v>
          </cell>
          <cell r="E12">
            <v>0.6377563124487291</v>
          </cell>
          <cell r="F12">
            <v>0.6605333236076123</v>
          </cell>
          <cell r="G12">
            <v>0.6833103347664955</v>
          </cell>
          <cell r="H12">
            <v>0.72886435708426189</v>
          </cell>
          <cell r="I12">
            <v>0.77441837940202829</v>
          </cell>
        </row>
        <row r="13">
          <cell r="D13">
            <v>0.5</v>
          </cell>
          <cell r="E13">
            <v>1</v>
          </cell>
          <cell r="F13">
            <v>1.0878565864408425</v>
          </cell>
          <cell r="G13">
            <v>1.0878565864408425</v>
          </cell>
          <cell r="H13">
            <v>1.0878565864408425</v>
          </cell>
          <cell r="I13">
            <v>1.0878565864408425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dulrahimom@outlook.com" TargetMode="External"/><Relationship Id="rId1" Type="http://schemas.openxmlformats.org/officeDocument/2006/relationships/hyperlink" Target="mailto:abdupalakkad@yahoo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50" zoomScale="85" zoomScaleNormal="85" workbookViewId="0">
      <selection activeCell="I68" sqref="A1:XFD1048576"/>
    </sheetView>
  </sheetViews>
  <sheetFormatPr defaultRowHeight="15" x14ac:dyDescent="0.25"/>
  <cols>
    <col min="1" max="1" width="9.140625" style="8"/>
    <col min="2" max="2" width="11.85546875" style="8" customWidth="1"/>
    <col min="3" max="3" width="9.28515625" style="8" customWidth="1"/>
    <col min="4" max="4" width="7.5703125" style="8" customWidth="1"/>
    <col min="5" max="5" width="7.28515625" style="8" customWidth="1"/>
    <col min="6" max="6" width="6.85546875" style="8" customWidth="1"/>
    <col min="7" max="7" width="7.140625" style="8" customWidth="1"/>
    <col min="8" max="10" width="7" style="8" customWidth="1"/>
    <col min="11" max="11" width="7.5703125" style="8" customWidth="1"/>
    <col min="12" max="14" width="9.140625" style="8"/>
    <col min="15" max="15" width="12.140625" style="8" customWidth="1"/>
    <col min="16" max="16384" width="9.140625" style="8"/>
  </cols>
  <sheetData>
    <row r="1" spans="1:12" ht="23.25" x14ac:dyDescent="0.35">
      <c r="A1" s="21" t="s">
        <v>0</v>
      </c>
    </row>
    <row r="3" spans="1:12" x14ac:dyDescent="0.25">
      <c r="B3" s="8" t="s">
        <v>1</v>
      </c>
      <c r="C3" s="7">
        <v>146.19999999999999</v>
      </c>
      <c r="D3" s="8" t="s">
        <v>28</v>
      </c>
    </row>
    <row r="4" spans="1:12" ht="18" x14ac:dyDescent="0.35">
      <c r="B4" s="8" t="s">
        <v>27</v>
      </c>
      <c r="C4" s="7">
        <v>300</v>
      </c>
      <c r="D4" s="8" t="s">
        <v>28</v>
      </c>
    </row>
    <row r="5" spans="1:12" x14ac:dyDescent="0.25">
      <c r="B5" s="8" t="s">
        <v>3</v>
      </c>
      <c r="C5" s="7">
        <v>13</v>
      </c>
      <c r="D5" s="8" t="s">
        <v>28</v>
      </c>
    </row>
    <row r="7" spans="1:12" x14ac:dyDescent="0.25">
      <c r="B7" s="8" t="s">
        <v>2</v>
      </c>
      <c r="C7" s="22">
        <v>9.81</v>
      </c>
    </row>
    <row r="8" spans="1:12" x14ac:dyDescent="0.25">
      <c r="B8" s="8" t="s">
        <v>4</v>
      </c>
      <c r="C8" s="23">
        <f>1.188*10^-6</f>
        <v>1.1879999999999999E-6</v>
      </c>
      <c r="D8" s="23"/>
    </row>
    <row r="10" spans="1:12" ht="18" x14ac:dyDescent="0.35">
      <c r="B10" s="8" t="s">
        <v>5</v>
      </c>
      <c r="C10" s="3">
        <v>15</v>
      </c>
      <c r="D10" s="4">
        <v>16</v>
      </c>
      <c r="E10" s="5">
        <v>17</v>
      </c>
      <c r="F10" s="24">
        <v>18</v>
      </c>
      <c r="G10" s="25">
        <v>19</v>
      </c>
      <c r="H10" s="26">
        <v>20</v>
      </c>
      <c r="I10" s="27">
        <v>21</v>
      </c>
      <c r="J10" s="28">
        <v>22</v>
      </c>
      <c r="K10" s="29">
        <v>23</v>
      </c>
      <c r="L10" s="8" t="s">
        <v>28</v>
      </c>
    </row>
    <row r="11" spans="1:12" ht="18" x14ac:dyDescent="0.35">
      <c r="B11" s="8" t="s">
        <v>6</v>
      </c>
      <c r="C11" s="2">
        <f>IF(ISNUMBER(C10),C10*0.51435," ")</f>
        <v>7.7152499999999993</v>
      </c>
      <c r="D11" s="2">
        <f t="shared" ref="D11:K11" si="0">IF(ISNUMBER(D10),D10*0.51435," ")</f>
        <v>8.2295999999999996</v>
      </c>
      <c r="E11" s="2">
        <f t="shared" si="0"/>
        <v>8.7439499999999999</v>
      </c>
      <c r="F11" s="2">
        <f t="shared" si="0"/>
        <v>9.2583000000000002</v>
      </c>
      <c r="G11" s="2">
        <f t="shared" si="0"/>
        <v>9.7726499999999987</v>
      </c>
      <c r="H11" s="2">
        <f t="shared" si="0"/>
        <v>10.286999999999999</v>
      </c>
      <c r="I11" s="2">
        <f t="shared" si="0"/>
        <v>10.801349999999999</v>
      </c>
      <c r="J11" s="2">
        <f t="shared" si="0"/>
        <v>11.3157</v>
      </c>
      <c r="K11" s="2">
        <f t="shared" si="0"/>
        <v>11.83005</v>
      </c>
    </row>
    <row r="12" spans="1:12" ht="18" x14ac:dyDescent="0.35">
      <c r="B12" s="8" t="s">
        <v>7</v>
      </c>
      <c r="C12" s="2">
        <f>IFERROR(((C11^2)*2*PI())/(g)," ")</f>
        <v>38.12508910961791</v>
      </c>
      <c r="D12" s="2">
        <f>IFERROR(((D11^2)*2*PI())/(g)," ")</f>
        <v>43.377879164720824</v>
      </c>
      <c r="E12" s="2">
        <f>IFERROR(((E11^2)*2*PI())/(g)," ")</f>
        <v>48.96955890079812</v>
      </c>
      <c r="F12" s="2">
        <f>IFERROR(((F11^2)*2*PI())/(g)," ")</f>
        <v>54.900128317849799</v>
      </c>
      <c r="G12" s="2">
        <f>IFERROR(((G11^2)*2*PI())/(g)," ")</f>
        <v>61.169587415875846</v>
      </c>
      <c r="H12" s="2">
        <f>IFERROR(((H11^2)*2*PI())/(g)," ")</f>
        <v>67.77793619487629</v>
      </c>
      <c r="I12" s="2">
        <f>IFERROR(((I11^2)*2*PI())/(g)," ")</f>
        <v>74.725174654851116</v>
      </c>
      <c r="J12" s="2">
        <f>IFERROR(((J11^2)*2*PI())/(g)," ")</f>
        <v>82.011302795800319</v>
      </c>
      <c r="K12" s="2">
        <f>IFERROR(((K11^2)*2*PI())/(g)," ")</f>
        <v>89.636320617723911</v>
      </c>
    </row>
    <row r="13" spans="1:12" ht="18" x14ac:dyDescent="0.35">
      <c r="B13" s="8" t="s">
        <v>19</v>
      </c>
      <c r="C13" s="2">
        <f>IFERROR(SQRT(((IF(ISNUMBER(g),g,9.81)*C12)/(2*PI()))*TANH((2*PI()*h)/C12))," ")</f>
        <v>7.6096961606580305</v>
      </c>
      <c r="D13" s="2">
        <f>IFERROR(SQRT(((IF(ISNUMBER(g),g,9.81)*D12)/(2*PI()))*TANH((2*PI()*h)/D12))," ")</f>
        <v>8.0412917975536828</v>
      </c>
      <c r="E13" s="2">
        <f>IFERROR(SQRT(((IF(ISNUMBER(g),g,9.81)*E12)/(2*PI()))*TANH((2*PI()*h)/E12))," ")</f>
        <v>8.4381938583515481</v>
      </c>
      <c r="F13" s="2">
        <f>IFERROR(SQRT(((IF(ISNUMBER(g),g,9.81)*F12)/(2*PI()))*TANH((2*PI()*h)/F12))," ")</f>
        <v>8.7974434439004412</v>
      </c>
      <c r="G13" s="2">
        <f>IFERROR(SQRT(((IF(ISNUMBER(g),g,9.81)*G12)/(2*PI()))*TANH((2*PI()*h)/G12))," ")</f>
        <v>9.1181772887850556</v>
      </c>
      <c r="H13" s="2">
        <f>IFERROR(SQRT(((IF(ISNUMBER(g),g,9.81)*H12)/(2*PI()))*TANH((2*PI()*h)/H12))," ")</f>
        <v>9.4012909710184633</v>
      </c>
      <c r="I13" s="2">
        <f>IFERROR(SQRT(((IF(ISNUMBER(g),g,9.81)*I12)/(2*PI()))*TANH((2*PI()*h)/I12))," ")</f>
        <v>9.6489584925987888</v>
      </c>
      <c r="J13" s="2">
        <f>IFERROR(SQRT(((IF(ISNUMBER(g),g,9.81)*J12)/(2*PI()))*TANH((2*PI()*h)/J12))," ")</f>
        <v>9.864147001929819</v>
      </c>
      <c r="K13" s="2">
        <f>IFERROR(SQRT(((IF(ISNUMBER(g),g,9.81)*K12)/(2*PI()))*TANH((2*PI()*h)/K12))," ")</f>
        <v>10.050206013233636</v>
      </c>
    </row>
    <row r="14" spans="1:12" ht="18" x14ac:dyDescent="0.35">
      <c r="B14" s="8" t="s">
        <v>20</v>
      </c>
      <c r="C14" s="2">
        <f>IFERROR(C13/0.51435," ")</f>
        <v>14.794782075742258</v>
      </c>
      <c r="D14" s="2">
        <f t="shared" ref="D14:K14" si="1">IFERROR(D13/0.51435," ")</f>
        <v>15.633890925544247</v>
      </c>
      <c r="E14" s="2">
        <f t="shared" si="1"/>
        <v>16.405548475457469</v>
      </c>
      <c r="F14" s="2">
        <f t="shared" si="1"/>
        <v>17.104002029552721</v>
      </c>
      <c r="G14" s="2">
        <f t="shared" si="1"/>
        <v>17.727573225984361</v>
      </c>
      <c r="H14" s="2">
        <f t="shared" si="1"/>
        <v>18.27800324879647</v>
      </c>
      <c r="I14" s="2">
        <f t="shared" si="1"/>
        <v>18.759518795759288</v>
      </c>
      <c r="J14" s="2">
        <f t="shared" si="1"/>
        <v>19.177888601010633</v>
      </c>
      <c r="K14" s="2">
        <f t="shared" si="1"/>
        <v>19.539624794854937</v>
      </c>
    </row>
    <row r="15" spans="1:12" x14ac:dyDescent="0.25">
      <c r="B15" s="9" t="s">
        <v>8</v>
      </c>
      <c r="C15" s="6">
        <f>IF(ISNUMBER(C10),(C11/SQRT(g*h))," ")</f>
        <v>0.68319365356980011</v>
      </c>
      <c r="D15" s="6">
        <f>IF(ISNUMBER(D10),(D11/SQRT(g*h))," ")</f>
        <v>0.7287398971411202</v>
      </c>
      <c r="E15" s="6">
        <f>IF(ISNUMBER(E10),(E11/SQRT(g*h))," ")</f>
        <v>0.77428614071244029</v>
      </c>
      <c r="F15" s="6">
        <f>IF(ISNUMBER(F10),(F11/SQRT(g*h))," ")</f>
        <v>0.81983238428376026</v>
      </c>
      <c r="G15" s="6">
        <f>IF(ISNUMBER(G10),(G11/SQRT(g*h))," ")</f>
        <v>0.86537862785508013</v>
      </c>
      <c r="H15" s="6">
        <f>IF(ISNUMBER(H10),(H11/SQRT(g*h))," ")</f>
        <v>0.91092487142640022</v>
      </c>
      <c r="I15" s="6">
        <f>IF(ISNUMBER(I10),(I11/SQRT(g*h))," ")</f>
        <v>0.95647111499772031</v>
      </c>
      <c r="J15" s="6">
        <f>IF(ISNUMBER(J10),(J11/SQRT(g*h))," ")</f>
        <v>1.0020173585690404</v>
      </c>
      <c r="K15" s="6">
        <f>IF(ISNUMBER(K10),(K11/SQRT(g*h))," ")</f>
        <v>1.0475636021403603</v>
      </c>
    </row>
    <row r="16" spans="1:12" x14ac:dyDescent="0.25">
      <c r="B16" s="9" t="s">
        <v>9</v>
      </c>
      <c r="C16" s="6">
        <f>IFERROR(IF(ISNUMBER(C10),SQRT(AMID)/h," "),"")</f>
        <v>1.3323467750529827</v>
      </c>
      <c r="D16" s="6">
        <f>IFERROR(IF(ISNUMBER(D10),SQRT(AMID)/h," "),"")</f>
        <v>1.3323467750529827</v>
      </c>
      <c r="E16" s="6">
        <f>IFERROR(IF(ISNUMBER(E10),SQRT(AMID)/h," "),"")</f>
        <v>1.3323467750529827</v>
      </c>
      <c r="F16" s="6">
        <f>IFERROR(IF(ISNUMBER(F10),SQRT(AMID)/h," "),"")</f>
        <v>1.3323467750529827</v>
      </c>
      <c r="G16" s="6">
        <f>IFERROR(IF(ISNUMBER(G10),SQRT(AMID)/h," "),"")</f>
        <v>1.3323467750529827</v>
      </c>
      <c r="H16" s="6">
        <f>IFERROR(IF(ISNUMBER(H10),SQRT(AMID)/h," "),"")</f>
        <v>1.3323467750529827</v>
      </c>
      <c r="I16" s="6">
        <f>IFERROR(IF(ISNUMBER(I10),SQRT(AMID)/h," "),"")</f>
        <v>1.3323467750529827</v>
      </c>
      <c r="J16" s="6">
        <f>IFERROR(IF(ISNUMBER(J10),SQRT(AMID)/h," "),"")</f>
        <v>1.3323467750529827</v>
      </c>
      <c r="K16" s="6">
        <f>IFERROR(IF(ISNUMBER(K10),SQRT(AMID)/h," "),"")</f>
        <v>1.3323467750529827</v>
      </c>
    </row>
    <row r="17" spans="2:17" x14ac:dyDescent="0.25">
      <c r="B17" s="10" t="s">
        <v>10</v>
      </c>
      <c r="C17" s="7"/>
      <c r="D17" s="7"/>
      <c r="E17" s="7"/>
      <c r="F17" s="7"/>
      <c r="G17" s="7"/>
      <c r="H17" s="7"/>
      <c r="I17" s="7"/>
      <c r="J17" s="7"/>
      <c r="K17" s="7"/>
      <c r="L17" s="8" t="s">
        <v>28</v>
      </c>
    </row>
    <row r="18" spans="2:17" ht="18" x14ac:dyDescent="0.35">
      <c r="B18" s="8" t="s">
        <v>11</v>
      </c>
      <c r="C18" s="1" t="str">
        <f>IFERROR(IF(ISNUMBER(C17),C11*(100-C17)/100,"  ")," ")</f>
        <v xml:space="preserve">  </v>
      </c>
      <c r="D18" s="1" t="str">
        <f t="shared" ref="D18:K18" si="2">IFERROR(IF(ISNUMBER(D17),D11*(100-D17)/100,"  ")," ")</f>
        <v xml:space="preserve">  </v>
      </c>
      <c r="E18" s="1" t="str">
        <f t="shared" si="2"/>
        <v xml:space="preserve">  </v>
      </c>
      <c r="F18" s="1" t="str">
        <f t="shared" si="2"/>
        <v xml:space="preserve">  </v>
      </c>
      <c r="G18" s="1" t="str">
        <f t="shared" si="2"/>
        <v xml:space="preserve">  </v>
      </c>
      <c r="H18" s="1" t="str">
        <f t="shared" si="2"/>
        <v xml:space="preserve">  </v>
      </c>
      <c r="I18" s="1" t="str">
        <f t="shared" si="2"/>
        <v xml:space="preserve">  </v>
      </c>
      <c r="J18" s="1" t="str">
        <f t="shared" si="2"/>
        <v xml:space="preserve">  </v>
      </c>
      <c r="K18" s="1" t="str">
        <f t="shared" si="2"/>
        <v xml:space="preserve">  </v>
      </c>
    </row>
    <row r="19" spans="2:17" ht="18" x14ac:dyDescent="0.35">
      <c r="B19" s="8" t="s">
        <v>12</v>
      </c>
      <c r="C19" s="1" t="str">
        <f>IFERROR(C18/0.51435," ")</f>
        <v xml:space="preserve"> </v>
      </c>
      <c r="D19" s="1" t="str">
        <f t="shared" ref="D19:K19" si="3">IFERROR(D18/0.51435," ")</f>
        <v xml:space="preserve"> </v>
      </c>
      <c r="E19" s="1" t="str">
        <f t="shared" si="3"/>
        <v xml:space="preserve"> </v>
      </c>
      <c r="F19" s="1" t="str">
        <f t="shared" si="3"/>
        <v xml:space="preserve"> </v>
      </c>
      <c r="G19" s="1" t="str">
        <f t="shared" si="3"/>
        <v xml:space="preserve"> </v>
      </c>
      <c r="H19" s="1" t="str">
        <f t="shared" si="3"/>
        <v xml:space="preserve"> </v>
      </c>
      <c r="I19" s="1" t="str">
        <f t="shared" si="3"/>
        <v xml:space="preserve"> </v>
      </c>
      <c r="J19" s="1" t="str">
        <f t="shared" si="3"/>
        <v xml:space="preserve"> </v>
      </c>
      <c r="K19" s="1" t="str">
        <f t="shared" si="3"/>
        <v xml:space="preserve"> </v>
      </c>
    </row>
    <row r="20" spans="2:17" x14ac:dyDescent="0.25">
      <c r="B20" s="11" t="s">
        <v>13</v>
      </c>
      <c r="C20" s="1">
        <f>IFERROR(C11-C13," ")</f>
        <v>0.10555383934196882</v>
      </c>
      <c r="D20" s="1">
        <f t="shared" ref="D20:K20" si="4">IFERROR(D11-D13," ")</f>
        <v>0.18830820244631674</v>
      </c>
      <c r="E20" s="1">
        <f t="shared" si="4"/>
        <v>0.30575614164845177</v>
      </c>
      <c r="F20" s="1">
        <f t="shared" si="4"/>
        <v>0.460856556099559</v>
      </c>
      <c r="G20" s="1">
        <f t="shared" si="4"/>
        <v>0.6544727112149431</v>
      </c>
      <c r="H20" s="1">
        <f t="shared" si="4"/>
        <v>0.8857090289815357</v>
      </c>
      <c r="I20" s="1">
        <f t="shared" si="4"/>
        <v>1.1523915074012105</v>
      </c>
      <c r="J20" s="1">
        <f t="shared" si="4"/>
        <v>1.4515529980701807</v>
      </c>
      <c r="K20" s="1">
        <f t="shared" si="4"/>
        <v>1.7798439867663642</v>
      </c>
    </row>
    <row r="21" spans="2:17" ht="18" x14ac:dyDescent="0.35">
      <c r="B21" s="8" t="s">
        <v>14</v>
      </c>
      <c r="C21" s="1" t="str">
        <f>IFERROR(C13-C18," ")</f>
        <v xml:space="preserve"> </v>
      </c>
      <c r="D21" s="1" t="str">
        <f t="shared" ref="D21:K21" si="5">IFERROR(D13-D18," ")</f>
        <v xml:space="preserve"> </v>
      </c>
      <c r="E21" s="1" t="str">
        <f t="shared" si="5"/>
        <v xml:space="preserve"> </v>
      </c>
      <c r="F21" s="1" t="str">
        <f t="shared" si="5"/>
        <v xml:space="preserve"> </v>
      </c>
      <c r="G21" s="1" t="str">
        <f t="shared" si="5"/>
        <v xml:space="preserve"> </v>
      </c>
      <c r="H21" s="1" t="str">
        <f t="shared" si="5"/>
        <v xml:space="preserve"> </v>
      </c>
      <c r="I21" s="1" t="str">
        <f t="shared" si="5"/>
        <v xml:space="preserve"> </v>
      </c>
      <c r="J21" s="1" t="str">
        <f t="shared" si="5"/>
        <v xml:space="preserve"> </v>
      </c>
      <c r="K21" s="1" t="str">
        <f t="shared" si="5"/>
        <v xml:space="preserve"> </v>
      </c>
    </row>
    <row r="22" spans="2:17" x14ac:dyDescent="0.25">
      <c r="B22" s="11" t="s">
        <v>15</v>
      </c>
      <c r="C22" s="1" t="str">
        <f>IFERROR(C20+C21," ")</f>
        <v xml:space="preserve"> </v>
      </c>
      <c r="D22" s="1" t="str">
        <f t="shared" ref="D22:K22" si="6">IFERROR(D20+D21," ")</f>
        <v xml:space="preserve"> </v>
      </c>
      <c r="E22" s="1" t="str">
        <f t="shared" si="6"/>
        <v xml:space="preserve"> </v>
      </c>
      <c r="F22" s="1" t="str">
        <f t="shared" si="6"/>
        <v xml:space="preserve"> </v>
      </c>
      <c r="G22" s="1" t="str">
        <f t="shared" si="6"/>
        <v xml:space="preserve"> </v>
      </c>
      <c r="H22" s="1" t="str">
        <f t="shared" si="6"/>
        <v xml:space="preserve"> </v>
      </c>
      <c r="I22" s="1" t="str">
        <f t="shared" si="6"/>
        <v xml:space="preserve"> </v>
      </c>
      <c r="J22" s="1" t="str">
        <f t="shared" si="6"/>
        <v xml:space="preserve"> </v>
      </c>
      <c r="K22" s="1" t="str">
        <f t="shared" si="6"/>
        <v xml:space="preserve"> </v>
      </c>
    </row>
    <row r="23" spans="2:17" ht="18" x14ac:dyDescent="0.35">
      <c r="B23" s="8" t="s">
        <v>16</v>
      </c>
      <c r="C23" s="20"/>
      <c r="D23" s="20"/>
      <c r="E23" s="20"/>
      <c r="F23" s="20"/>
      <c r="G23" s="20"/>
      <c r="H23" s="20"/>
      <c r="I23" s="20"/>
      <c r="J23" s="20"/>
      <c r="K23" s="20"/>
      <c r="L23" s="8" t="s">
        <v>28</v>
      </c>
    </row>
    <row r="24" spans="2:17" ht="18" x14ac:dyDescent="0.35">
      <c r="B24" s="12" t="s">
        <v>17</v>
      </c>
      <c r="C24" s="20"/>
      <c r="D24" s="20"/>
      <c r="E24" s="20"/>
      <c r="F24" s="20"/>
      <c r="G24" s="20"/>
      <c r="H24" s="20"/>
      <c r="I24" s="20"/>
      <c r="J24" s="20"/>
      <c r="K24" s="20"/>
      <c r="L24" s="8" t="s">
        <v>28</v>
      </c>
    </row>
    <row r="25" spans="2:17" ht="18" x14ac:dyDescent="0.35">
      <c r="B25" s="12" t="s">
        <v>18</v>
      </c>
      <c r="C25" s="1" t="str">
        <f>IFERROR(IF(AND(ISNUMBER(C17),ISNUMBER(C23),ISNUMBER(C24)),C24+C23,""),"  ")</f>
        <v/>
      </c>
      <c r="D25" s="1" t="str">
        <f t="shared" ref="D25:K25" si="7">IFERROR(IF(AND(ISNUMBER(D17),ISNUMBER(D23),ISNUMBER(D24)),D24+D23,""),"  ")</f>
        <v/>
      </c>
      <c r="E25" s="1" t="str">
        <f t="shared" si="7"/>
        <v/>
      </c>
      <c r="F25" s="1" t="str">
        <f t="shared" si="7"/>
        <v/>
      </c>
      <c r="G25" s="1" t="str">
        <f t="shared" si="7"/>
        <v/>
      </c>
      <c r="H25" s="1" t="str">
        <f t="shared" si="7"/>
        <v/>
      </c>
      <c r="I25" s="1" t="str">
        <f t="shared" si="7"/>
        <v/>
      </c>
      <c r="J25" s="1" t="str">
        <f t="shared" si="7"/>
        <v/>
      </c>
      <c r="K25" s="1" t="str">
        <f t="shared" si="7"/>
        <v/>
      </c>
    </row>
    <row r="29" spans="2:17" ht="26.25" x14ac:dyDescent="0.4">
      <c r="B29" s="30" t="s">
        <v>48</v>
      </c>
    </row>
    <row r="30" spans="2:17" ht="18.75" x14ac:dyDescent="0.35">
      <c r="E30" s="14"/>
      <c r="F30" s="13" t="s">
        <v>29</v>
      </c>
      <c r="G30" s="31">
        <v>15</v>
      </c>
      <c r="H30" s="14" t="str">
        <f>IF(ISNUMBER(G30),"knots","")</f>
        <v>knots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2:17" ht="18.75" x14ac:dyDescent="0.35">
      <c r="E31" s="14"/>
      <c r="F31" s="14" t="s">
        <v>30</v>
      </c>
      <c r="G31" s="14" t="s">
        <v>31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2:17" ht="15.75" x14ac:dyDescent="0.25">
      <c r="E32" s="14"/>
      <c r="F32" s="13" t="str">
        <f>IF(ISNUMBER(G33),"=","")</f>
        <v>=</v>
      </c>
      <c r="G32" s="14" t="str">
        <f>IF(ISNUMBER(G30),CONCATENATE(G30,"*0.51435"),"")</f>
        <v>15*0.51435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5:17" ht="15.75" x14ac:dyDescent="0.25">
      <c r="E33" s="14"/>
      <c r="F33" s="13" t="str">
        <f>IF(ISNUMBER(G33),"=","")</f>
        <v>=</v>
      </c>
      <c r="G33" s="15">
        <f>IF(ISNUMBER(G30),G30*0.51435," ")</f>
        <v>7.7152499999999993</v>
      </c>
      <c r="H33" s="14" t="str">
        <f>IF(ISNUMBER(G33),"m/s","")</f>
        <v>m/s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5:17" ht="15.75" x14ac:dyDescent="0.25"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5:17" ht="18.75" x14ac:dyDescent="0.35">
      <c r="E35" s="14"/>
      <c r="F35" s="13" t="s">
        <v>32</v>
      </c>
      <c r="G35" s="32" t="s">
        <v>33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5:17" ht="15.75" x14ac:dyDescent="0.25">
      <c r="E36" s="14"/>
      <c r="F36" s="13" t="str">
        <f>IF(ISNUMBER(G37),"=","")</f>
        <v>=</v>
      </c>
      <c r="G36" s="15" t="str">
        <f>CONCATENATE("(",G33,"^2)*2π/",g)</f>
        <v>(7.71525^2)*2π/9.81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5:17" ht="15.75" x14ac:dyDescent="0.25">
      <c r="E37" s="14"/>
      <c r="F37" s="13" t="str">
        <f>IF(ISNUMBER(G37),"=","")</f>
        <v>=</v>
      </c>
      <c r="G37" s="15">
        <f>IFERROR(((G33^2)*2*PI())/(g)," ")</f>
        <v>38.12508910961791</v>
      </c>
      <c r="H37" s="14" t="str">
        <f>IF(ISNUMBER(G37),"m","")</f>
        <v>m</v>
      </c>
      <c r="I37" s="14"/>
      <c r="J37" s="14"/>
      <c r="K37" s="14"/>
      <c r="L37" s="14"/>
      <c r="M37" s="14"/>
      <c r="N37" s="14"/>
      <c r="O37" s="14"/>
      <c r="P37" s="14"/>
      <c r="Q37" s="14"/>
    </row>
    <row r="38" spans="5:17" ht="15.75" x14ac:dyDescent="0.25">
      <c r="E38" s="14"/>
      <c r="F38" s="14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5:17" ht="18.75" x14ac:dyDescent="0.35">
      <c r="E39" s="14"/>
      <c r="F39" s="13" t="s">
        <v>34</v>
      </c>
      <c r="G39" s="32" t="s">
        <v>35</v>
      </c>
      <c r="H39" s="14"/>
      <c r="I39" s="13"/>
      <c r="J39" s="14"/>
      <c r="K39" s="14"/>
      <c r="L39" s="14"/>
      <c r="M39" s="14"/>
      <c r="N39" s="14"/>
      <c r="O39" s="14"/>
      <c r="P39" s="14"/>
      <c r="Q39" s="14"/>
    </row>
    <row r="40" spans="5:17" ht="15.75" x14ac:dyDescent="0.25">
      <c r="E40" s="14"/>
      <c r="F40" s="13" t="str">
        <f>IF(ISNUMBER(G41),"=","")</f>
        <v>=</v>
      </c>
      <c r="G40" s="14" t="str">
        <f>CONCATENATE("(",g,"*",G37,"/2π)*tanh(2π*",h,"/",G37,")")</f>
        <v>(9.81*38.1250891096179/2π)*tanh(2π*13/38.1250891096179)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5:17" ht="15.75" x14ac:dyDescent="0.25">
      <c r="E41" s="14"/>
      <c r="F41" s="13" t="str">
        <f>IF(ISNUMBER(G41),"=","")</f>
        <v>=</v>
      </c>
      <c r="G41" s="15">
        <f>IFERROR(SQRT(((IF(ISNUMBER(g),g,9.81)*G37)/(2*PI()))*TANH((2*PI()*h)/G37))," ")</f>
        <v>7.6096961606580305</v>
      </c>
      <c r="H41" s="14" t="str">
        <f>IF(ISNUMBER(G41),"m/s","")</f>
        <v>m/s</v>
      </c>
      <c r="I41" s="14"/>
      <c r="J41" s="14"/>
      <c r="K41" s="14"/>
      <c r="L41" s="14"/>
      <c r="M41" s="14"/>
      <c r="N41" s="14"/>
      <c r="O41" s="14"/>
      <c r="P41" s="14"/>
      <c r="Q41" s="14"/>
    </row>
    <row r="42" spans="5:17" ht="18.75" x14ac:dyDescent="0.35">
      <c r="E42" s="14"/>
      <c r="F42" s="14"/>
      <c r="G42" s="14"/>
      <c r="H42" s="14"/>
      <c r="I42" s="14"/>
      <c r="J42" s="14"/>
      <c r="K42" s="14"/>
      <c r="L42" s="14"/>
      <c r="M42" s="14"/>
      <c r="N42" s="16" t="s">
        <v>26</v>
      </c>
      <c r="O42" s="14" t="s">
        <v>36</v>
      </c>
      <c r="P42" s="14"/>
      <c r="Q42" s="14"/>
    </row>
    <row r="43" spans="5:17" ht="18.75" x14ac:dyDescent="0.35">
      <c r="E43" s="14"/>
      <c r="F43" s="14" t="s">
        <v>37</v>
      </c>
      <c r="G43" s="15">
        <f>IFERROR(G41/0.51435," ")</f>
        <v>14.794782075742258</v>
      </c>
      <c r="H43" s="14" t="str">
        <f>IF(ISNUMBER(G43),"knots","")</f>
        <v>knots</v>
      </c>
      <c r="I43" s="14"/>
      <c r="J43" s="14"/>
      <c r="K43" s="14"/>
      <c r="L43" s="14"/>
      <c r="M43" s="14"/>
      <c r="N43" s="13" t="str">
        <f>IF(ISNUMBER(O44),"=","")</f>
        <v>=</v>
      </c>
      <c r="O43" s="14" t="str">
        <f>IFERROR(IF(AND(ISNUMBER(G41),ISNUMBER(36)),CONCATENATE(ROUND(G33,4),"-",ROUND(G41,4))),"")</f>
        <v>7.7153-7.6097</v>
      </c>
      <c r="P43" s="14"/>
      <c r="Q43" s="14"/>
    </row>
    <row r="44" spans="5:17" ht="15.75" x14ac:dyDescent="0.25">
      <c r="E44" s="14"/>
      <c r="F44" s="14"/>
      <c r="G44" s="14"/>
      <c r="H44" s="14"/>
      <c r="I44" s="14"/>
      <c r="J44" s="14"/>
      <c r="K44" s="14"/>
      <c r="L44" s="14"/>
      <c r="M44" s="14"/>
      <c r="N44" s="13" t="str">
        <f>IF(ISNUMBER(O44),"=","")</f>
        <v>=</v>
      </c>
      <c r="O44" s="14">
        <f>IFERROR(IF(AND(ISNUMBER(G41),ISNUMBER(G33)),ROUND(G33-G41,4),""),"")</f>
        <v>0.1056</v>
      </c>
      <c r="P44" s="14" t="str">
        <f>IF(ISNUMBER(O44),"m/s","")</f>
        <v>m/s</v>
      </c>
      <c r="Q44" s="14"/>
    </row>
    <row r="45" spans="5:17" ht="15.75" x14ac:dyDescent="0.25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5:17" ht="18.75" x14ac:dyDescent="0.35">
      <c r="E46" s="14"/>
      <c r="F46" s="15" t="s">
        <v>21</v>
      </c>
      <c r="G46" s="14" t="str">
        <f>CONCATENATE(G33,"/(√(",g,"*",h,")")</f>
        <v>7.71525/(√(9.81*13)</v>
      </c>
      <c r="H46" s="14"/>
      <c r="I46" s="14"/>
      <c r="J46" s="14"/>
      <c r="K46" s="14"/>
      <c r="L46" s="14"/>
      <c r="M46" s="14"/>
      <c r="N46" s="13" t="s">
        <v>38</v>
      </c>
      <c r="O46" s="14" t="s">
        <v>39</v>
      </c>
      <c r="P46" s="14"/>
      <c r="Q46" s="14"/>
    </row>
    <row r="47" spans="5:17" ht="15.75" x14ac:dyDescent="0.25">
      <c r="E47" s="14"/>
      <c r="F47" s="13" t="str">
        <f>IF(ISNUMBER(G47),"=","")</f>
        <v>=</v>
      </c>
      <c r="G47" s="14">
        <f>IFERROR(G33/SQRT(g*h),"")</f>
        <v>0.68319365356980011</v>
      </c>
      <c r="H47" s="14"/>
      <c r="I47" s="14"/>
      <c r="J47" s="14"/>
      <c r="K47" s="14"/>
      <c r="L47" s="14"/>
      <c r="M47" s="14"/>
      <c r="N47" s="13" t="str">
        <f>IF(ISNUMBER(O48),"=","")</f>
        <v/>
      </c>
      <c r="O47" s="14" t="str">
        <f>IF(AND(ISNUMBER(G41),ISNUMBER(G56)),CONCATENATE(ROUND(G41,4),"-",ROUND(G56,4)),"")</f>
        <v/>
      </c>
      <c r="P47" s="14"/>
      <c r="Q47" s="14"/>
    </row>
    <row r="48" spans="5:17" ht="15.75" x14ac:dyDescent="0.25">
      <c r="E48" s="14"/>
      <c r="F48" s="14"/>
      <c r="G48" s="14"/>
      <c r="H48" s="14"/>
      <c r="I48" s="14"/>
      <c r="J48" s="14"/>
      <c r="K48" s="14"/>
      <c r="L48" s="14"/>
      <c r="M48" s="14"/>
      <c r="N48" s="13" t="str">
        <f>IF(ISNUMBER(O48),"=","")</f>
        <v/>
      </c>
      <c r="O48" s="14" t="str">
        <f>IFERROR(G41-G56,"")</f>
        <v/>
      </c>
      <c r="P48" s="14" t="str">
        <f>IF(ISNUMBER(O48),"m/s","")</f>
        <v/>
      </c>
      <c r="Q48" s="14"/>
    </row>
    <row r="49" spans="2:17" ht="18.75" x14ac:dyDescent="0.25">
      <c r="E49" s="14"/>
      <c r="F49" s="33" t="s">
        <v>40</v>
      </c>
      <c r="G49" s="14" t="str">
        <f>CONCATENATE("√(",AMID,")/",h)</f>
        <v>√(300)/13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2:17" ht="18.75" x14ac:dyDescent="0.35">
      <c r="E50" s="14"/>
      <c r="F50" s="13" t="str">
        <f>IF(ISNUMBER(G50),"=","")</f>
        <v>=</v>
      </c>
      <c r="G50" s="14">
        <f>IFERROR(IF(ISNUMBER(AMID),SQRT(AMID)/h,""),"")</f>
        <v>1.3323467750529827</v>
      </c>
      <c r="H50" s="14"/>
      <c r="I50" s="14"/>
      <c r="J50" s="14"/>
      <c r="K50" s="14"/>
      <c r="L50" s="14"/>
      <c r="M50" s="14"/>
      <c r="N50" s="16" t="s">
        <v>24</v>
      </c>
      <c r="O50" s="14" t="s">
        <v>41</v>
      </c>
      <c r="P50" s="14"/>
      <c r="Q50" s="14"/>
    </row>
    <row r="51" spans="2:17" ht="15.75" x14ac:dyDescent="0.25">
      <c r="E51" s="14"/>
      <c r="F51" s="14"/>
      <c r="G51" s="14"/>
      <c r="H51" s="14"/>
      <c r="I51" s="14"/>
      <c r="J51" s="14"/>
      <c r="K51" s="14"/>
      <c r="L51" s="14"/>
      <c r="M51" s="17"/>
      <c r="N51" s="13" t="str">
        <f>IF(ISNUMBER(O52),"=","")</f>
        <v/>
      </c>
      <c r="O51" s="14" t="str">
        <f>IFERROR(CONCATENATE(ROUND(O44,4),"+",ROUND(O48,4)),"")</f>
        <v/>
      </c>
      <c r="P51" s="14"/>
      <c r="Q51" s="14"/>
    </row>
    <row r="52" spans="2:17" ht="15.75" x14ac:dyDescent="0.25">
      <c r="E52" s="14"/>
      <c r="F52" s="18" t="s">
        <v>22</v>
      </c>
      <c r="G52" s="34"/>
      <c r="H52" s="14" t="s">
        <v>23</v>
      </c>
      <c r="I52" s="14"/>
      <c r="J52" s="14"/>
      <c r="K52" s="14"/>
      <c r="L52" s="14"/>
      <c r="M52" s="14"/>
      <c r="N52" s="13" t="str">
        <f>IF(ISNUMBER(O52),"=","")</f>
        <v/>
      </c>
      <c r="O52" s="14" t="str">
        <f>IFERROR(O44+O48,"")</f>
        <v/>
      </c>
      <c r="P52" s="14" t="str">
        <f>IF(ISNUMBER(O52),"m/s","")</f>
        <v/>
      </c>
      <c r="Q52" s="14"/>
    </row>
    <row r="53" spans="2:17" ht="15.75" x14ac:dyDescent="0.2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2:17" ht="18.75" x14ac:dyDescent="0.35">
      <c r="E54" s="14"/>
      <c r="F54" s="13" t="s">
        <v>42</v>
      </c>
      <c r="G54" s="14" t="s">
        <v>43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2:17" ht="15.75" x14ac:dyDescent="0.25">
      <c r="E55" s="14"/>
      <c r="F55" s="13" t="str">
        <f>IF(ISNUMBER(G56),"=","")</f>
        <v/>
      </c>
      <c r="G55" s="14" t="str">
        <f>CONCATENATE(G41,"*(100-",G52,")/100")</f>
        <v>7.60969616065803*(100-)/100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2:17" ht="15.75" x14ac:dyDescent="0.25">
      <c r="E56" s="14"/>
      <c r="F56" s="13" t="str">
        <f>IF(ISNUMBER(G56),"=","")</f>
        <v/>
      </c>
      <c r="G56" s="19" t="str">
        <f>IFERROR(IF(ISNUMBER(G52),G41*(100-G52)/100,"  ")," ")</f>
        <v xml:space="preserve">  </v>
      </c>
      <c r="H56" s="14" t="s">
        <v>25</v>
      </c>
      <c r="I56" s="14"/>
      <c r="J56" s="14"/>
      <c r="K56" s="14"/>
      <c r="L56" s="14"/>
      <c r="M56" s="14"/>
      <c r="N56" s="14"/>
      <c r="O56" s="14"/>
      <c r="P56" s="14"/>
      <c r="Q56" s="14"/>
    </row>
    <row r="57" spans="2:17" ht="15.75" x14ac:dyDescent="0.25"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2:17" ht="15.75" x14ac:dyDescent="0.25"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2:17" ht="18.75" x14ac:dyDescent="0.35">
      <c r="E59" s="14"/>
      <c r="F59" s="13" t="s">
        <v>44</v>
      </c>
      <c r="G59" s="3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2:17" ht="18.75" x14ac:dyDescent="0.35">
      <c r="E60" s="14"/>
      <c r="F60" s="13" t="s">
        <v>45</v>
      </c>
      <c r="G60" s="3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2:17" ht="20.25" x14ac:dyDescent="0.35">
      <c r="E61" s="14"/>
      <c r="F61" s="13" t="s">
        <v>46</v>
      </c>
      <c r="G61" s="35" t="s">
        <v>47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2:17" ht="15.75" x14ac:dyDescent="0.25">
      <c r="E62" s="14"/>
      <c r="F62" s="13" t="str">
        <f>IF(ISNUMBER(#REF!),"=","")</f>
        <v/>
      </c>
      <c r="G62" s="14" t="str">
        <f>IF(ISNUMBER(#REF!),CONCATENATE(G59,"+",G60),"")</f>
        <v/>
      </c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2:17" s="36" customFormat="1" x14ac:dyDescent="0.25"/>
    <row r="64" spans="2:17" x14ac:dyDescent="0.25">
      <c r="B64" s="37" t="s">
        <v>52</v>
      </c>
      <c r="Q64" s="38" t="s">
        <v>50</v>
      </c>
    </row>
    <row r="65" spans="2:2" x14ac:dyDescent="0.25">
      <c r="B65" s="37" t="s">
        <v>53</v>
      </c>
    </row>
    <row r="66" spans="2:2" x14ac:dyDescent="0.25">
      <c r="B66" s="39" t="s">
        <v>49</v>
      </c>
    </row>
    <row r="67" spans="2:2" ht="13.5" customHeight="1" x14ac:dyDescent="0.35">
      <c r="B67" s="40"/>
    </row>
    <row r="68" spans="2:2" ht="23.25" x14ac:dyDescent="0.35">
      <c r="B68" s="41" t="s">
        <v>54</v>
      </c>
    </row>
    <row r="69" spans="2:2" ht="23.25" x14ac:dyDescent="0.35">
      <c r="B69" s="41" t="s">
        <v>51</v>
      </c>
    </row>
  </sheetData>
  <sheetProtection password="81E2" sheet="1" objects="1" scenarios="1"/>
  <mergeCells count="1">
    <mergeCell ref="C8:D8"/>
  </mergeCells>
  <conditionalFormatting sqref="G56 O52 O48 G50 G47 O44 G43 G41 G37 G33">
    <cfRule type="cellIs" dxfId="0" priority="1" operator="greaterThan">
      <formula>0</formula>
    </cfRule>
  </conditionalFormatting>
  <dataValidations count="4">
    <dataValidation type="decimal" operator="greaterThan" allowBlank="1" showInputMessage="1" showErrorMessage="1" errorTitle="LBP" error="Enter a positive number" sqref="C3">
      <formula1>0</formula1>
    </dataValidation>
    <dataValidation type="decimal" operator="greaterThan" allowBlank="1" showInputMessage="1" showErrorMessage="1" errorTitle="Midship Area" error="Enter a positive number" sqref="C4">
      <formula1>0</formula1>
    </dataValidation>
    <dataValidation type="decimal" allowBlank="1" showInputMessage="1" showErrorMessage="1" errorTitle="g" error="Enter acceptable values" sqref="C7">
      <formula1>9.78</formula1>
      <formula2>10</formula2>
    </dataValidation>
    <dataValidation type="decimal" operator="greaterThan" allowBlank="1" showInputMessage="1" showErrorMessage="1" sqref="C5">
      <formula1>0</formula1>
    </dataValidation>
  </dataValidations>
  <hyperlinks>
    <hyperlink ref="B64:B65" r:id="rId1" display="This workbook may contain errors"/>
    <hyperlink ref="B66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AMID</vt:lpstr>
      <vt:lpstr>g</vt:lpstr>
      <vt:lpstr>h</vt:lpstr>
      <vt:lpstr>LBP</vt:lpstr>
      <vt:lpstr>ν</vt:lpstr>
    </vt:vector>
  </TitlesOfParts>
  <Company>rg-adguard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Rahim Ovingal</dc:creator>
  <cp:lastModifiedBy>Abdul Rahim Ovingal</cp:lastModifiedBy>
  <dcterms:created xsi:type="dcterms:W3CDTF">2018-02-08T07:04:02Z</dcterms:created>
  <dcterms:modified xsi:type="dcterms:W3CDTF">2018-02-09T10:21:06Z</dcterms:modified>
</cp:coreProperties>
</file>