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05"/>
  <workbookPr/>
  <mc:AlternateContent xmlns:mc="http://schemas.openxmlformats.org/markup-compatibility/2006">
    <mc:Choice Requires="x15">
      <x15ac:absPath xmlns:x15ac="http://schemas.microsoft.com/office/spreadsheetml/2010/11/ac" url="https://sangforltd-my.sharepoint.com/personal/akarsh_jain_sangfor_com/Documents/Sangfor Access Secure Collaterals/Sales and Ordering Guides/"/>
    </mc:Choice>
  </mc:AlternateContent>
  <xr:revisionPtr revIDLastSave="0" documentId="8_{187293EE-8507-4B20-8B27-AB007DC77401}" xr6:coauthVersionLast="47" xr6:coauthVersionMax="47" xr10:uidLastSave="{00000000-0000-0000-0000-000000000000}"/>
  <bookViews>
    <workbookView xWindow="-700" yWindow="-20700" windowWidth="29600" windowHeight="19760" firstSheet="1" activeTab="2" xr2:uid="{00000000-000D-0000-FFFF-FFFF00000000}"/>
  </bookViews>
  <sheets>
    <sheet name="SASE ROI - Original" sheetId="1" r:id="rId1"/>
    <sheet name="SASE ROI - to USE" sheetId="4" r:id="rId2"/>
    <sheet name="formula" sheetId="6" r:id="rId3"/>
    <sheet name="Lists" sheetId="2" r:id="rId4"/>
    <sheet name="References"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8" i="4" l="1"/>
  <c r="D93" i="4"/>
  <c r="D87" i="4"/>
  <c r="D26" i="4"/>
  <c r="D19" i="4"/>
  <c r="D10" i="4"/>
  <c r="D43" i="4"/>
  <c r="D22" i="4"/>
  <c r="F92" i="4"/>
  <c r="E92" i="4"/>
  <c r="D92" i="4"/>
  <c r="F91" i="4"/>
  <c r="E91" i="4"/>
  <c r="D91" i="4"/>
  <c r="F86" i="4"/>
  <c r="E86" i="4"/>
  <c r="D86" i="4"/>
  <c r="F83" i="4"/>
  <c r="E83" i="4"/>
  <c r="D83" i="4"/>
  <c r="F75" i="4"/>
  <c r="E75" i="4"/>
  <c r="D75" i="4"/>
  <c r="D73" i="4"/>
  <c r="D61" i="4"/>
  <c r="E61" i="4" s="1"/>
  <c r="F61" i="4" s="1"/>
  <c r="D60" i="4"/>
  <c r="F59" i="4"/>
  <c r="E59" i="4"/>
  <c r="F49" i="4"/>
  <c r="E49" i="4"/>
  <c r="D49" i="4"/>
  <c r="F44" i="4"/>
  <c r="E44" i="4"/>
  <c r="D44" i="4"/>
  <c r="F43" i="4"/>
  <c r="F46" i="4" s="1"/>
  <c r="F48" i="4" s="1"/>
  <c r="F50" i="4" s="1"/>
  <c r="F54" i="4" s="1"/>
  <c r="E43" i="4"/>
  <c r="E46" i="4" s="1"/>
  <c r="E48" i="4" s="1"/>
  <c r="E50" i="4" s="1"/>
  <c r="E54" i="4" s="1"/>
  <c r="D46" i="4"/>
  <c r="D48" i="4" s="1"/>
  <c r="D50" i="4" s="1"/>
  <c r="D54" i="4" s="1"/>
  <c r="F33" i="4"/>
  <c r="E33" i="4"/>
  <c r="D33" i="4"/>
  <c r="D29" i="4"/>
  <c r="F26" i="4"/>
  <c r="E26" i="4"/>
  <c r="F9" i="4"/>
  <c r="E9" i="4"/>
  <c r="D9" i="4"/>
  <c r="J4" i="4"/>
  <c r="D76" i="1"/>
  <c r="D73" i="1"/>
  <c r="D43" i="1"/>
  <c r="D19" i="1"/>
  <c r="D44" i="1"/>
  <c r="F92" i="1"/>
  <c r="E92" i="1"/>
  <c r="D92" i="1"/>
  <c r="F75" i="1"/>
  <c r="E75" i="1"/>
  <c r="D75" i="1"/>
  <c r="F83" i="1"/>
  <c r="E83" i="1"/>
  <c r="D83" i="1"/>
  <c r="J4" i="1"/>
  <c r="F90" i="1" s="1"/>
  <c r="F91" i="1"/>
  <c r="E91" i="1"/>
  <c r="D91" i="1"/>
  <c r="F90" i="4" l="1"/>
  <c r="E90" i="4"/>
  <c r="D90" i="4"/>
  <c r="I9" i="4"/>
  <c r="G9" i="4"/>
  <c r="D25" i="4"/>
  <c r="D27" i="4"/>
  <c r="D8" i="4" s="1"/>
  <c r="D12" i="4" s="1"/>
  <c r="F19" i="4"/>
  <c r="E19" i="4"/>
  <c r="D32" i="4"/>
  <c r="F29" i="4"/>
  <c r="F32" i="4" s="1"/>
  <c r="E29" i="4"/>
  <c r="E32" i="4" s="1"/>
  <c r="D34" i="4"/>
  <c r="E34" i="4"/>
  <c r="F34" i="4"/>
  <c r="D63" i="4"/>
  <c r="D65" i="4" s="1"/>
  <c r="D68" i="4" s="1"/>
  <c r="E60" i="4"/>
  <c r="D76" i="4"/>
  <c r="D78" i="4" s="1"/>
  <c r="D11" i="4" s="1"/>
  <c r="E73" i="4"/>
  <c r="D89" i="4"/>
  <c r="D96" i="4"/>
  <c r="D13" i="4" s="1"/>
  <c r="E89" i="4"/>
  <c r="E87" i="4"/>
  <c r="E93" i="4" s="1"/>
  <c r="E96" i="4" s="1"/>
  <c r="E13" i="4" s="1"/>
  <c r="Q10" i="4" s="1"/>
  <c r="F89" i="4"/>
  <c r="F87" i="4"/>
  <c r="F93" i="4" s="1"/>
  <c r="F96" i="4" s="1"/>
  <c r="F13" i="4" s="1"/>
  <c r="R10" i="4" s="1"/>
  <c r="D90" i="1"/>
  <c r="E90" i="1"/>
  <c r="F86" i="1"/>
  <c r="F89" i="1" s="1"/>
  <c r="E86" i="1"/>
  <c r="E87" i="1" s="1"/>
  <c r="D86" i="1"/>
  <c r="D89" i="1" s="1"/>
  <c r="E73" i="1"/>
  <c r="E76" i="1" s="1"/>
  <c r="D61" i="1"/>
  <c r="E61" i="1" s="1"/>
  <c r="F61" i="1" s="1"/>
  <c r="D60" i="1"/>
  <c r="D63" i="1" s="1"/>
  <c r="F49" i="1"/>
  <c r="E49" i="1"/>
  <c r="D49" i="1"/>
  <c r="F44" i="1"/>
  <c r="E44" i="1"/>
  <c r="F43" i="1"/>
  <c r="E43" i="1"/>
  <c r="F33" i="1"/>
  <c r="E33" i="1"/>
  <c r="D33" i="1"/>
  <c r="D29" i="1"/>
  <c r="F26" i="1"/>
  <c r="E26" i="1"/>
  <c r="D26" i="1"/>
  <c r="G13" i="4" l="1"/>
  <c r="P10" i="4"/>
  <c r="E76" i="4"/>
  <c r="E78" i="4" s="1"/>
  <c r="E11" i="4" s="1"/>
  <c r="F73" i="4"/>
  <c r="F76" i="4" s="1"/>
  <c r="F78" i="4" s="1"/>
  <c r="F11" i="4" s="1"/>
  <c r="I11" i="4"/>
  <c r="G11" i="4"/>
  <c r="F60" i="4"/>
  <c r="F63" i="4" s="1"/>
  <c r="F65" i="4" s="1"/>
  <c r="F68" i="4" s="1"/>
  <c r="F10" i="4" s="1"/>
  <c r="E63" i="4"/>
  <c r="E65" i="4" s="1"/>
  <c r="E68" i="4" s="1"/>
  <c r="E10" i="4" s="1"/>
  <c r="I10" i="4"/>
  <c r="G10" i="4"/>
  <c r="E25" i="4"/>
  <c r="E22" i="4"/>
  <c r="E27" i="4" s="1"/>
  <c r="E38" i="4" s="1"/>
  <c r="E8" i="4" s="1"/>
  <c r="F25" i="4"/>
  <c r="F22" i="4"/>
  <c r="F27" i="4" s="1"/>
  <c r="F38" i="4" s="1"/>
  <c r="F8" i="4" s="1"/>
  <c r="F12" i="4" s="1"/>
  <c r="D46" i="1"/>
  <c r="D48" i="1" s="1"/>
  <c r="D50" i="1" s="1"/>
  <c r="D87" i="1"/>
  <c r="D93" i="1" s="1"/>
  <c r="D96" i="1" s="1"/>
  <c r="D13" i="1" s="1"/>
  <c r="E29" i="1"/>
  <c r="E32" i="1" s="1"/>
  <c r="E34" i="1" s="1"/>
  <c r="D32" i="1"/>
  <c r="D34" i="1" s="1"/>
  <c r="D25" i="1"/>
  <c r="D22" i="1"/>
  <c r="D27" i="1" s="1"/>
  <c r="F87" i="1"/>
  <c r="F93" i="1" s="1"/>
  <c r="F96" i="1" s="1"/>
  <c r="F13" i="1" s="1"/>
  <c r="R10" i="1" s="1"/>
  <c r="E89" i="1"/>
  <c r="E93" i="1" s="1"/>
  <c r="E96" i="1" s="1"/>
  <c r="E13" i="1" s="1"/>
  <c r="Q10" i="1" s="1"/>
  <c r="E78" i="1"/>
  <c r="E11" i="1" s="1"/>
  <c r="F73" i="1"/>
  <c r="D65" i="1"/>
  <c r="D68" i="1" s="1"/>
  <c r="D10" i="1" s="1"/>
  <c r="D78" i="1"/>
  <c r="D11" i="1" s="1"/>
  <c r="E60" i="1"/>
  <c r="F60" i="1" s="1"/>
  <c r="E59" i="1"/>
  <c r="F59" i="1"/>
  <c r="F46" i="1"/>
  <c r="E46" i="1"/>
  <c r="F29" i="1"/>
  <c r="E19" i="1"/>
  <c r="F19" i="1"/>
  <c r="E12" i="4" l="1"/>
  <c r="I8" i="4"/>
  <c r="D14" i="4"/>
  <c r="G8" i="4"/>
  <c r="F14" i="4"/>
  <c r="R11" i="4"/>
  <c r="E14" i="4"/>
  <c r="Q11" i="4"/>
  <c r="P10" i="1"/>
  <c r="E48" i="1"/>
  <c r="E50" i="1" s="1"/>
  <c r="E54" i="1" s="1"/>
  <c r="F48" i="1"/>
  <c r="F50" i="1" s="1"/>
  <c r="F54" i="1" s="1"/>
  <c r="D54" i="1"/>
  <c r="D9" i="1" s="1"/>
  <c r="F76" i="1"/>
  <c r="F78" i="1" s="1"/>
  <c r="F11" i="1" s="1"/>
  <c r="I11" i="1" s="1"/>
  <c r="G11" i="1"/>
  <c r="G13" i="1"/>
  <c r="F22" i="1"/>
  <c r="F25" i="1"/>
  <c r="E22" i="1"/>
  <c r="E25" i="1"/>
  <c r="F32" i="1"/>
  <c r="F34" i="1" s="1"/>
  <c r="E63" i="1"/>
  <c r="E65" i="1" s="1"/>
  <c r="E68" i="1" s="1"/>
  <c r="E10" i="1" s="1"/>
  <c r="F63" i="1"/>
  <c r="F65" i="1" s="1"/>
  <c r="F68" i="1" s="1"/>
  <c r="F10" i="1" s="1"/>
  <c r="I12" i="4" l="1"/>
  <c r="G12" i="4"/>
  <c r="M14" i="4" s="1"/>
  <c r="P11" i="4"/>
  <c r="J14" i="4"/>
  <c r="F9" i="1"/>
  <c r="E9" i="1"/>
  <c r="I10" i="1"/>
  <c r="G10" i="1"/>
  <c r="D38" i="1"/>
  <c r="D8" i="1" s="1"/>
  <c r="D12" i="1" s="1"/>
  <c r="D14" i="1" s="1"/>
  <c r="F27" i="1"/>
  <c r="F38" i="1" s="1"/>
  <c r="F8" i="1" s="1"/>
  <c r="E27" i="1"/>
  <c r="G14" i="4" l="1"/>
  <c r="P11" i="1"/>
  <c r="J14" i="1"/>
  <c r="G9" i="1"/>
  <c r="I9" i="1"/>
  <c r="F12" i="1"/>
  <c r="R11" i="1" s="1"/>
  <c r="E38" i="1"/>
  <c r="E8" i="1" s="1"/>
  <c r="I8" i="1"/>
  <c r="F14" i="1" l="1"/>
  <c r="E12" i="1"/>
  <c r="Q11" i="1" s="1"/>
  <c r="G8" i="1"/>
  <c r="I12" i="1" l="1"/>
  <c r="E14" i="1"/>
  <c r="G12" i="1"/>
  <c r="M14" i="1" l="1"/>
  <c r="G14" i="1"/>
</calcChain>
</file>

<file path=xl/sharedStrings.xml><?xml version="1.0" encoding="utf-8"?>
<sst xmlns="http://schemas.openxmlformats.org/spreadsheetml/2006/main" count="514" uniqueCount="213">
  <si>
    <t>ROI Calculator</t>
  </si>
  <si>
    <t>On Screen Content</t>
  </si>
  <si>
    <t>Customer Input</t>
  </si>
  <si>
    <t>Total Number of Employees</t>
  </si>
  <si>
    <t>Number of locations/sites (Includes HQ, Datacenters, Cloud, Branch, Retail, Manufacturing Plants)</t>
  </si>
  <si>
    <t>Region (Country)</t>
  </si>
  <si>
    <t>Singapore</t>
  </si>
  <si>
    <t>Percentage of Remote/Hybrid Employees</t>
  </si>
  <si>
    <t>Number of countries (if multiple sites are located in one country, count them as one)</t>
  </si>
  <si>
    <t>Cost of SASE Per User Per Year</t>
  </si>
  <si>
    <t>Replace existing MPLS with SASE Traffic Acceleration</t>
  </si>
  <si>
    <t>Yes</t>
  </si>
  <si>
    <t>Number of Application Hosting Sites. Number of locations where applications servers are hosted. Please include public/private cloud locations as well.</t>
  </si>
  <si>
    <t>Cost Savings Benefit</t>
  </si>
  <si>
    <t>Year 1</t>
  </si>
  <si>
    <t>Year 2</t>
  </si>
  <si>
    <t>Year 3</t>
  </si>
  <si>
    <t>Total</t>
  </si>
  <si>
    <t>NPV=</t>
  </si>
  <si>
    <t>Security &amp; Networking Org Efficiency Gain</t>
  </si>
  <si>
    <t>End User Productivity Gains</t>
  </si>
  <si>
    <t>This is Business User Gain - Not IT Savings (Added Business Value)</t>
  </si>
  <si>
    <t>Security and Data Breach Risk Reduction</t>
  </si>
  <si>
    <t>Total Costs</t>
  </si>
  <si>
    <t>Security &amp; Networking Infra Cost Reduction</t>
  </si>
  <si>
    <t>Total Benefits</t>
  </si>
  <si>
    <t>Total Benefit</t>
  </si>
  <si>
    <t>ROI Percentage</t>
  </si>
  <si>
    <t>Payback Period (In Months) =</t>
  </si>
  <si>
    <t>Avg Yearly Benefit</t>
  </si>
  <si>
    <t>Section 1</t>
  </si>
  <si>
    <t xml:space="preserve"> Security &amp; Networking Org Efficiency Gain</t>
  </si>
  <si>
    <t>Existing Sangfor SASE customers were able to ease the load from members of their Security and Networking Teams resulting from managed service as well as automation of various activities. Furthermore, scaling networking and security is lot easier without need for additonal efforts. More than 80% gain in time savings when it comes to security policy changes, setting up SD-WAN for a new site.</t>
  </si>
  <si>
    <t>Ref</t>
  </si>
  <si>
    <t>Metric</t>
  </si>
  <si>
    <t>Assumptions</t>
  </si>
  <si>
    <t>A1</t>
  </si>
  <si>
    <t>Size of the Security Org (FTEs)</t>
  </si>
  <si>
    <t>Company hires one security team employee for every 1500 employees</t>
  </si>
  <si>
    <t>A2</t>
  </si>
  <si>
    <t>Avg % Time Spend on Administration, Policy Making and Configuration</t>
  </si>
  <si>
    <t>Based on existing Industry Trends</t>
  </si>
  <si>
    <t>A3</t>
  </si>
  <si>
    <t>% of efficiency gains due to Access Secure</t>
  </si>
  <si>
    <t>Based on existing Access Secure customer feedback</t>
  </si>
  <si>
    <t>A4</t>
  </si>
  <si>
    <t>Subtotal: Total time savings (in FTEs) for Administration, Policy Making and Configuration (A1*A2*A3)</t>
  </si>
  <si>
    <t>A5</t>
  </si>
  <si>
    <t>% of time tracking and responding to security incidents</t>
  </si>
  <si>
    <t>A6</t>
  </si>
  <si>
    <t>A7</t>
  </si>
  <si>
    <t>Subtotal: Total time savings in tracking and responding to security incidents (FTEs) - A1*A5*A6</t>
  </si>
  <si>
    <t>A8</t>
  </si>
  <si>
    <t>Average fully burdened annual salary of Security FTE (in USD)</t>
  </si>
  <si>
    <t>In USD (Based on region selected above in : Source Glassdoor)</t>
  </si>
  <si>
    <t>A9</t>
  </si>
  <si>
    <t>Total value of Security organization efficiency gain (A4+A7)*A8</t>
  </si>
  <si>
    <t>In USD</t>
  </si>
  <si>
    <t>B1</t>
  </si>
  <si>
    <t>Size of the Networking Org (FTEs)</t>
  </si>
  <si>
    <t>Company hires one networking team employee for every 1800 employees</t>
  </si>
  <si>
    <t>B2</t>
  </si>
  <si>
    <t>% of time spend on Administration, Setting up new Sites (SD-WAN), Scaling HW</t>
  </si>
  <si>
    <t>B3</t>
  </si>
  <si>
    <t>B4</t>
  </si>
  <si>
    <t>Subtotal: Total time savings (in FTEs) for Administration, Setting up new Sites (SD-WAN), Scaling HW (B1*B2*B3)</t>
  </si>
  <si>
    <t>B5</t>
  </si>
  <si>
    <t>Average fully burdened annual salary of Networking FTE (in USD)</t>
  </si>
  <si>
    <t>B6</t>
  </si>
  <si>
    <t>Total value of Networking organization efficiency gain (B4*B5)</t>
  </si>
  <si>
    <t>C1</t>
  </si>
  <si>
    <t>Productivity Recapture</t>
  </si>
  <si>
    <t>Not all saved time leads to increase in business value</t>
  </si>
  <si>
    <t>C2</t>
  </si>
  <si>
    <t>Risk Adjustment</t>
  </si>
  <si>
    <t>Adjusting down for assumptions</t>
  </si>
  <si>
    <t>C3</t>
  </si>
  <si>
    <t>Section 2</t>
  </si>
  <si>
    <t>Before using Sangfor Access Secure, customers security and networking problems would sometime disrupt work done by business and end users. The primary reasons behind these disruptions were security breach, security investigation procedures, network/security solution outage, poor performance especially for remote/hybrid workforce. Sangfor Access Secure has improved avg end user productivity per year by more than 8% for these existing customers across all business and end users.</t>
  </si>
  <si>
    <t>E1</t>
  </si>
  <si>
    <t>Total Employees</t>
  </si>
  <si>
    <t>E2</t>
  </si>
  <si>
    <t>Avg % Time Spend in doing remote/hybrid work</t>
  </si>
  <si>
    <t>E3</t>
  </si>
  <si>
    <t>Percentage of end users productivity impacted by system disruptions</t>
  </si>
  <si>
    <t>20% remote employee productivity gets impacted by system disruptions</t>
  </si>
  <si>
    <t>E4</t>
  </si>
  <si>
    <t>Subtotal: Total end user productivity lost (in FTEs) - E1*E2*E3</t>
  </si>
  <si>
    <t>E5</t>
  </si>
  <si>
    <t>% of productivity improvement out of productivity lost</t>
  </si>
  <si>
    <t>E6</t>
  </si>
  <si>
    <t>Subtotal: Total end user productivity recovered (in FTEs) - E4*E5</t>
  </si>
  <si>
    <t>E7</t>
  </si>
  <si>
    <t>Average fully burdened annual salary of FTE (in USD)</t>
  </si>
  <si>
    <t>Based on region selected above in - Source Glassdoor</t>
  </si>
  <si>
    <t>E8</t>
  </si>
  <si>
    <t>Total value of End user productivity gains E6*E7</t>
  </si>
  <si>
    <t>F1</t>
  </si>
  <si>
    <t>Not all productivity gains leads to business value</t>
  </si>
  <si>
    <t>F2</t>
  </si>
  <si>
    <t>F3</t>
  </si>
  <si>
    <t>Section 3</t>
  </si>
  <si>
    <t>Sangfor Access Secure integrates networking and security together with a unified policy infrastructure, which removes security gaps due to different point solutions that do not integrate. This reduces the risk of security and data breach. It also provides complete end to end visibility into user activities. The reduction of security and data breach is significantly true for remote/hybrid workers, since Sangfor Access Secure provides of visibility, control, and protection on any device at any location any time.</t>
  </si>
  <si>
    <t>H1</t>
  </si>
  <si>
    <t>Average number of security or data breaches per year</t>
  </si>
  <si>
    <t>Source: Forrester Consulting Cost Of A Cybersecurity Breach Survey</t>
  </si>
  <si>
    <t>H2</t>
  </si>
  <si>
    <t>H3</t>
  </si>
  <si>
    <t>H4</t>
  </si>
  <si>
    <t>Average cost of data breach per employee (in USD)</t>
  </si>
  <si>
    <t>Source: Forrester Consulting Cost Of A Cybersecurity Breach Survey (includes Fines to regulatory bodies, Customer reimbursement/lawsuits, Incident response and remediation, Lost revenues, Brand equity rebuild costs, Cost of customer reacquisition) - Does not include the loss of worker productivity as it was considered in section 2.</t>
  </si>
  <si>
    <t>H5</t>
  </si>
  <si>
    <t>Subtotal: Total cost of security and data risk (in USDs) - H1*H2*H3*H4</t>
  </si>
  <si>
    <t>H6</t>
  </si>
  <si>
    <t>Reduced likelihood of a breach due to Sangfor SASE</t>
  </si>
  <si>
    <t>H7</t>
  </si>
  <si>
    <t>Subtotal: Security and Data breach risk reduction (in USDs) - H5*H6</t>
  </si>
  <si>
    <t>G1</t>
  </si>
  <si>
    <t>G2</t>
  </si>
  <si>
    <t>Section 4</t>
  </si>
  <si>
    <t>Customers were able to reduce their annual annual security and networking tech spend, since Access Secure offer end to end full stack security and networking capabilities through one platform. Examples of products replaced includes VPNs, SWGs, FWs, Edge Security, DLP, SD-WAN, Web Proxy.</t>
  </si>
  <si>
    <t>J1</t>
  </si>
  <si>
    <t>Annual Security and Networking Tech Spend</t>
  </si>
  <si>
    <t xml:space="preserve"> [(Number of Employees *$20) + (Number of Remote Sites*$5000) + (Number of Application Hosting Locations, DCs*$50,000)]</t>
  </si>
  <si>
    <t>J2</t>
  </si>
  <si>
    <t>Percentage of savings from vendor consolidation related to Sangfor Access Secure</t>
  </si>
  <si>
    <t>Based on existing Access Secure customer deployment plans</t>
  </si>
  <si>
    <t>J4</t>
  </si>
  <si>
    <t>Replacing existing MPLS connectivity cost</t>
  </si>
  <si>
    <t>Existing MPLS Expenses: USD 3000 per 10MB per month (36K per year per site)</t>
  </si>
  <si>
    <t>J5</t>
  </si>
  <si>
    <t>Security and networking infrastructure cost reduction and avoidance</t>
  </si>
  <si>
    <t>J6</t>
  </si>
  <si>
    <t>Risk adjustment</t>
  </si>
  <si>
    <t>Costs</t>
  </si>
  <si>
    <t>Analysis Of Costs</t>
  </si>
  <si>
    <t>1. Installation and Deployment Costs: Deploying Access Secure requir collaboration from different teams (IT, Security, and Networking Teams) along with Sangfor Support. From our experience Sangfor SASE can be setup along with PoC within 3 months.
2. User Training and Ongoing Management Cost: FTEs spend almost 10% of their time intially (1st Year) to understand Access Secure and that reduces gradually as they learn the solution.
3. Access Secure Licensing Cost: The cost per user to use Access Secure is arounf USD 50 per user per year + the SASE connector appliance cost (2 for each application site) + Cross Border Traffic Acceleration Cost (Depends on number of sites and bandwidth)</t>
  </si>
  <si>
    <t>Z1</t>
  </si>
  <si>
    <t>Number of FTEs Required</t>
  </si>
  <si>
    <t>For every 2000 business users one FTE is needed to manage SASE</t>
  </si>
  <si>
    <t>Z2</t>
  </si>
  <si>
    <t>Time spent on Sangfor SASE per team member</t>
  </si>
  <si>
    <t>Time spend reduces as solution stablizes</t>
  </si>
  <si>
    <t>Z3</t>
  </si>
  <si>
    <t>Time spent on migration of legacy infra to SASE</t>
  </si>
  <si>
    <t>Time spend reduces as migration progresses</t>
  </si>
  <si>
    <t>Z4</t>
  </si>
  <si>
    <t>Based on Glassdoor data for Security Expert Avg Salary</t>
  </si>
  <si>
    <t>Z5</t>
  </si>
  <si>
    <t>Subtotal: Installation and Deployment Cost</t>
  </si>
  <si>
    <t>Z6</t>
  </si>
  <si>
    <t>Percentage of time spent for ongoing management and FTE training</t>
  </si>
  <si>
    <t>Z7</t>
  </si>
  <si>
    <t>Subtotal: User Training and Ongoing Maintenance Cost</t>
  </si>
  <si>
    <t>Z8</t>
  </si>
  <si>
    <t>Cost of SASE User Licenses (Per user per year)</t>
  </si>
  <si>
    <t>Per User Per Year Cost - $ 50 USD (ZTG + SGA)</t>
  </si>
  <si>
    <t>Z9</t>
  </si>
  <si>
    <t>Cost of SASE Connector (2 per application hosting location)</t>
  </si>
  <si>
    <t>Includes cost of Connector License + hosting VM for customer</t>
  </si>
  <si>
    <t>Z10</t>
  </si>
  <si>
    <t xml:space="preserve">Cost of Cross Border Traffic Acceleration, 10Mbps per location </t>
  </si>
  <si>
    <t>Each site with a bandwidth capacity of 10 Mbps</t>
  </si>
  <si>
    <t>Z11</t>
  </si>
  <si>
    <t xml:space="preserve">Total Cost of the Solution: </t>
  </si>
  <si>
    <t>Z12</t>
  </si>
  <si>
    <t>ROI Calculator - to USE</t>
  </si>
  <si>
    <t>Security and Networking Org Efficiency Gain</t>
  </si>
  <si>
    <t>security team per employee</t>
  </si>
  <si>
    <t>avg Time Spend on Administration</t>
  </si>
  <si>
    <t>efficiency gains due to Access Secure</t>
  </si>
  <si>
    <t>time tracking and responding to security</t>
  </si>
  <si>
    <t>Size of the Networking Org</t>
  </si>
  <si>
    <t>time spend on Administration</t>
  </si>
  <si>
    <t>end users productivity impacted</t>
  </si>
  <si>
    <t>productivity improvement</t>
  </si>
  <si>
    <t>Average number of security</t>
  </si>
  <si>
    <t>Average cost of data breach</t>
  </si>
  <si>
    <t>Reduced likelihood of a breach</t>
  </si>
  <si>
    <t>Security and Networking Infra Cost Reduction</t>
  </si>
  <si>
    <t>number of employee cost</t>
  </si>
  <si>
    <t>number of remote sites</t>
  </si>
  <si>
    <t>DCs</t>
  </si>
  <si>
    <t>Percentage of savings from vendor</t>
  </si>
  <si>
    <t xml:space="preserve">Percentage of time spent for ongoing management </t>
  </si>
  <si>
    <t>Cost of SASE Connector</t>
  </si>
  <si>
    <t>Cost of Cross Border Traffic Acceleration</t>
  </si>
  <si>
    <t>Country</t>
  </si>
  <si>
    <t>Security Employee Salary</t>
  </si>
  <si>
    <t>Network Employee Salary</t>
  </si>
  <si>
    <t>Avg National Salary 2024</t>
  </si>
  <si>
    <t>SASE Cost Per User Per Year</t>
  </si>
  <si>
    <t>Malaysia</t>
  </si>
  <si>
    <t>Indonesia</t>
  </si>
  <si>
    <t>Hongkong</t>
  </si>
  <si>
    <t>Thailand</t>
  </si>
  <si>
    <t>Vietnam</t>
  </si>
  <si>
    <t xml:space="preserve">Philippines </t>
  </si>
  <si>
    <t>Italy</t>
  </si>
  <si>
    <t>Turkey</t>
  </si>
  <si>
    <t>UAE</t>
  </si>
  <si>
    <t>Original Calculator File</t>
  </si>
  <si>
    <t>https://sangforltd-my.sharepoint.com/:x:/g/personal/akarsh_jain_sangfor_com/EaPNqCcYSO5Pvs5kU2KFx8MBteF4eHAXgq40LDu4WExQuQ?e=WPXMnz</t>
  </si>
  <si>
    <t>Report Sample</t>
  </si>
  <si>
    <t>https://sangforltd-my.sharepoint.com/:w:/g/personal/akarsh_jain_sangfor_com/EYQDcFM6hRtIpYA64sDSevQBFEh9hgYN2NHdVPjCXR6C5A?e=sCH1gx</t>
  </si>
  <si>
    <t>Blog Article 1</t>
  </si>
  <si>
    <t>https://sangforltd-my.sharepoint.com/:w:/g/personal/akarsh_jain_sangfor_com/EatQBZGvKrFNnMeObMsNv0wBW6CXlY4YDgB9R30s4_HCGg?e=Cet3QL</t>
  </si>
  <si>
    <t>Versa Calculator</t>
  </si>
  <si>
    <t>https://versa-networks.com/roi-calculator/</t>
  </si>
  <si>
    <t>Versa Inbetween Redirect URL</t>
  </si>
  <si>
    <t>https://go.versa-networks.com/l/633831/2021-05-26/49l4g</t>
  </si>
  <si>
    <t>Versa Calculator Result Page</t>
  </si>
  <si>
    <t>https://versa-networks.com/roi-calculator/response/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</si>
</sst>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quot;₹&quot;\ * #,##0.00_ ;_ &quot;₹&quot;\ * \-#,##0.00_ ;_ &quot;₹&quot;\ * &quot;-&quot;??_ ;_ @_ "/>
    <numFmt numFmtId="165" formatCode="_ * #,##0.00_ ;_ * \-#,##0.00_ ;_ * &quot;-&quot;??_ ;_ @_ "/>
    <numFmt numFmtId="166" formatCode="_ * #,##0_ ;_ * \-#,##0_ ;_ * &quot;-&quot;??_ ;_ @_ "/>
    <numFmt numFmtId="167" formatCode="_-[$$-409]* #,##0.00_ ;_-[$$-409]* \-#,##0.00\ ;_-[$$-409]* &quot;-&quot;??_ ;_-@_ "/>
    <numFmt numFmtId="168" formatCode="_-[$$-409]* #,##0_ ;_-[$$-409]* \-#,##0\ ;_-[$$-409]* &quot;-&quot;??_ ;_-@_ "/>
    <numFmt numFmtId="169" formatCode="&quot;$&quot;#,##0.0_);[Red]\(&quot;$&quot;#,##0.0\)"/>
    <numFmt numFmtId="170" formatCode="_([$$-409]* #,##0_);_([$$-409]* \(#,##0\);_([$$-409]* &quot;-&quot;??_);_(@_)"/>
  </numFmts>
  <fonts count="15">
    <font>
      <sz val="11"/>
      <color theme="1"/>
      <name val="Calibri"/>
      <family val="2"/>
      <scheme val="minor"/>
    </font>
    <font>
      <sz val="11"/>
      <color theme="1"/>
      <name val="Calibri"/>
      <family val="2"/>
      <scheme val="minor"/>
    </font>
    <font>
      <b/>
      <sz val="15"/>
      <color theme="3"/>
      <name val="Calibri"/>
      <family val="2"/>
      <scheme val="minor"/>
    </font>
    <font>
      <b/>
      <sz val="11"/>
      <color theme="1"/>
      <name val="Calibri"/>
      <family val="2"/>
      <scheme val="minor"/>
    </font>
    <font>
      <sz val="48"/>
      <color theme="1"/>
      <name val="Calibri"/>
      <family val="2"/>
      <scheme val="minor"/>
    </font>
    <font>
      <i/>
      <sz val="11"/>
      <color rgb="FFFF0000"/>
      <name val="Calibri"/>
      <family val="2"/>
      <scheme val="minor"/>
    </font>
    <font>
      <sz val="8"/>
      <name val="Calibri"/>
      <family val="2"/>
      <scheme val="minor"/>
    </font>
    <font>
      <b/>
      <sz val="11"/>
      <color theme="0"/>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1"/>
      <color rgb="FF242424"/>
      <name val="Aptos Narrow"/>
      <charset val="1"/>
    </font>
    <font>
      <b/>
      <sz val="11"/>
      <color rgb="FF242424"/>
      <name val="Aptos Narrow"/>
      <charset val="1"/>
    </font>
    <font>
      <b/>
      <sz val="11"/>
      <color rgb="FF000000"/>
      <name val="Calibri"/>
      <charset val="1"/>
    </font>
    <font>
      <sz val="11"/>
      <color rgb="FF000000"/>
      <name val="Calibri"/>
      <charset val="1"/>
    </font>
  </fonts>
  <fills count="13">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1"/>
        <bgColor indexed="64"/>
      </patternFill>
    </fill>
    <fill>
      <patternFill patternType="solid">
        <fgColor rgb="FF002060"/>
        <bgColor indexed="64"/>
      </patternFill>
    </fill>
    <fill>
      <patternFill patternType="solid">
        <fgColor theme="7" tint="-0.249977111117893"/>
        <bgColor indexed="64"/>
      </patternFill>
    </fill>
  </fills>
  <borders count="12">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indexed="64"/>
      </right>
      <top/>
      <bottom style="thin">
        <color indexed="64"/>
      </bottom>
      <diagonal/>
    </border>
  </borders>
  <cellStyleXfs count="6">
    <xf numFmtId="0" fontId="0" fillId="0" borderId="0"/>
    <xf numFmtId="165"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xf numFmtId="0" fontId="10" fillId="0" borderId="0" applyNumberFormat="0" applyFill="0" applyBorder="0" applyAlignment="0" applyProtection="0"/>
  </cellStyleXfs>
  <cellXfs count="73">
    <xf numFmtId="0" fontId="0" fillId="0" borderId="0" xfId="0"/>
    <xf numFmtId="0" fontId="2" fillId="0" borderId="0" xfId="4" applyBorder="1"/>
    <xf numFmtId="0" fontId="0" fillId="0" borderId="2" xfId="0" applyBorder="1"/>
    <xf numFmtId="0" fontId="3" fillId="0" borderId="0" xfId="0" applyFont="1"/>
    <xf numFmtId="9" fontId="0" fillId="0" borderId="2" xfId="0" applyNumberFormat="1" applyBorder="1"/>
    <xf numFmtId="167" fontId="0" fillId="0" borderId="2" xfId="2" applyNumberFormat="1" applyFont="1" applyBorder="1"/>
    <xf numFmtId="166" fontId="0" fillId="0" borderId="2" xfId="0" applyNumberFormat="1" applyBorder="1"/>
    <xf numFmtId="4" fontId="0" fillId="0" borderId="0" xfId="0" applyNumberFormat="1"/>
    <xf numFmtId="3" fontId="0" fillId="0" borderId="0" xfId="0" applyNumberFormat="1"/>
    <xf numFmtId="167" fontId="0" fillId="0" borderId="2" xfId="0" applyNumberFormat="1" applyBorder="1"/>
    <xf numFmtId="0" fontId="0" fillId="5" borderId="2" xfId="0" applyFill="1" applyBorder="1"/>
    <xf numFmtId="168" fontId="0" fillId="0" borderId="2" xfId="2" applyNumberFormat="1" applyFont="1" applyBorder="1"/>
    <xf numFmtId="168" fontId="0" fillId="5" borderId="2" xfId="0" applyNumberFormat="1" applyFill="1" applyBorder="1"/>
    <xf numFmtId="0" fontId="0" fillId="0" borderId="5" xfId="0" applyBorder="1"/>
    <xf numFmtId="0" fontId="3" fillId="2" borderId="2" xfId="0" applyFont="1" applyFill="1" applyBorder="1"/>
    <xf numFmtId="168" fontId="0" fillId="0" borderId="2" xfId="0" applyNumberFormat="1" applyBorder="1"/>
    <xf numFmtId="0" fontId="3" fillId="7" borderId="2" xfId="0" applyFont="1" applyFill="1" applyBorder="1"/>
    <xf numFmtId="168" fontId="3" fillId="7" borderId="2" xfId="1" applyNumberFormat="1" applyFont="1" applyFill="1" applyBorder="1"/>
    <xf numFmtId="0" fontId="3" fillId="2" borderId="5" xfId="0" applyFont="1" applyFill="1" applyBorder="1"/>
    <xf numFmtId="0" fontId="0" fillId="5" borderId="5" xfId="0" applyFill="1" applyBorder="1"/>
    <xf numFmtId="0" fontId="3" fillId="7" borderId="5" xfId="0" applyFont="1" applyFill="1" applyBorder="1"/>
    <xf numFmtId="0" fontId="3" fillId="2" borderId="4" xfId="0" applyFont="1" applyFill="1" applyBorder="1"/>
    <xf numFmtId="0" fontId="0" fillId="0" borderId="4" xfId="0" applyBorder="1"/>
    <xf numFmtId="9" fontId="0" fillId="0" borderId="4" xfId="0" applyNumberFormat="1" applyBorder="1"/>
    <xf numFmtId="0" fontId="0" fillId="5" borderId="4" xfId="0" applyFill="1" applyBorder="1"/>
    <xf numFmtId="168" fontId="0" fillId="0" borderId="4" xfId="0" applyNumberFormat="1" applyBorder="1"/>
    <xf numFmtId="168" fontId="3" fillId="7" borderId="2" xfId="0" applyNumberFormat="1" applyFont="1" applyFill="1" applyBorder="1"/>
    <xf numFmtId="166" fontId="0" fillId="0" borderId="4" xfId="0" applyNumberFormat="1" applyBorder="1"/>
    <xf numFmtId="9" fontId="0" fillId="0" borderId="2" xfId="3" applyFont="1" applyBorder="1"/>
    <xf numFmtId="0" fontId="0" fillId="7" borderId="2" xfId="0" applyFill="1" applyBorder="1"/>
    <xf numFmtId="168" fontId="0" fillId="9" borderId="2" xfId="0" applyNumberFormat="1" applyFill="1" applyBorder="1"/>
    <xf numFmtId="0" fontId="0" fillId="4" borderId="2" xfId="0" applyFill="1" applyBorder="1"/>
    <xf numFmtId="168" fontId="0" fillId="4" borderId="2" xfId="0" applyNumberFormat="1" applyFill="1" applyBorder="1"/>
    <xf numFmtId="9" fontId="3" fillId="5" borderId="2" xfId="3" applyFont="1" applyFill="1" applyBorder="1"/>
    <xf numFmtId="166" fontId="0" fillId="5" borderId="2" xfId="0" applyNumberFormat="1" applyFill="1" applyBorder="1"/>
    <xf numFmtId="0" fontId="7" fillId="10" borderId="0" xfId="0" applyFont="1" applyFill="1"/>
    <xf numFmtId="169" fontId="0" fillId="0" borderId="0" xfId="0" applyNumberFormat="1"/>
    <xf numFmtId="168" fontId="0" fillId="0" borderId="0" xfId="0" applyNumberFormat="1"/>
    <xf numFmtId="168" fontId="0" fillId="0" borderId="7" xfId="0" applyNumberFormat="1" applyBorder="1"/>
    <xf numFmtId="0" fontId="0" fillId="0" borderId="8" xfId="0" applyBorder="1"/>
    <xf numFmtId="0" fontId="0" fillId="0" borderId="9" xfId="0" applyBorder="1"/>
    <xf numFmtId="0" fontId="7" fillId="11" borderId="0" xfId="0" applyFont="1" applyFill="1" applyAlignment="1">
      <alignment horizontal="center" vertical="center"/>
    </xf>
    <xf numFmtId="0" fontId="7" fillId="11" borderId="0" xfId="0" applyFont="1" applyFill="1" applyAlignment="1">
      <alignment horizontal="left" vertical="center"/>
    </xf>
    <xf numFmtId="0" fontId="3" fillId="2" borderId="7" xfId="0" applyFont="1" applyFill="1" applyBorder="1" applyAlignment="1">
      <alignment horizontal="left" vertical="center"/>
    </xf>
    <xf numFmtId="168" fontId="0" fillId="0" borderId="11" xfId="0" applyNumberFormat="1" applyBorder="1"/>
    <xf numFmtId="168" fontId="0" fillId="0" borderId="3" xfId="0" applyNumberFormat="1" applyBorder="1"/>
    <xf numFmtId="0" fontId="8" fillId="11" borderId="10" xfId="0" applyFont="1" applyFill="1" applyBorder="1" applyAlignment="1">
      <alignment horizontal="left" vertical="center"/>
    </xf>
    <xf numFmtId="170" fontId="8" fillId="11" borderId="10" xfId="0" applyNumberFormat="1" applyFont="1" applyFill="1" applyBorder="1" applyAlignment="1">
      <alignment horizontal="left" vertical="center"/>
    </xf>
    <xf numFmtId="9" fontId="8" fillId="11" borderId="10" xfId="0" applyNumberFormat="1" applyFont="1" applyFill="1" applyBorder="1" applyAlignment="1">
      <alignment horizontal="center" vertical="center"/>
    </xf>
    <xf numFmtId="0" fontId="7" fillId="12" borderId="0" xfId="0" applyFont="1" applyFill="1" applyAlignment="1">
      <alignment horizontal="center" vertical="center"/>
    </xf>
    <xf numFmtId="9" fontId="7" fillId="12" borderId="0" xfId="0" applyNumberFormat="1" applyFont="1" applyFill="1" applyAlignment="1">
      <alignment horizontal="center" vertical="center"/>
    </xf>
    <xf numFmtId="168" fontId="9" fillId="0" borderId="2" xfId="0" applyNumberFormat="1" applyFont="1" applyBorder="1"/>
    <xf numFmtId="0" fontId="10" fillId="0" borderId="0" xfId="5"/>
    <xf numFmtId="0" fontId="11" fillId="0" borderId="0" xfId="0" applyFont="1"/>
    <xf numFmtId="9" fontId="0" fillId="0" borderId="0" xfId="0" applyNumberFormat="1"/>
    <xf numFmtId="0" fontId="12" fillId="0" borderId="0" xfId="0" applyFont="1"/>
    <xf numFmtId="0" fontId="13" fillId="0" borderId="0" xfId="0" applyFont="1"/>
    <xf numFmtId="0" fontId="14" fillId="0" borderId="0" xfId="0" applyFont="1"/>
    <xf numFmtId="0" fontId="5" fillId="0" borderId="4" xfId="0" applyFont="1" applyBorder="1" applyAlignment="1">
      <alignment horizontal="center"/>
    </xf>
    <xf numFmtId="0" fontId="5" fillId="0" borderId="6" xfId="0" applyFont="1" applyBorder="1" applyAlignment="1">
      <alignment horizontal="center"/>
    </xf>
    <xf numFmtId="0" fontId="5" fillId="0" borderId="5" xfId="0" applyFont="1" applyBorder="1" applyAlignment="1">
      <alignment horizontal="center"/>
    </xf>
    <xf numFmtId="0" fontId="0" fillId="0" borderId="2" xfId="0" applyBorder="1" applyAlignment="1">
      <alignment horizontal="center"/>
    </xf>
    <xf numFmtId="0" fontId="5" fillId="0" borderId="3" xfId="0" applyFont="1" applyBorder="1" applyAlignment="1">
      <alignment horizontal="center"/>
    </xf>
    <xf numFmtId="0" fontId="5" fillId="0" borderId="2" xfId="0" applyFont="1" applyBorder="1" applyAlignment="1">
      <alignment horizontal="center"/>
    </xf>
    <xf numFmtId="0" fontId="4" fillId="6" borderId="2" xfId="0" applyFont="1" applyFill="1" applyBorder="1" applyAlignment="1">
      <alignment horizontal="center" vertical="center" textRotation="90"/>
    </xf>
    <xf numFmtId="0" fontId="3" fillId="3" borderId="5" xfId="0" applyFont="1" applyFill="1" applyBorder="1" applyAlignment="1">
      <alignment horizontal="left"/>
    </xf>
    <xf numFmtId="0" fontId="3" fillId="3" borderId="2" xfId="0" applyFont="1" applyFill="1" applyBorder="1" applyAlignment="1">
      <alignment horizontal="left"/>
    </xf>
    <xf numFmtId="0" fontId="0" fillId="4" borderId="5" xfId="0" applyFill="1" applyBorder="1" applyAlignment="1">
      <alignment horizontal="left" vertical="center" wrapText="1"/>
    </xf>
    <xf numFmtId="0" fontId="0" fillId="4" borderId="2" xfId="0" applyFill="1" applyBorder="1" applyAlignment="1">
      <alignment horizontal="left" vertical="center" wrapText="1"/>
    </xf>
    <xf numFmtId="0" fontId="5" fillId="8" borderId="2" xfId="0" applyFont="1" applyFill="1" applyBorder="1" applyAlignment="1">
      <alignment horizontal="center"/>
    </xf>
    <xf numFmtId="0" fontId="5" fillId="0" borderId="2" xfId="0" applyFont="1" applyBorder="1" applyAlignment="1">
      <alignment horizontal="left"/>
    </xf>
    <xf numFmtId="0" fontId="0" fillId="0" borderId="6" xfId="0" applyBorder="1" applyAlignment="1">
      <alignment horizontal="center"/>
    </xf>
    <xf numFmtId="0" fontId="0" fillId="0" borderId="5" xfId="0" applyBorder="1" applyAlignment="1">
      <alignment horizontal="center"/>
    </xf>
  </cellXfs>
  <cellStyles count="6">
    <cellStyle name="Comma" xfId="1" builtinId="3"/>
    <cellStyle name="Currency" xfId="2" builtinId="4"/>
    <cellStyle name="Heading 1" xfId="4" builtinId="16"/>
    <cellStyle name="Hyperlink" xfId="5"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Financial Analysis (Risk Adjusted)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'SASE ROI - Original'!$O$10</c:f>
              <c:strCache>
                <c:ptCount val="1"/>
                <c:pt idx="0">
                  <c:v>Total Costs</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val>
            <c:numRef>
              <c:f>'SASE ROI - Original'!$P$10:$R$10</c:f>
              <c:numCache>
                <c:formatCode>_-[$$-409]* #,##0_ ;_-[$$-409]* \-#,##0\ ;_-[$$-409]* "-"??_ ;_-@_ </c:formatCode>
                <c:ptCount val="3"/>
                <c:pt idx="0">
                  <c:v>470746.5</c:v>
                </c:pt>
                <c:pt idx="1">
                  <c:v>423231.9</c:v>
                </c:pt>
                <c:pt idx="2">
                  <c:v>374133.48</c:v>
                </c:pt>
              </c:numCache>
            </c:numRef>
          </c:val>
          <c:extLst>
            <c:ext xmlns:c16="http://schemas.microsoft.com/office/drawing/2014/chart" uri="{C3380CC4-5D6E-409C-BE32-E72D297353CC}">
              <c16:uniqueId val="{00000001-5DAC-4CE5-A3AB-6DB755BF4034}"/>
            </c:ext>
          </c:extLst>
        </c:ser>
        <c:ser>
          <c:idx val="1"/>
          <c:order val="1"/>
          <c:tx>
            <c:strRef>
              <c:f>'SASE ROI - Original'!$O$11</c:f>
              <c:strCache>
                <c:ptCount val="1"/>
                <c:pt idx="0">
                  <c:v>Total Benefits</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val>
            <c:numRef>
              <c:f>'SASE ROI - Original'!$P$11:$R$11</c:f>
              <c:numCache>
                <c:formatCode>_-[$$-409]* #,##0_ ;_-[$$-409]* \-#,##0\ ;_-[$$-409]* "-"??_ ;_-@_ </c:formatCode>
                <c:ptCount val="3"/>
                <c:pt idx="0">
                  <c:v>1120252.3500000001</c:v>
                </c:pt>
                <c:pt idx="1">
                  <c:v>1167766.9500000002</c:v>
                </c:pt>
                <c:pt idx="2">
                  <c:v>1216865.3700000001</c:v>
                </c:pt>
              </c:numCache>
            </c:numRef>
          </c:val>
          <c:extLst>
            <c:ext xmlns:c16="http://schemas.microsoft.com/office/drawing/2014/chart" uri="{C3380CC4-5D6E-409C-BE32-E72D297353CC}">
              <c16:uniqueId val="{00000003-5DAC-4CE5-A3AB-6DB755BF4034}"/>
            </c:ext>
          </c:extLst>
        </c:ser>
        <c:dLbls>
          <c:showLegendKey val="0"/>
          <c:showVal val="0"/>
          <c:showCatName val="0"/>
          <c:showSerName val="0"/>
          <c:showPercent val="0"/>
          <c:showBubbleSize val="0"/>
        </c:dLbls>
        <c:gapWidth val="219"/>
        <c:overlap val="-27"/>
        <c:axId val="271692807"/>
        <c:axId val="271695367"/>
      </c:barChart>
      <c:catAx>
        <c:axId val="27169280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695367"/>
        <c:crosses val="autoZero"/>
        <c:auto val="1"/>
        <c:lblAlgn val="ctr"/>
        <c:lblOffset val="100"/>
        <c:noMultiLvlLbl val="0"/>
      </c:catAx>
      <c:valAx>
        <c:axId val="271695367"/>
        <c:scaling>
          <c:orientation val="minMax"/>
        </c:scaling>
        <c:delete val="0"/>
        <c:axPos val="l"/>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6928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Financial Analysis (Risk Adjusted)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'SASE ROI - to USE'!$O$10</c:f>
              <c:strCache>
                <c:ptCount val="1"/>
                <c:pt idx="0">
                  <c:v>Total Costs</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val>
            <c:numRef>
              <c:f>'SASE ROI - to USE'!$P$10:$R$10</c:f>
              <c:numCache>
                <c:formatCode>_-[$$-409]* #,##0_ ;_-[$$-409]* \-#,##0\ ;_-[$$-409]* "-"??_ ;_-@_ </c:formatCode>
                <c:ptCount val="3"/>
                <c:pt idx="0">
                  <c:v>470746.5</c:v>
                </c:pt>
                <c:pt idx="1">
                  <c:v>423231.9</c:v>
                </c:pt>
                <c:pt idx="2">
                  <c:v>374133.48</c:v>
                </c:pt>
              </c:numCache>
            </c:numRef>
          </c:val>
          <c:extLst>
            <c:ext xmlns:c16="http://schemas.microsoft.com/office/drawing/2014/chart" uri="{C3380CC4-5D6E-409C-BE32-E72D297353CC}">
              <c16:uniqueId val="{00000001-C741-4DF0-8A7E-224B66ED0440}"/>
            </c:ext>
          </c:extLst>
        </c:ser>
        <c:ser>
          <c:idx val="1"/>
          <c:order val="1"/>
          <c:tx>
            <c:strRef>
              <c:f>'SASE ROI - to USE'!$O$11</c:f>
              <c:strCache>
                <c:ptCount val="1"/>
                <c:pt idx="0">
                  <c:v>Total Benefits</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val>
            <c:numRef>
              <c:f>'SASE ROI - to USE'!$P$11:$R$11</c:f>
              <c:numCache>
                <c:formatCode>_-[$$-409]* #,##0_ ;_-[$$-409]* \-#,##0\ ;_-[$$-409]* "-"??_ ;_-@_ </c:formatCode>
                <c:ptCount val="3"/>
                <c:pt idx="0">
                  <c:v>1120252.3500000001</c:v>
                </c:pt>
                <c:pt idx="1">
                  <c:v>1167766.9500000002</c:v>
                </c:pt>
                <c:pt idx="2">
                  <c:v>1216865.3700000001</c:v>
                </c:pt>
              </c:numCache>
            </c:numRef>
          </c:val>
          <c:extLst>
            <c:ext xmlns:c16="http://schemas.microsoft.com/office/drawing/2014/chart" uri="{C3380CC4-5D6E-409C-BE32-E72D297353CC}">
              <c16:uniqueId val="{00000003-C741-4DF0-8A7E-224B66ED0440}"/>
            </c:ext>
          </c:extLst>
        </c:ser>
        <c:dLbls>
          <c:showLegendKey val="0"/>
          <c:showVal val="0"/>
          <c:showCatName val="0"/>
          <c:showSerName val="0"/>
          <c:showPercent val="0"/>
          <c:showBubbleSize val="0"/>
        </c:dLbls>
        <c:gapWidth val="219"/>
        <c:overlap val="-27"/>
        <c:axId val="271692807"/>
        <c:axId val="271695367"/>
      </c:barChart>
      <c:catAx>
        <c:axId val="27169280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695367"/>
        <c:crosses val="autoZero"/>
        <c:auto val="1"/>
        <c:lblAlgn val="ctr"/>
        <c:lblOffset val="100"/>
        <c:noMultiLvlLbl val="0"/>
      </c:catAx>
      <c:valAx>
        <c:axId val="271695367"/>
        <c:scaling>
          <c:orientation val="minMax"/>
        </c:scaling>
        <c:delete val="0"/>
        <c:axPos val="l"/>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6928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13</xdr:col>
      <xdr:colOff>561975</xdr:colOff>
      <xdr:row>11</xdr:row>
      <xdr:rowOff>104775</xdr:rowOff>
    </xdr:from>
    <xdr:to>
      <xdr:col>20</xdr:col>
      <xdr:colOff>9525</xdr:colOff>
      <xdr:row>24</xdr:row>
      <xdr:rowOff>161925</xdr:rowOff>
    </xdr:to>
    <xdr:graphicFrame macro="">
      <xdr:nvGraphicFramePr>
        <xdr:cNvPr id="4" name="Chart 3">
          <a:extLst>
            <a:ext uri="{FF2B5EF4-FFF2-40B4-BE49-F238E27FC236}">
              <a16:creationId xmlns:a16="http://schemas.microsoft.com/office/drawing/2014/main" id="{B236DB86-C424-D951-3FDF-4150824FF4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561975</xdr:colOff>
      <xdr:row>11</xdr:row>
      <xdr:rowOff>104775</xdr:rowOff>
    </xdr:from>
    <xdr:to>
      <xdr:col>20</xdr:col>
      <xdr:colOff>9525</xdr:colOff>
      <xdr:row>24</xdr:row>
      <xdr:rowOff>161925</xdr:rowOff>
    </xdr:to>
    <xdr:graphicFrame macro="">
      <xdr:nvGraphicFramePr>
        <xdr:cNvPr id="2" name="Chart 3">
          <a:extLst>
            <a:ext uri="{FF2B5EF4-FFF2-40B4-BE49-F238E27FC236}">
              <a16:creationId xmlns:a16="http://schemas.microsoft.com/office/drawing/2014/main" id="{D4692D1F-E53B-4312-AC8D-193A59D088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hyperlink" Target="https://go.versa-networks.com/l/633831/2021-05-26/49l4g" TargetMode="External"/><Relationship Id="rId2" Type="http://schemas.openxmlformats.org/officeDocument/2006/relationships/hyperlink" Target="https://versa-networks.com/roi-calculator/response/" TargetMode="External"/><Relationship Id="rId1" Type="http://schemas.openxmlformats.org/officeDocument/2006/relationships/hyperlink" Target="https://sangforltd-my.sharepoint.com/:x:/g/personal/akarsh_jain_sangfor_com/EaPNqCcYSO5Pvs5kU2KFx8MBteF4eHAXgq40LDu4WExQuQ?e=WPXMnz" TargetMode="External"/><Relationship Id="rId6" Type="http://schemas.openxmlformats.org/officeDocument/2006/relationships/hyperlink" Target="https://sangforltd-my.sharepoint.com/:w:/g/personal/akarsh_jain_sangfor_com/EatQBZGvKrFNnMeObMsNv0wBW6CXlY4YDgB9R30s4_HCGg?e=Cet3QL" TargetMode="External"/><Relationship Id="rId5" Type="http://schemas.openxmlformats.org/officeDocument/2006/relationships/hyperlink" Target="https://sangforltd-my.sharepoint.com/:w:/g/personal/akarsh_jain_sangfor_com/EYQDcFM6hRtIpYA64sDSevQBFEh9hgYN2NHdVPjCXR6C5A?e=sCH1gx" TargetMode="External"/><Relationship Id="rId4" Type="http://schemas.openxmlformats.org/officeDocument/2006/relationships/hyperlink" Target="https://versa-networks.com/roi-calculato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96"/>
  <sheetViews>
    <sheetView showGridLines="0" topLeftCell="A77" zoomScale="119" workbookViewId="0">
      <selection activeCell="E5" sqref="E5"/>
    </sheetView>
  </sheetViews>
  <sheetFormatPr defaultColWidth="8.85546875" defaultRowHeight="13.7" customHeight="1"/>
  <cols>
    <col min="3" max="3" width="36.85546875" customWidth="1"/>
    <col min="4" max="4" width="19" customWidth="1"/>
    <col min="5" max="5" width="17.7109375" customWidth="1"/>
    <col min="6" max="6" width="25.28515625" customWidth="1"/>
    <col min="7" max="7" width="11.85546875" customWidth="1"/>
    <col min="8" max="8" width="11.140625" bestFit="1" customWidth="1"/>
    <col min="9" max="9" width="19.85546875" customWidth="1"/>
    <col min="10" max="10" width="16.85546875" customWidth="1"/>
    <col min="12" max="12" width="18.28515625" customWidth="1"/>
    <col min="13" max="13" width="13.7109375" customWidth="1"/>
    <col min="15" max="15" width="14.7109375" customWidth="1"/>
    <col min="16" max="18" width="11.85546875" bestFit="1" customWidth="1"/>
  </cols>
  <sheetData>
    <row r="1" spans="1:19" ht="25.7" customHeight="1">
      <c r="A1" s="1" t="s">
        <v>0</v>
      </c>
      <c r="B1" s="1"/>
      <c r="D1" s="41" t="s">
        <v>1</v>
      </c>
      <c r="E1" s="49" t="s">
        <v>2</v>
      </c>
    </row>
    <row r="2" spans="1:19" ht="25.7" customHeight="1">
      <c r="A2" s="1"/>
      <c r="B2" s="1"/>
    </row>
    <row r="3" spans="1:19" ht="19.5">
      <c r="A3" s="1"/>
      <c r="B3" s="1"/>
      <c r="C3" s="42" t="s">
        <v>3</v>
      </c>
      <c r="D3" s="49">
        <v>5000</v>
      </c>
      <c r="F3" s="42" t="s">
        <v>4</v>
      </c>
      <c r="G3" s="49">
        <v>5</v>
      </c>
      <c r="I3" s="42" t="s">
        <v>5</v>
      </c>
      <c r="J3" s="49" t="s">
        <v>6</v>
      </c>
    </row>
    <row r="4" spans="1:19" ht="19.5">
      <c r="A4" s="1"/>
      <c r="B4" s="1"/>
      <c r="C4" s="42" t="s">
        <v>7</v>
      </c>
      <c r="D4" s="50">
        <v>0.5</v>
      </c>
      <c r="F4" s="42" t="s">
        <v>8</v>
      </c>
      <c r="G4" s="49">
        <v>2</v>
      </c>
      <c r="I4" s="2" t="s">
        <v>9</v>
      </c>
      <c r="J4" s="9">
        <f>VLOOKUP(J3,Lists!E2:I12,5,FALSE)</f>
        <v>65</v>
      </c>
    </row>
    <row r="5" spans="1:19" ht="19.5">
      <c r="A5" s="1"/>
      <c r="B5" s="1"/>
      <c r="C5" s="42" t="s">
        <v>10</v>
      </c>
      <c r="D5" s="49" t="s">
        <v>11</v>
      </c>
      <c r="F5" s="42" t="s">
        <v>12</v>
      </c>
      <c r="G5" s="49">
        <v>1</v>
      </c>
    </row>
    <row r="6" spans="1:19" ht="25.7" customHeight="1">
      <c r="A6" s="1"/>
      <c r="B6" s="1"/>
    </row>
    <row r="7" spans="1:19" ht="13.7" customHeight="1">
      <c r="C7" s="43" t="s">
        <v>13</v>
      </c>
      <c r="D7" s="43" t="s">
        <v>14</v>
      </c>
      <c r="E7" s="43" t="s">
        <v>15</v>
      </c>
      <c r="F7" s="43" t="s">
        <v>16</v>
      </c>
      <c r="G7" s="43" t="s">
        <v>17</v>
      </c>
      <c r="I7" s="35" t="s">
        <v>18</v>
      </c>
    </row>
    <row r="8" spans="1:19" ht="13.7" customHeight="1">
      <c r="C8" s="46" t="s">
        <v>19</v>
      </c>
      <c r="D8" s="44">
        <f>D38</f>
        <v>133448.85</v>
      </c>
      <c r="E8" s="44">
        <f t="shared" ref="E8:F8" si="0">E38</f>
        <v>133448.85</v>
      </c>
      <c r="F8" s="44">
        <f t="shared" si="0"/>
        <v>133448.85</v>
      </c>
      <c r="G8" s="45">
        <f t="shared" ref="G8:G13" si="1">SUM(D8:F8)</f>
        <v>400346.55000000005</v>
      </c>
      <c r="I8" s="47">
        <f>NPV(5%,D8:F8)</f>
        <v>363414.31778425659</v>
      </c>
    </row>
    <row r="9" spans="1:19" ht="13.7" customHeight="1">
      <c r="C9" s="46" t="s">
        <v>20</v>
      </c>
      <c r="D9" s="51">
        <f>D54</f>
        <v>1107000</v>
      </c>
      <c r="E9" s="51">
        <f>E54</f>
        <v>1107000</v>
      </c>
      <c r="F9" s="51">
        <f>F54</f>
        <v>1107000</v>
      </c>
      <c r="G9" s="51">
        <f t="shared" si="1"/>
        <v>3321000</v>
      </c>
      <c r="I9" s="47">
        <f t="shared" ref="I8:I11" si="2">NPV(5%,D9:F9)</f>
        <v>3014635.5685131196</v>
      </c>
      <c r="J9" t="s">
        <v>21</v>
      </c>
    </row>
    <row r="10" spans="1:19" ht="13.7" customHeight="1">
      <c r="C10" s="46" t="s">
        <v>22</v>
      </c>
      <c r="D10" s="15">
        <f>D68</f>
        <v>238500</v>
      </c>
      <c r="E10" s="15">
        <f>E68</f>
        <v>238500</v>
      </c>
      <c r="F10" s="15">
        <f>F68</f>
        <v>238500</v>
      </c>
      <c r="G10" s="15">
        <f t="shared" si="1"/>
        <v>715500</v>
      </c>
      <c r="I10" s="47">
        <f t="shared" si="2"/>
        <v>649494.65500485909</v>
      </c>
      <c r="O10" s="39" t="s">
        <v>23</v>
      </c>
      <c r="P10" s="38">
        <f>D13</f>
        <v>470746.5</v>
      </c>
      <c r="Q10" s="38">
        <f>E13</f>
        <v>423231.9</v>
      </c>
      <c r="R10" s="38">
        <f>F13</f>
        <v>374133.48</v>
      </c>
      <c r="S10" s="37"/>
    </row>
    <row r="11" spans="1:19" ht="13.7" customHeight="1">
      <c r="C11" s="46" t="s">
        <v>24</v>
      </c>
      <c r="D11" s="15">
        <f>D78</f>
        <v>112050</v>
      </c>
      <c r="E11" s="15">
        <f>E78</f>
        <v>112050</v>
      </c>
      <c r="F11" s="15">
        <f>F78</f>
        <v>112050</v>
      </c>
      <c r="G11" s="15">
        <f t="shared" si="1"/>
        <v>336150</v>
      </c>
      <c r="I11" s="47">
        <f t="shared" si="2"/>
        <v>305139.94169096206</v>
      </c>
      <c r="O11" s="40" t="s">
        <v>25</v>
      </c>
      <c r="P11" s="38">
        <f>D12-D13</f>
        <v>1120252.3500000001</v>
      </c>
      <c r="Q11" s="38">
        <f>E12-E13</f>
        <v>1167766.9500000002</v>
      </c>
      <c r="R11" s="38">
        <f>F12-F13</f>
        <v>1216865.3700000001</v>
      </c>
    </row>
    <row r="12" spans="1:19" ht="13.7" customHeight="1">
      <c r="C12" s="46" t="s">
        <v>26</v>
      </c>
      <c r="D12" s="30">
        <f>SUM(D8:D11)</f>
        <v>1590998.85</v>
      </c>
      <c r="E12" s="30">
        <f>SUM(E8:E11)</f>
        <v>1590998.85</v>
      </c>
      <c r="F12" s="30">
        <f>SUM(F8:F11)</f>
        <v>1590998.85</v>
      </c>
      <c r="G12" s="30">
        <f t="shared" si="1"/>
        <v>4772996.5500000007</v>
      </c>
      <c r="I12" s="47">
        <f>NPV(5%,D12:F12)</f>
        <v>4332684.4829931976</v>
      </c>
    </row>
    <row r="13" spans="1:19" ht="13.7" customHeight="1">
      <c r="C13" s="31" t="s">
        <v>23</v>
      </c>
      <c r="D13" s="32">
        <f>D96</f>
        <v>470746.5</v>
      </c>
      <c r="E13" s="32">
        <f>E96</f>
        <v>423231.9</v>
      </c>
      <c r="F13" s="32">
        <f>F96</f>
        <v>374133.48</v>
      </c>
      <c r="G13" s="32">
        <f t="shared" si="1"/>
        <v>1268111.8799999999</v>
      </c>
    </row>
    <row r="14" spans="1:19" ht="13.7" customHeight="1">
      <c r="C14" s="46" t="s">
        <v>27</v>
      </c>
      <c r="D14" s="33">
        <f>(D12-D13)/D13</f>
        <v>2.3797359088171661</v>
      </c>
      <c r="E14" s="33">
        <f>(E12-E13)/E13</f>
        <v>2.7591657197862451</v>
      </c>
      <c r="F14" s="33">
        <f>(F12-F13)/F13</f>
        <v>3.2524899134929068</v>
      </c>
      <c r="G14" s="48">
        <f>(G12-G13)/G13</f>
        <v>2.7638607643988014</v>
      </c>
      <c r="I14" s="35" t="s">
        <v>28</v>
      </c>
      <c r="J14">
        <f>(D13/(D12-D13))*12</f>
        <v>5.042576344517375</v>
      </c>
      <c r="K14" s="36"/>
      <c r="L14" s="35" t="s">
        <v>29</v>
      </c>
      <c r="M14" s="37">
        <f>(G12-G13)/3</f>
        <v>1168294.8900000004</v>
      </c>
    </row>
    <row r="16" spans="1:19" ht="13.7" customHeight="1">
      <c r="A16" s="64" t="s">
        <v>30</v>
      </c>
      <c r="B16" s="65" t="s">
        <v>31</v>
      </c>
      <c r="C16" s="66"/>
      <c r="D16" s="66"/>
      <c r="E16" s="66"/>
      <c r="F16" s="66"/>
      <c r="G16" s="66"/>
      <c r="H16" s="66"/>
      <c r="I16" s="66"/>
      <c r="J16" s="66"/>
    </row>
    <row r="17" spans="1:10" ht="45.6" customHeight="1">
      <c r="A17" s="64"/>
      <c r="B17" s="67" t="s">
        <v>32</v>
      </c>
      <c r="C17" s="68"/>
      <c r="D17" s="68"/>
      <c r="E17" s="68"/>
      <c r="F17" s="68"/>
      <c r="G17" s="68"/>
      <c r="H17" s="68"/>
      <c r="I17" s="68"/>
      <c r="J17" s="68"/>
    </row>
    <row r="18" spans="1:10" ht="13.7" customHeight="1">
      <c r="A18" s="64"/>
      <c r="B18" s="18" t="s">
        <v>33</v>
      </c>
      <c r="C18" s="14" t="s">
        <v>34</v>
      </c>
      <c r="D18" s="14" t="s">
        <v>14</v>
      </c>
      <c r="E18" s="14" t="s">
        <v>15</v>
      </c>
      <c r="F18" s="21" t="s">
        <v>16</v>
      </c>
      <c r="G18" s="69" t="s">
        <v>35</v>
      </c>
      <c r="H18" s="69"/>
      <c r="I18" s="69"/>
      <c r="J18" s="69"/>
    </row>
    <row r="19" spans="1:10" ht="13.7" customHeight="1">
      <c r="A19" s="64"/>
      <c r="B19" s="13" t="s">
        <v>36</v>
      </c>
      <c r="C19" s="2" t="s">
        <v>37</v>
      </c>
      <c r="D19" s="2">
        <f>ROUNDUP(D3/1500,0)</f>
        <v>4</v>
      </c>
      <c r="E19" s="2">
        <f>D19</f>
        <v>4</v>
      </c>
      <c r="F19" s="22">
        <f>D19</f>
        <v>4</v>
      </c>
      <c r="G19" s="63" t="s">
        <v>38</v>
      </c>
      <c r="H19" s="63"/>
      <c r="I19" s="63"/>
      <c r="J19" s="63"/>
    </row>
    <row r="20" spans="1:10" ht="13.7" customHeight="1">
      <c r="A20" s="64"/>
      <c r="B20" s="13" t="s">
        <v>39</v>
      </c>
      <c r="C20" s="2" t="s">
        <v>40</v>
      </c>
      <c r="D20" s="4">
        <v>0.6</v>
      </c>
      <c r="E20" s="4">
        <v>0.6</v>
      </c>
      <c r="F20" s="23">
        <v>0.6</v>
      </c>
      <c r="G20" s="63" t="s">
        <v>41</v>
      </c>
      <c r="H20" s="63"/>
      <c r="I20" s="63"/>
      <c r="J20" s="63"/>
    </row>
    <row r="21" spans="1:10" ht="13.7" customHeight="1">
      <c r="A21" s="64"/>
      <c r="B21" s="13" t="s">
        <v>42</v>
      </c>
      <c r="C21" s="2" t="s">
        <v>43</v>
      </c>
      <c r="D21" s="4">
        <v>0.55000000000000004</v>
      </c>
      <c r="E21" s="4">
        <v>0.6</v>
      </c>
      <c r="F21" s="23">
        <v>0.65</v>
      </c>
      <c r="G21" s="63" t="s">
        <v>44</v>
      </c>
      <c r="H21" s="63"/>
      <c r="I21" s="63"/>
      <c r="J21" s="63"/>
    </row>
    <row r="22" spans="1:10" ht="15">
      <c r="A22" s="64"/>
      <c r="B22" s="19" t="s">
        <v>45</v>
      </c>
      <c r="C22" s="10" t="s">
        <v>46</v>
      </c>
      <c r="D22" s="10">
        <f>ROUNDUP(D19*D20*D21,0)</f>
        <v>2</v>
      </c>
      <c r="E22" s="10">
        <f>ROUNDUP(E19*E20*E21,0)</f>
        <v>2</v>
      </c>
      <c r="F22" s="24">
        <f>ROUNDUP(F19*F20*F21,0)</f>
        <v>2</v>
      </c>
      <c r="G22" s="63"/>
      <c r="H22" s="63"/>
      <c r="I22" s="63"/>
      <c r="J22" s="63"/>
    </row>
    <row r="23" spans="1:10" ht="15">
      <c r="A23" s="64"/>
      <c r="B23" s="13" t="s">
        <v>47</v>
      </c>
      <c r="C23" s="2" t="s">
        <v>48</v>
      </c>
      <c r="D23" s="4">
        <v>0.15</v>
      </c>
      <c r="E23" s="4">
        <v>0.15</v>
      </c>
      <c r="F23" s="23">
        <v>0.15</v>
      </c>
      <c r="G23" s="63" t="s">
        <v>41</v>
      </c>
      <c r="H23" s="63"/>
      <c r="I23" s="63"/>
      <c r="J23" s="63"/>
    </row>
    <row r="24" spans="1:10" ht="15">
      <c r="A24" s="64"/>
      <c r="B24" s="13" t="s">
        <v>49</v>
      </c>
      <c r="C24" s="2" t="s">
        <v>43</v>
      </c>
      <c r="D24" s="4">
        <v>0.55000000000000004</v>
      </c>
      <c r="E24" s="4">
        <v>0.6</v>
      </c>
      <c r="F24" s="23">
        <v>0.65</v>
      </c>
      <c r="G24" s="63" t="s">
        <v>44</v>
      </c>
      <c r="H24" s="63"/>
      <c r="I24" s="63"/>
      <c r="J24" s="63"/>
    </row>
    <row r="25" spans="1:10" ht="13.7" customHeight="1">
      <c r="A25" s="64"/>
      <c r="B25" s="19" t="s">
        <v>50</v>
      </c>
      <c r="C25" s="10" t="s">
        <v>51</v>
      </c>
      <c r="D25" s="10">
        <f>ROUNDUP(D19*D23*D24,0)</f>
        <v>1</v>
      </c>
      <c r="E25" s="10">
        <f>ROUNDUP(E19*E23*E24,0)</f>
        <v>1</v>
      </c>
      <c r="F25" s="24">
        <f>ROUNDUP(F19*F23*F24,0)</f>
        <v>1</v>
      </c>
      <c r="G25" s="63"/>
      <c r="H25" s="63"/>
      <c r="I25" s="63"/>
      <c r="J25" s="63"/>
    </row>
    <row r="26" spans="1:10" ht="13.7" customHeight="1">
      <c r="A26" s="64"/>
      <c r="B26" s="13" t="s">
        <v>52</v>
      </c>
      <c r="C26" s="2" t="s">
        <v>53</v>
      </c>
      <c r="D26" s="15">
        <f>VLOOKUP($J$3,Lists!$E$3:$F$12,2,FALSE)</f>
        <v>50280</v>
      </c>
      <c r="E26" s="15">
        <f>VLOOKUP($J$3,Lists!$E$3:$F$12,2,FALSE)</f>
        <v>50280</v>
      </c>
      <c r="F26" s="25">
        <f>VLOOKUP($J$3,Lists!$E$3:$F$12,2,FALSE)</f>
        <v>50280</v>
      </c>
      <c r="G26" s="63" t="s">
        <v>54</v>
      </c>
      <c r="H26" s="63"/>
      <c r="I26" s="63"/>
      <c r="J26" s="63"/>
    </row>
    <row r="27" spans="1:10" ht="13.7" customHeight="1">
      <c r="A27" s="64"/>
      <c r="B27" s="20" t="s">
        <v>55</v>
      </c>
      <c r="C27" s="16" t="s">
        <v>56</v>
      </c>
      <c r="D27" s="17">
        <f>(D22+D25)*D26</f>
        <v>150840</v>
      </c>
      <c r="E27" s="17">
        <f>(E22+E25)*E26</f>
        <v>150840</v>
      </c>
      <c r="F27" s="17">
        <f>(F22+F25)*F26</f>
        <v>150840</v>
      </c>
      <c r="G27" s="63" t="s">
        <v>57</v>
      </c>
      <c r="H27" s="63"/>
      <c r="I27" s="63"/>
      <c r="J27" s="63"/>
    </row>
    <row r="28" spans="1:10" ht="13.7" customHeight="1">
      <c r="A28" s="64"/>
      <c r="B28" s="71"/>
      <c r="C28" s="71"/>
      <c r="D28" s="71"/>
      <c r="E28" s="71"/>
      <c r="F28" s="71"/>
      <c r="G28" s="71"/>
      <c r="H28" s="71"/>
      <c r="I28" s="71"/>
      <c r="J28" s="72"/>
    </row>
    <row r="29" spans="1:10" ht="15">
      <c r="A29" s="64"/>
      <c r="B29" s="13" t="s">
        <v>58</v>
      </c>
      <c r="C29" s="2" t="s">
        <v>59</v>
      </c>
      <c r="D29" s="2">
        <f>ROUNDUP(D3/1800,0)</f>
        <v>3</v>
      </c>
      <c r="E29" s="2">
        <f>D29</f>
        <v>3</v>
      </c>
      <c r="F29" s="2">
        <f>D29</f>
        <v>3</v>
      </c>
      <c r="G29" s="63" t="s">
        <v>60</v>
      </c>
      <c r="H29" s="63"/>
      <c r="I29" s="63"/>
      <c r="J29" s="63"/>
    </row>
    <row r="30" spans="1:10" ht="15">
      <c r="A30" s="64"/>
      <c r="B30" s="13" t="s">
        <v>61</v>
      </c>
      <c r="C30" s="13" t="s">
        <v>62</v>
      </c>
      <c r="D30" s="4">
        <v>0.33</v>
      </c>
      <c r="E30" s="4">
        <v>0.33</v>
      </c>
      <c r="F30" s="23">
        <v>0.33</v>
      </c>
      <c r="G30" s="63" t="s">
        <v>41</v>
      </c>
      <c r="H30" s="63"/>
      <c r="I30" s="63"/>
      <c r="J30" s="63"/>
    </row>
    <row r="31" spans="1:10" ht="15">
      <c r="A31" s="64"/>
      <c r="B31" s="13" t="s">
        <v>63</v>
      </c>
      <c r="C31" s="2" t="s">
        <v>43</v>
      </c>
      <c r="D31" s="4">
        <v>0.55000000000000004</v>
      </c>
      <c r="E31" s="4">
        <v>0.6</v>
      </c>
      <c r="F31" s="23">
        <v>0.65</v>
      </c>
      <c r="G31" s="63" t="s">
        <v>44</v>
      </c>
      <c r="H31" s="63"/>
      <c r="I31" s="63"/>
      <c r="J31" s="63"/>
    </row>
    <row r="32" spans="1:10" ht="13.7" customHeight="1">
      <c r="A32" s="64"/>
      <c r="B32" s="19" t="s">
        <v>64</v>
      </c>
      <c r="C32" s="10" t="s">
        <v>65</v>
      </c>
      <c r="D32" s="10">
        <f>ROUNDUP(D29*D30*D31,0)</f>
        <v>1</v>
      </c>
      <c r="E32" s="10">
        <f>ROUNDUP(E29*E30*E31,0)</f>
        <v>1</v>
      </c>
      <c r="F32" s="24">
        <f>ROUNDUP(F29*F30*F31,0)</f>
        <v>1</v>
      </c>
      <c r="G32" s="63"/>
      <c r="H32" s="63"/>
      <c r="I32" s="63"/>
      <c r="J32" s="63"/>
    </row>
    <row r="33" spans="1:10" ht="13.7" customHeight="1">
      <c r="A33" s="64"/>
      <c r="B33" s="13" t="s">
        <v>66</v>
      </c>
      <c r="C33" s="2" t="s">
        <v>67</v>
      </c>
      <c r="D33" s="15">
        <f>VLOOKUP($J$3,Lists!$E$3:$G$12,3,FALSE)</f>
        <v>46862</v>
      </c>
      <c r="E33" s="15">
        <f>VLOOKUP($J$3,Lists!$E$3:$G$12,3,FALSE)</f>
        <v>46862</v>
      </c>
      <c r="F33" s="15">
        <f>VLOOKUP($J$3,Lists!$E$3:$G$12,3,FALSE)</f>
        <v>46862</v>
      </c>
      <c r="G33" s="63" t="s">
        <v>54</v>
      </c>
      <c r="H33" s="63"/>
      <c r="I33" s="63"/>
      <c r="J33" s="63"/>
    </row>
    <row r="34" spans="1:10" ht="13.7" customHeight="1">
      <c r="A34" s="64"/>
      <c r="B34" s="16" t="s">
        <v>68</v>
      </c>
      <c r="C34" s="16" t="s">
        <v>69</v>
      </c>
      <c r="D34" s="26">
        <f>D33*D32</f>
        <v>46862</v>
      </c>
      <c r="E34" s="26">
        <f>E33*E32</f>
        <v>46862</v>
      </c>
      <c r="F34" s="26">
        <f>F33*F32</f>
        <v>46862</v>
      </c>
      <c r="G34" s="63" t="s">
        <v>57</v>
      </c>
      <c r="H34" s="63"/>
      <c r="I34" s="63"/>
      <c r="J34" s="63"/>
    </row>
    <row r="35" spans="1:10" ht="13.7" customHeight="1">
      <c r="A35" s="64"/>
      <c r="B35" s="61"/>
      <c r="C35" s="61"/>
      <c r="D35" s="61"/>
      <c r="E35" s="61"/>
      <c r="F35" s="61"/>
      <c r="G35" s="61"/>
      <c r="H35" s="61"/>
      <c r="I35" s="61"/>
      <c r="J35" s="61"/>
    </row>
    <row r="36" spans="1:10" ht="13.7" customHeight="1">
      <c r="A36" s="64"/>
      <c r="B36" s="13" t="s">
        <v>70</v>
      </c>
      <c r="C36" s="13" t="s">
        <v>71</v>
      </c>
      <c r="D36" s="4">
        <v>0.25</v>
      </c>
      <c r="E36" s="4">
        <v>0.25</v>
      </c>
      <c r="F36" s="4">
        <v>0.25</v>
      </c>
      <c r="G36" s="63" t="s">
        <v>72</v>
      </c>
      <c r="H36" s="63"/>
      <c r="I36" s="63"/>
      <c r="J36" s="63"/>
    </row>
    <row r="37" spans="1:10" ht="15">
      <c r="A37" s="64"/>
      <c r="B37" s="13" t="s">
        <v>73</v>
      </c>
      <c r="C37" s="13" t="s">
        <v>74</v>
      </c>
      <c r="D37" s="4">
        <v>0.1</v>
      </c>
      <c r="E37" s="4">
        <v>0.1</v>
      </c>
      <c r="F37" s="4">
        <v>0.1</v>
      </c>
      <c r="G37" s="62" t="s">
        <v>75</v>
      </c>
      <c r="H37" s="62"/>
      <c r="I37" s="62"/>
      <c r="J37" s="62"/>
    </row>
    <row r="38" spans="1:10" ht="13.7" customHeight="1">
      <c r="A38" s="64"/>
      <c r="B38" s="16" t="s">
        <v>76</v>
      </c>
      <c r="C38" s="16"/>
      <c r="D38" s="26">
        <f>(D27+D34)*(1-D36)*(1-D37)</f>
        <v>133448.85</v>
      </c>
      <c r="E38" s="26">
        <f>(E27+E34)*(1-E36)*(1-E37)</f>
        <v>133448.85</v>
      </c>
      <c r="F38" s="26">
        <f>(F27+F34)*(1-F36)*(1-F37)</f>
        <v>133448.85</v>
      </c>
      <c r="G38" s="63"/>
      <c r="H38" s="63"/>
      <c r="I38" s="63"/>
      <c r="J38" s="63"/>
    </row>
    <row r="40" spans="1:10" ht="13.7" customHeight="1">
      <c r="A40" s="64" t="s">
        <v>77</v>
      </c>
      <c r="B40" s="65" t="s">
        <v>20</v>
      </c>
      <c r="C40" s="66"/>
      <c r="D40" s="66"/>
      <c r="E40" s="66"/>
      <c r="F40" s="66"/>
      <c r="G40" s="66"/>
      <c r="H40" s="66"/>
      <c r="I40" s="66"/>
      <c r="J40" s="66"/>
    </row>
    <row r="41" spans="1:10" ht="45" customHeight="1">
      <c r="A41" s="64"/>
      <c r="B41" s="67" t="s">
        <v>78</v>
      </c>
      <c r="C41" s="68"/>
      <c r="D41" s="68"/>
      <c r="E41" s="68"/>
      <c r="F41" s="68"/>
      <c r="G41" s="68"/>
      <c r="H41" s="68"/>
      <c r="I41" s="68"/>
      <c r="J41" s="68"/>
    </row>
    <row r="42" spans="1:10" ht="13.7" customHeight="1">
      <c r="A42" s="64"/>
      <c r="B42" s="18" t="s">
        <v>33</v>
      </c>
      <c r="C42" s="14" t="s">
        <v>34</v>
      </c>
      <c r="D42" s="14" t="s">
        <v>14</v>
      </c>
      <c r="E42" s="14" t="s">
        <v>15</v>
      </c>
      <c r="F42" s="21" t="s">
        <v>16</v>
      </c>
      <c r="G42" s="69" t="s">
        <v>35</v>
      </c>
      <c r="H42" s="69"/>
      <c r="I42" s="69"/>
      <c r="J42" s="69"/>
    </row>
    <row r="43" spans="1:10" ht="13.7" customHeight="1">
      <c r="A43" s="64"/>
      <c r="B43" s="13" t="s">
        <v>79</v>
      </c>
      <c r="C43" s="2" t="s">
        <v>80</v>
      </c>
      <c r="D43" s="6">
        <f>D3</f>
        <v>5000</v>
      </c>
      <c r="E43" s="6">
        <f>D3</f>
        <v>5000</v>
      </c>
      <c r="F43" s="27">
        <f>D3</f>
        <v>5000</v>
      </c>
      <c r="G43" s="63"/>
      <c r="H43" s="63"/>
      <c r="I43" s="63"/>
      <c r="J43" s="63"/>
    </row>
    <row r="44" spans="1:10" ht="13.7" customHeight="1">
      <c r="A44" s="64"/>
      <c r="B44" s="13" t="s">
        <v>81</v>
      </c>
      <c r="C44" s="2" t="s">
        <v>82</v>
      </c>
      <c r="D44" s="4">
        <f>D4</f>
        <v>0.5</v>
      </c>
      <c r="E44" s="4">
        <f>D4</f>
        <v>0.5</v>
      </c>
      <c r="F44" s="23">
        <f>D4</f>
        <v>0.5</v>
      </c>
      <c r="G44" s="63"/>
      <c r="H44" s="63"/>
      <c r="I44" s="63"/>
      <c r="J44" s="63"/>
    </row>
    <row r="45" spans="1:10" ht="13.7" customHeight="1">
      <c r="A45" s="64"/>
      <c r="B45" s="13" t="s">
        <v>83</v>
      </c>
      <c r="C45" s="2" t="s">
        <v>84</v>
      </c>
      <c r="D45" s="4">
        <v>0.2</v>
      </c>
      <c r="E45" s="4">
        <v>0.2</v>
      </c>
      <c r="F45" s="4">
        <v>0.2</v>
      </c>
      <c r="G45" s="63" t="s">
        <v>85</v>
      </c>
      <c r="H45" s="63"/>
      <c r="I45" s="63"/>
      <c r="J45" s="63"/>
    </row>
    <row r="46" spans="1:10" ht="13.7" customHeight="1">
      <c r="A46" s="64"/>
      <c r="B46" s="10" t="s">
        <v>86</v>
      </c>
      <c r="C46" s="10" t="s">
        <v>87</v>
      </c>
      <c r="D46" s="34">
        <f>D43*D44*D45</f>
        <v>500</v>
      </c>
      <c r="E46" s="10">
        <f>E43*E44*E45</f>
        <v>500</v>
      </c>
      <c r="F46" s="10">
        <f>F43*F44*F45</f>
        <v>500</v>
      </c>
      <c r="G46" s="63"/>
      <c r="H46" s="63"/>
      <c r="I46" s="63"/>
      <c r="J46" s="63"/>
    </row>
    <row r="47" spans="1:10" ht="13.7" customHeight="1">
      <c r="A47" s="64"/>
      <c r="B47" s="13" t="s">
        <v>88</v>
      </c>
      <c r="C47" s="2" t="s">
        <v>89</v>
      </c>
      <c r="D47" s="4">
        <v>0.08</v>
      </c>
      <c r="E47" s="4">
        <v>0.08</v>
      </c>
      <c r="F47" s="23">
        <v>0.08</v>
      </c>
      <c r="G47" s="63" t="s">
        <v>44</v>
      </c>
      <c r="H47" s="63"/>
      <c r="I47" s="63"/>
      <c r="J47" s="63"/>
    </row>
    <row r="48" spans="1:10" ht="13.7" customHeight="1">
      <c r="A48" s="64"/>
      <c r="B48" s="10" t="s">
        <v>90</v>
      </c>
      <c r="C48" s="10" t="s">
        <v>91</v>
      </c>
      <c r="D48" s="10">
        <f>ROUNDUP(D46*D47,0)</f>
        <v>40</v>
      </c>
      <c r="E48" s="10">
        <f t="shared" ref="E48:F48" si="3">ROUNDUP(E46*E47,0)</f>
        <v>40</v>
      </c>
      <c r="F48" s="10">
        <f t="shared" si="3"/>
        <v>40</v>
      </c>
      <c r="G48" s="63"/>
      <c r="H48" s="63"/>
      <c r="I48" s="63"/>
      <c r="J48" s="63"/>
    </row>
    <row r="49" spans="1:10" ht="13.7" customHeight="1">
      <c r="A49" s="64"/>
      <c r="B49" s="13" t="s">
        <v>92</v>
      </c>
      <c r="C49" s="2" t="s">
        <v>93</v>
      </c>
      <c r="D49" s="15">
        <f>VLOOKUP($J$3,Lists!$E$3:$H$12,4,FALSE)</f>
        <v>41000</v>
      </c>
      <c r="E49" s="15">
        <f>VLOOKUP($J$3,Lists!$E$3:$H$12,4,FALSE)</f>
        <v>41000</v>
      </c>
      <c r="F49" s="15">
        <f>VLOOKUP($J$3,Lists!$E$3:$H$12,4,FALSE)</f>
        <v>41000</v>
      </c>
      <c r="G49" s="63" t="s">
        <v>94</v>
      </c>
      <c r="H49" s="63"/>
      <c r="I49" s="63"/>
      <c r="J49" s="63"/>
    </row>
    <row r="50" spans="1:10" ht="13.7" customHeight="1">
      <c r="A50" s="64"/>
      <c r="B50" s="16" t="s">
        <v>95</v>
      </c>
      <c r="C50" s="16" t="s">
        <v>96</v>
      </c>
      <c r="D50" s="26">
        <f>D48*D49</f>
        <v>1640000</v>
      </c>
      <c r="E50" s="26">
        <f>E48*E49</f>
        <v>1640000</v>
      </c>
      <c r="F50" s="26">
        <f>F48*F49</f>
        <v>1640000</v>
      </c>
      <c r="G50" s="63" t="s">
        <v>57</v>
      </c>
      <c r="H50" s="63"/>
      <c r="I50" s="63"/>
      <c r="J50" s="63"/>
    </row>
    <row r="51" spans="1:10" ht="13.7" customHeight="1">
      <c r="A51" s="64"/>
      <c r="B51" s="71"/>
      <c r="C51" s="71"/>
      <c r="D51" s="71"/>
      <c r="E51" s="71"/>
      <c r="F51" s="71"/>
      <c r="G51" s="71"/>
      <c r="H51" s="71"/>
      <c r="I51" s="71"/>
      <c r="J51" s="72"/>
    </row>
    <row r="52" spans="1:10" ht="13.7" customHeight="1">
      <c r="A52" s="64"/>
      <c r="B52" s="13" t="s">
        <v>97</v>
      </c>
      <c r="C52" s="13" t="s">
        <v>71</v>
      </c>
      <c r="D52" s="4">
        <v>0.25</v>
      </c>
      <c r="E52" s="4">
        <v>0.25</v>
      </c>
      <c r="F52" s="4">
        <v>0.25</v>
      </c>
      <c r="G52" s="63" t="s">
        <v>98</v>
      </c>
      <c r="H52" s="63"/>
      <c r="I52" s="63"/>
      <c r="J52" s="63"/>
    </row>
    <row r="53" spans="1:10" ht="13.7" customHeight="1">
      <c r="A53" s="64"/>
      <c r="B53" s="13" t="s">
        <v>99</v>
      </c>
      <c r="C53" s="13" t="s">
        <v>74</v>
      </c>
      <c r="D53" s="4">
        <v>0.1</v>
      </c>
      <c r="E53" s="4">
        <v>0.1</v>
      </c>
      <c r="F53" s="4">
        <v>0.1</v>
      </c>
      <c r="G53" s="62" t="s">
        <v>75</v>
      </c>
      <c r="H53" s="62"/>
      <c r="I53" s="62"/>
      <c r="J53" s="62"/>
    </row>
    <row r="54" spans="1:10" ht="13.7" customHeight="1">
      <c r="A54" s="64"/>
      <c r="B54" s="16" t="s">
        <v>100</v>
      </c>
      <c r="C54" s="16"/>
      <c r="D54" s="26">
        <f>D50*(1-D52)*(1-D53)</f>
        <v>1107000</v>
      </c>
      <c r="E54" s="26">
        <f>E50*(1-E52)*(1-E53)</f>
        <v>1107000</v>
      </c>
      <c r="F54" s="26">
        <f>F50*(1-F52)*(1-F53)</f>
        <v>1107000</v>
      </c>
      <c r="G54" s="63"/>
      <c r="H54" s="63"/>
      <c r="I54" s="63"/>
      <c r="J54" s="63"/>
    </row>
    <row r="56" spans="1:10" ht="13.7" customHeight="1">
      <c r="A56" s="64" t="s">
        <v>101</v>
      </c>
      <c r="B56" s="65" t="s">
        <v>22</v>
      </c>
      <c r="C56" s="66"/>
      <c r="D56" s="66"/>
      <c r="E56" s="66"/>
      <c r="F56" s="66"/>
      <c r="G56" s="66"/>
      <c r="H56" s="66"/>
      <c r="I56" s="66"/>
      <c r="J56" s="66"/>
    </row>
    <row r="57" spans="1:10" ht="49.35" customHeight="1">
      <c r="A57" s="64"/>
      <c r="B57" s="67" t="s">
        <v>102</v>
      </c>
      <c r="C57" s="68"/>
      <c r="D57" s="68"/>
      <c r="E57" s="68"/>
      <c r="F57" s="68"/>
      <c r="G57" s="68"/>
      <c r="H57" s="68"/>
      <c r="I57" s="68"/>
      <c r="J57" s="68"/>
    </row>
    <row r="58" spans="1:10" ht="13.7" customHeight="1">
      <c r="A58" s="64"/>
      <c r="B58" s="18" t="s">
        <v>33</v>
      </c>
      <c r="C58" s="14" t="s">
        <v>34</v>
      </c>
      <c r="D58" s="14" t="s">
        <v>14</v>
      </c>
      <c r="E58" s="14" t="s">
        <v>15</v>
      </c>
      <c r="F58" s="21" t="s">
        <v>16</v>
      </c>
      <c r="G58" s="69" t="s">
        <v>35</v>
      </c>
      <c r="H58" s="69"/>
      <c r="I58" s="69"/>
      <c r="J58" s="69"/>
    </row>
    <row r="59" spans="1:10" ht="13.7" customHeight="1">
      <c r="A59" s="64"/>
      <c r="B59" s="13" t="s">
        <v>103</v>
      </c>
      <c r="C59" s="2" t="s">
        <v>104</v>
      </c>
      <c r="D59" s="2">
        <v>3.2</v>
      </c>
      <c r="E59" s="2">
        <f>D59</f>
        <v>3.2</v>
      </c>
      <c r="F59" s="22">
        <f>D59</f>
        <v>3.2</v>
      </c>
      <c r="G59" s="63" t="s">
        <v>105</v>
      </c>
      <c r="H59" s="63"/>
      <c r="I59" s="63"/>
      <c r="J59" s="63"/>
    </row>
    <row r="60" spans="1:10" ht="13.7" customHeight="1">
      <c r="A60" s="64"/>
      <c r="B60" s="13" t="s">
        <v>106</v>
      </c>
      <c r="C60" s="2" t="s">
        <v>80</v>
      </c>
      <c r="D60" s="6">
        <f>D3</f>
        <v>5000</v>
      </c>
      <c r="E60" s="6">
        <f>D60</f>
        <v>5000</v>
      </c>
      <c r="F60" s="27">
        <f>E60</f>
        <v>5000</v>
      </c>
      <c r="G60" s="63"/>
      <c r="H60" s="63"/>
      <c r="I60" s="63"/>
      <c r="J60" s="63"/>
    </row>
    <row r="61" spans="1:10" ht="13.7" customHeight="1">
      <c r="A61" s="64"/>
      <c r="B61" s="13" t="s">
        <v>107</v>
      </c>
      <c r="C61" s="2" t="s">
        <v>82</v>
      </c>
      <c r="D61" s="4">
        <f>D4</f>
        <v>0.5</v>
      </c>
      <c r="E61" s="4">
        <f>D61</f>
        <v>0.5</v>
      </c>
      <c r="F61" s="23">
        <f>E61</f>
        <v>0.5</v>
      </c>
      <c r="G61" s="63"/>
      <c r="H61" s="63"/>
      <c r="I61" s="63"/>
      <c r="J61" s="63"/>
    </row>
    <row r="62" spans="1:10" ht="13.7" customHeight="1">
      <c r="A62" s="64"/>
      <c r="B62" s="13" t="s">
        <v>108</v>
      </c>
      <c r="C62" s="2" t="s">
        <v>109</v>
      </c>
      <c r="D62" s="5">
        <v>53</v>
      </c>
      <c r="E62" s="5">
        <v>53</v>
      </c>
      <c r="F62" s="5">
        <v>53</v>
      </c>
      <c r="G62" s="70" t="s">
        <v>110</v>
      </c>
      <c r="H62" s="70"/>
      <c r="I62" s="70"/>
      <c r="J62" s="70"/>
    </row>
    <row r="63" spans="1:10" ht="13.7" customHeight="1">
      <c r="A63" s="64"/>
      <c r="B63" s="10" t="s">
        <v>111</v>
      </c>
      <c r="C63" s="10" t="s">
        <v>112</v>
      </c>
      <c r="D63" s="12">
        <f>D59*D60*D61*D62</f>
        <v>424000</v>
      </c>
      <c r="E63" s="12">
        <f>E59*E60*E61*E62</f>
        <v>424000</v>
      </c>
      <c r="F63" s="12">
        <f>F59*F60*F61*F62</f>
        <v>424000</v>
      </c>
      <c r="G63" s="63"/>
      <c r="H63" s="63"/>
      <c r="I63" s="63"/>
      <c r="J63" s="63"/>
    </row>
    <row r="64" spans="1:10" ht="13.7" customHeight="1">
      <c r="A64" s="64"/>
      <c r="B64" s="13" t="s">
        <v>113</v>
      </c>
      <c r="C64" s="2" t="s">
        <v>114</v>
      </c>
      <c r="D64" s="4">
        <v>0.75</v>
      </c>
      <c r="E64" s="4">
        <v>0.75</v>
      </c>
      <c r="F64" s="4">
        <v>0.75</v>
      </c>
      <c r="G64" s="63" t="s">
        <v>44</v>
      </c>
      <c r="H64" s="63"/>
      <c r="I64" s="63"/>
      <c r="J64" s="63"/>
    </row>
    <row r="65" spans="1:10" ht="13.7" customHeight="1">
      <c r="A65" s="64"/>
      <c r="B65" s="16" t="s">
        <v>115</v>
      </c>
      <c r="C65" s="16" t="s">
        <v>116</v>
      </c>
      <c r="D65" s="26">
        <f>D63*D64</f>
        <v>318000</v>
      </c>
      <c r="E65" s="26">
        <f t="shared" ref="E65:F65" si="4">E63*E64</f>
        <v>318000</v>
      </c>
      <c r="F65" s="26">
        <f t="shared" si="4"/>
        <v>318000</v>
      </c>
      <c r="G65" s="58"/>
      <c r="H65" s="59"/>
      <c r="I65" s="59"/>
      <c r="J65" s="60"/>
    </row>
    <row r="66" spans="1:10" ht="13.7" customHeight="1">
      <c r="A66" s="64"/>
      <c r="B66" s="61"/>
      <c r="C66" s="61"/>
      <c r="D66" s="61"/>
      <c r="E66" s="61"/>
      <c r="F66" s="61"/>
      <c r="G66" s="61"/>
      <c r="H66" s="61"/>
      <c r="I66" s="61"/>
      <c r="J66" s="61"/>
    </row>
    <row r="67" spans="1:10" ht="13.7" customHeight="1">
      <c r="A67" s="64"/>
      <c r="B67" s="13" t="s">
        <v>117</v>
      </c>
      <c r="C67" s="13" t="s">
        <v>74</v>
      </c>
      <c r="D67" s="4">
        <v>0.25</v>
      </c>
      <c r="E67" s="4">
        <v>0.25</v>
      </c>
      <c r="F67" s="4">
        <v>0.25</v>
      </c>
      <c r="G67" s="62" t="s">
        <v>75</v>
      </c>
      <c r="H67" s="62"/>
      <c r="I67" s="62"/>
      <c r="J67" s="62"/>
    </row>
    <row r="68" spans="1:10" ht="13.7" customHeight="1">
      <c r="A68" s="64"/>
      <c r="B68" s="16" t="s">
        <v>118</v>
      </c>
      <c r="C68" s="16"/>
      <c r="D68" s="26">
        <f>D65*(1-D67)</f>
        <v>238500</v>
      </c>
      <c r="E68" s="26">
        <f>E65*(1-E67)</f>
        <v>238500</v>
      </c>
      <c r="F68" s="26">
        <f>F65*(1-F67)</f>
        <v>238500</v>
      </c>
      <c r="G68" s="63"/>
      <c r="H68" s="63"/>
      <c r="I68" s="63"/>
      <c r="J68" s="63"/>
    </row>
    <row r="70" spans="1:10" ht="13.7" customHeight="1">
      <c r="A70" s="64" t="s">
        <v>119</v>
      </c>
      <c r="B70" s="65" t="s">
        <v>24</v>
      </c>
      <c r="C70" s="66"/>
      <c r="D70" s="66"/>
      <c r="E70" s="66"/>
      <c r="F70" s="66"/>
      <c r="G70" s="66"/>
      <c r="H70" s="66"/>
      <c r="I70" s="66"/>
      <c r="J70" s="66"/>
    </row>
    <row r="71" spans="1:10" ht="41.45" customHeight="1">
      <c r="A71" s="64"/>
      <c r="B71" s="67" t="s">
        <v>120</v>
      </c>
      <c r="C71" s="68"/>
      <c r="D71" s="68"/>
      <c r="E71" s="68"/>
      <c r="F71" s="68"/>
      <c r="G71" s="68"/>
      <c r="H71" s="68"/>
      <c r="I71" s="68"/>
      <c r="J71" s="68"/>
    </row>
    <row r="72" spans="1:10" ht="13.7" customHeight="1">
      <c r="A72" s="64"/>
      <c r="B72" s="18" t="s">
        <v>33</v>
      </c>
      <c r="C72" s="14" t="s">
        <v>34</v>
      </c>
      <c r="D72" s="14" t="s">
        <v>14</v>
      </c>
      <c r="E72" s="14" t="s">
        <v>15</v>
      </c>
      <c r="F72" s="21" t="s">
        <v>16</v>
      </c>
      <c r="G72" s="69" t="s">
        <v>35</v>
      </c>
      <c r="H72" s="69"/>
      <c r="I72" s="69"/>
      <c r="J72" s="69"/>
    </row>
    <row r="73" spans="1:10" ht="13.7" customHeight="1">
      <c r="A73" s="64"/>
      <c r="B73" s="13" t="s">
        <v>121</v>
      </c>
      <c r="C73" s="2" t="s">
        <v>122</v>
      </c>
      <c r="D73" s="15">
        <f>(D3*20)+(G3*5000)+(G5*50000)</f>
        <v>175000</v>
      </c>
      <c r="E73" s="15">
        <f>D73</f>
        <v>175000</v>
      </c>
      <c r="F73" s="15">
        <f>E73</f>
        <v>175000</v>
      </c>
      <c r="G73" s="70" t="s">
        <v>123</v>
      </c>
      <c r="H73" s="70"/>
      <c r="I73" s="70"/>
      <c r="J73" s="70"/>
    </row>
    <row r="74" spans="1:10" ht="13.7" customHeight="1">
      <c r="A74" s="64"/>
      <c r="B74" s="13" t="s">
        <v>124</v>
      </c>
      <c r="C74" s="2" t="s">
        <v>125</v>
      </c>
      <c r="D74" s="28">
        <v>0.3</v>
      </c>
      <c r="E74" s="28">
        <v>0.3</v>
      </c>
      <c r="F74" s="28">
        <v>0.3</v>
      </c>
      <c r="G74" s="63" t="s">
        <v>126</v>
      </c>
      <c r="H74" s="63"/>
      <c r="I74" s="63"/>
      <c r="J74" s="63"/>
    </row>
    <row r="75" spans="1:10" ht="13.7" customHeight="1">
      <c r="A75" s="64"/>
      <c r="B75" s="13" t="s">
        <v>127</v>
      </c>
      <c r="C75" s="2" t="s">
        <v>128</v>
      </c>
      <c r="D75" s="15">
        <f>IF($D$5="Yes",$G$4*36000,0)</f>
        <v>72000</v>
      </c>
      <c r="E75" s="15">
        <f>IF($D$5="Yes",$G$4*36000,0)</f>
        <v>72000</v>
      </c>
      <c r="F75" s="15">
        <f>IF($D$5="Yes",$G$4*36000,0)</f>
        <v>72000</v>
      </c>
      <c r="G75" s="63" t="s">
        <v>129</v>
      </c>
      <c r="H75" s="63"/>
      <c r="I75" s="63"/>
      <c r="J75" s="63"/>
    </row>
    <row r="76" spans="1:10" ht="13.7" customHeight="1">
      <c r="A76" s="64"/>
      <c r="B76" s="13" t="s">
        <v>130</v>
      </c>
      <c r="C76" s="2" t="s">
        <v>131</v>
      </c>
      <c r="D76" s="15">
        <f>(D73*D74)+D75</f>
        <v>124500</v>
      </c>
      <c r="E76" s="15">
        <f>(E73*E74)+E75</f>
        <v>124500</v>
      </c>
      <c r="F76" s="15">
        <f>(F73*F74)+F75</f>
        <v>124500</v>
      </c>
      <c r="G76" s="63"/>
      <c r="H76" s="63"/>
      <c r="I76" s="63"/>
      <c r="J76" s="63"/>
    </row>
    <row r="77" spans="1:10" ht="13.7" customHeight="1">
      <c r="A77" s="64"/>
      <c r="B77" s="13" t="s">
        <v>132</v>
      </c>
      <c r="C77" s="2" t="s">
        <v>133</v>
      </c>
      <c r="D77" s="28">
        <v>0.1</v>
      </c>
      <c r="E77" s="28">
        <v>0.1</v>
      </c>
      <c r="F77" s="28">
        <v>0.1</v>
      </c>
      <c r="G77" s="70"/>
      <c r="H77" s="70"/>
      <c r="I77" s="70"/>
      <c r="J77" s="70"/>
    </row>
    <row r="78" spans="1:10" ht="13.7" customHeight="1">
      <c r="A78" s="64"/>
      <c r="B78" s="16" t="s">
        <v>130</v>
      </c>
      <c r="C78" s="16"/>
      <c r="D78" s="26">
        <f>D76*(1-D77)</f>
        <v>112050</v>
      </c>
      <c r="E78" s="26">
        <f>E76*(1-E77)</f>
        <v>112050</v>
      </c>
      <c r="F78" s="26">
        <f>F76*(1-F77)</f>
        <v>112050</v>
      </c>
      <c r="G78" s="58"/>
      <c r="H78" s="59"/>
      <c r="I78" s="59"/>
      <c r="J78" s="60"/>
    </row>
    <row r="80" spans="1:10" ht="13.7" customHeight="1">
      <c r="A80" s="64" t="s">
        <v>134</v>
      </c>
      <c r="B80" s="65" t="s">
        <v>135</v>
      </c>
      <c r="C80" s="66"/>
      <c r="D80" s="66"/>
      <c r="E80" s="66"/>
      <c r="F80" s="66"/>
      <c r="G80" s="66"/>
      <c r="H80" s="66"/>
      <c r="I80" s="66"/>
      <c r="J80" s="66"/>
    </row>
    <row r="81" spans="1:10" ht="78" customHeight="1">
      <c r="A81" s="64"/>
      <c r="B81" s="67" t="s">
        <v>136</v>
      </c>
      <c r="C81" s="68"/>
      <c r="D81" s="68"/>
      <c r="E81" s="68"/>
      <c r="F81" s="68"/>
      <c r="G81" s="68"/>
      <c r="H81" s="68"/>
      <c r="I81" s="68"/>
      <c r="J81" s="68"/>
    </row>
    <row r="82" spans="1:10" ht="13.7" customHeight="1">
      <c r="A82" s="64"/>
      <c r="B82" s="18" t="s">
        <v>33</v>
      </c>
      <c r="C82" s="14" t="s">
        <v>34</v>
      </c>
      <c r="D82" s="14" t="s">
        <v>14</v>
      </c>
      <c r="E82" s="14" t="s">
        <v>15</v>
      </c>
      <c r="F82" s="21" t="s">
        <v>16</v>
      </c>
      <c r="G82" s="69" t="s">
        <v>35</v>
      </c>
      <c r="H82" s="69"/>
      <c r="I82" s="69"/>
      <c r="J82" s="69"/>
    </row>
    <row r="83" spans="1:10" ht="13.7" customHeight="1">
      <c r="A83" s="64"/>
      <c r="B83" s="13" t="s">
        <v>137</v>
      </c>
      <c r="C83" s="2" t="s">
        <v>138</v>
      </c>
      <c r="D83" s="2">
        <f>ROUNDUP(D3/2000,0)</f>
        <v>3</v>
      </c>
      <c r="E83" s="2">
        <f>ROUNDUP(D3/2000,0)</f>
        <v>3</v>
      </c>
      <c r="F83" s="22">
        <f>ROUNDUP(D3/2000,0)</f>
        <v>3</v>
      </c>
      <c r="G83" s="70" t="s">
        <v>139</v>
      </c>
      <c r="H83" s="70"/>
      <c r="I83" s="70"/>
      <c r="J83" s="70"/>
    </row>
    <row r="84" spans="1:10" ht="13.7" customHeight="1">
      <c r="A84" s="64"/>
      <c r="B84" s="13" t="s">
        <v>140</v>
      </c>
      <c r="C84" s="2" t="s">
        <v>141</v>
      </c>
      <c r="D84" s="4">
        <v>0.15</v>
      </c>
      <c r="E84" s="4">
        <v>0.1</v>
      </c>
      <c r="F84" s="4">
        <v>7.0000000000000007E-2</v>
      </c>
      <c r="G84" s="58" t="s">
        <v>142</v>
      </c>
      <c r="H84" s="59"/>
      <c r="I84" s="59"/>
      <c r="J84" s="60"/>
    </row>
    <row r="85" spans="1:10" ht="13.7" customHeight="1">
      <c r="A85" s="64"/>
      <c r="B85" s="13" t="s">
        <v>143</v>
      </c>
      <c r="C85" s="2" t="s">
        <v>144</v>
      </c>
      <c r="D85" s="4">
        <v>0.5</v>
      </c>
      <c r="E85" s="4">
        <v>0.3</v>
      </c>
      <c r="F85" s="23">
        <v>0.05</v>
      </c>
      <c r="G85" s="58" t="s">
        <v>145</v>
      </c>
      <c r="H85" s="59"/>
      <c r="I85" s="59"/>
      <c r="J85" s="60"/>
    </row>
    <row r="86" spans="1:10" ht="13.7" customHeight="1">
      <c r="A86" s="64"/>
      <c r="B86" s="13" t="s">
        <v>146</v>
      </c>
      <c r="C86" s="2" t="s">
        <v>53</v>
      </c>
      <c r="D86" s="11">
        <f>VLOOKUP($J$3,Lists!$E$3:$F$12,2,FALSE)</f>
        <v>50280</v>
      </c>
      <c r="E86" s="11">
        <f>VLOOKUP($J$3,Lists!$E$3:$F$12,2,FALSE)</f>
        <v>50280</v>
      </c>
      <c r="F86" s="11">
        <f>VLOOKUP($J$3,Lists!$E$3:$F$12,2,FALSE)</f>
        <v>50280</v>
      </c>
      <c r="G86" s="63" t="s">
        <v>147</v>
      </c>
      <c r="H86" s="63"/>
      <c r="I86" s="63"/>
      <c r="J86" s="63"/>
    </row>
    <row r="87" spans="1:10" ht="13.7" customHeight="1">
      <c r="A87" s="64"/>
      <c r="B87" s="10" t="s">
        <v>148</v>
      </c>
      <c r="C87" s="10" t="s">
        <v>149</v>
      </c>
      <c r="D87" s="12">
        <f>D83*(D84+D85)*D86</f>
        <v>98046.000000000015</v>
      </c>
      <c r="E87" s="12">
        <f>E83*(E84+E85)*E86</f>
        <v>60336.000000000007</v>
      </c>
      <c r="F87" s="12">
        <f>F83*(F84+F85)*F86</f>
        <v>18100.800000000003</v>
      </c>
      <c r="G87" s="63"/>
      <c r="H87" s="63"/>
      <c r="I87" s="63"/>
      <c r="J87" s="63"/>
    </row>
    <row r="88" spans="1:10" ht="13.7" customHeight="1">
      <c r="A88" s="64"/>
      <c r="B88" s="13" t="s">
        <v>150</v>
      </c>
      <c r="C88" s="2" t="s">
        <v>151</v>
      </c>
      <c r="D88" s="4">
        <v>0.1</v>
      </c>
      <c r="E88" s="4">
        <v>0.05</v>
      </c>
      <c r="F88" s="4">
        <v>0.02</v>
      </c>
      <c r="G88" s="58" t="s">
        <v>142</v>
      </c>
      <c r="H88" s="59"/>
      <c r="I88" s="59"/>
      <c r="J88" s="60"/>
    </row>
    <row r="89" spans="1:10" ht="13.7" customHeight="1">
      <c r="A89" s="64"/>
      <c r="B89" s="10" t="s">
        <v>152</v>
      </c>
      <c r="C89" s="10" t="s">
        <v>153</v>
      </c>
      <c r="D89" s="12">
        <f>D83*(D86)*D88</f>
        <v>15084</v>
      </c>
      <c r="E89" s="12">
        <f>E83*(E86)*E88</f>
        <v>7542</v>
      </c>
      <c r="F89" s="12">
        <f>F83*(F86)*F88</f>
        <v>3016.8</v>
      </c>
      <c r="G89" s="63"/>
      <c r="H89" s="63"/>
      <c r="I89" s="63"/>
      <c r="J89" s="63"/>
    </row>
    <row r="90" spans="1:10" ht="13.7" customHeight="1">
      <c r="A90" s="64"/>
      <c r="B90" s="13" t="s">
        <v>154</v>
      </c>
      <c r="C90" s="2" t="s">
        <v>155</v>
      </c>
      <c r="D90" s="15">
        <f>$J$4*$D$3</f>
        <v>325000</v>
      </c>
      <c r="E90" s="15">
        <f>$J$4*$D$3</f>
        <v>325000</v>
      </c>
      <c r="F90" s="15">
        <f>$J$4*$D$3</f>
        <v>325000</v>
      </c>
      <c r="G90" s="63" t="s">
        <v>156</v>
      </c>
      <c r="H90" s="63"/>
      <c r="I90" s="63"/>
      <c r="J90" s="63"/>
    </row>
    <row r="91" spans="1:10" ht="13.7" customHeight="1">
      <c r="A91" s="64"/>
      <c r="B91" s="13" t="s">
        <v>157</v>
      </c>
      <c r="C91" s="2" t="s">
        <v>158</v>
      </c>
      <c r="D91" s="15">
        <f>$G$5*2*600</f>
        <v>1200</v>
      </c>
      <c r="E91" s="15">
        <f t="shared" ref="E91:F91" si="5">$G$5*2*600</f>
        <v>1200</v>
      </c>
      <c r="F91" s="15">
        <f t="shared" si="5"/>
        <v>1200</v>
      </c>
      <c r="G91" s="58" t="s">
        <v>159</v>
      </c>
      <c r="H91" s="59"/>
      <c r="I91" s="59"/>
      <c r="J91" s="60"/>
    </row>
    <row r="92" spans="1:10" ht="13.7" customHeight="1">
      <c r="A92" s="64"/>
      <c r="B92" s="13" t="s">
        <v>160</v>
      </c>
      <c r="C92" s="2" t="s">
        <v>161</v>
      </c>
      <c r="D92" s="15">
        <f>IF($D$5="Yes",$G$4*4500,0)</f>
        <v>9000</v>
      </c>
      <c r="E92" s="15">
        <f>IF($D$5="Yes",$G$4*4500,0)</f>
        <v>9000</v>
      </c>
      <c r="F92" s="15">
        <f>IF($D$5="Yes",$G$4*4500,0)</f>
        <v>9000</v>
      </c>
      <c r="G92" s="58" t="s">
        <v>162</v>
      </c>
      <c r="H92" s="59"/>
      <c r="I92" s="59"/>
      <c r="J92" s="60"/>
    </row>
    <row r="93" spans="1:10" ht="13.7" customHeight="1">
      <c r="A93" s="64"/>
      <c r="B93" s="29" t="s">
        <v>163</v>
      </c>
      <c r="C93" s="16" t="s">
        <v>164</v>
      </c>
      <c r="D93" s="26">
        <f>SUM(D87,D89:D92)</f>
        <v>448330</v>
      </c>
      <c r="E93" s="26">
        <f>SUM(E87,E89:E92)</f>
        <v>403078</v>
      </c>
      <c r="F93" s="26">
        <f>SUM(F87,F89:F92)</f>
        <v>356317.6</v>
      </c>
      <c r="G93" s="58"/>
      <c r="H93" s="59"/>
      <c r="I93" s="59"/>
      <c r="J93" s="60"/>
    </row>
    <row r="94" spans="1:10" ht="13.7" customHeight="1">
      <c r="A94" s="64"/>
      <c r="B94" s="61"/>
      <c r="C94" s="61"/>
      <c r="D94" s="61"/>
      <c r="E94" s="61"/>
      <c r="F94" s="61"/>
      <c r="G94" s="61"/>
      <c r="H94" s="61"/>
      <c r="I94" s="61"/>
      <c r="J94" s="61"/>
    </row>
    <row r="95" spans="1:10" ht="13.7" customHeight="1">
      <c r="A95" s="64"/>
      <c r="B95" s="13" t="s">
        <v>165</v>
      </c>
      <c r="C95" s="13" t="s">
        <v>74</v>
      </c>
      <c r="D95" s="4">
        <v>0.05</v>
      </c>
      <c r="E95" s="4">
        <v>0.05</v>
      </c>
      <c r="F95" s="4">
        <v>0.05</v>
      </c>
      <c r="G95" s="62"/>
      <c r="H95" s="62"/>
      <c r="I95" s="62"/>
      <c r="J95" s="62"/>
    </row>
    <row r="96" spans="1:10" ht="13.7" customHeight="1">
      <c r="A96" s="64"/>
      <c r="B96" s="16"/>
      <c r="C96" s="16"/>
      <c r="D96" s="26">
        <f>D93*(1+D95)</f>
        <v>470746.5</v>
      </c>
      <c r="E96" s="26">
        <f>E93*(1+E95)</f>
        <v>423231.9</v>
      </c>
      <c r="F96" s="26">
        <f>F93*(1+F95)</f>
        <v>374133.48</v>
      </c>
      <c r="G96" s="63"/>
      <c r="H96" s="63"/>
      <c r="I96" s="63"/>
      <c r="J96" s="63"/>
    </row>
  </sheetData>
  <mergeCells count="82">
    <mergeCell ref="A16:A38"/>
    <mergeCell ref="B17:J17"/>
    <mergeCell ref="G18:J18"/>
    <mergeCell ref="G19:J19"/>
    <mergeCell ref="G20:J20"/>
    <mergeCell ref="G21:J21"/>
    <mergeCell ref="G26:J26"/>
    <mergeCell ref="G27:J27"/>
    <mergeCell ref="B16:J16"/>
    <mergeCell ref="G22:J22"/>
    <mergeCell ref="G23:J23"/>
    <mergeCell ref="G24:J24"/>
    <mergeCell ref="G25:J25"/>
    <mergeCell ref="G34:J34"/>
    <mergeCell ref="G36:J36"/>
    <mergeCell ref="G37:J37"/>
    <mergeCell ref="G38:J38"/>
    <mergeCell ref="B28:J28"/>
    <mergeCell ref="B35:J35"/>
    <mergeCell ref="G29:J29"/>
    <mergeCell ref="G30:J30"/>
    <mergeCell ref="G31:J31"/>
    <mergeCell ref="G32:J32"/>
    <mergeCell ref="G33:J33"/>
    <mergeCell ref="G52:J52"/>
    <mergeCell ref="G49:J49"/>
    <mergeCell ref="G50:J50"/>
    <mergeCell ref="B51:J51"/>
    <mergeCell ref="A40:A54"/>
    <mergeCell ref="B40:J40"/>
    <mergeCell ref="B41:J41"/>
    <mergeCell ref="G42:J42"/>
    <mergeCell ref="G43:J43"/>
    <mergeCell ref="G44:J44"/>
    <mergeCell ref="G45:J45"/>
    <mergeCell ref="G46:J46"/>
    <mergeCell ref="G47:J47"/>
    <mergeCell ref="G48:J48"/>
    <mergeCell ref="G53:J53"/>
    <mergeCell ref="G54:J54"/>
    <mergeCell ref="A56:A68"/>
    <mergeCell ref="B56:J56"/>
    <mergeCell ref="B57:J57"/>
    <mergeCell ref="G58:J58"/>
    <mergeCell ref="G59:J59"/>
    <mergeCell ref="G60:J60"/>
    <mergeCell ref="G61:J61"/>
    <mergeCell ref="G63:J63"/>
    <mergeCell ref="G62:J62"/>
    <mergeCell ref="G64:J64"/>
    <mergeCell ref="G65:J65"/>
    <mergeCell ref="B66:J66"/>
    <mergeCell ref="G67:J67"/>
    <mergeCell ref="G68:J68"/>
    <mergeCell ref="G89:J89"/>
    <mergeCell ref="G90:J90"/>
    <mergeCell ref="A70:A78"/>
    <mergeCell ref="B70:J70"/>
    <mergeCell ref="B71:J71"/>
    <mergeCell ref="G72:J72"/>
    <mergeCell ref="G73:J73"/>
    <mergeCell ref="G74:J74"/>
    <mergeCell ref="G76:J76"/>
    <mergeCell ref="G77:J77"/>
    <mergeCell ref="G78:J78"/>
    <mergeCell ref="G75:J75"/>
    <mergeCell ref="G93:J93"/>
    <mergeCell ref="B94:J94"/>
    <mergeCell ref="G95:J95"/>
    <mergeCell ref="G96:J96"/>
    <mergeCell ref="A80:A96"/>
    <mergeCell ref="B80:J80"/>
    <mergeCell ref="B81:J81"/>
    <mergeCell ref="G82:J82"/>
    <mergeCell ref="G83:J83"/>
    <mergeCell ref="G86:J86"/>
    <mergeCell ref="G87:J87"/>
    <mergeCell ref="G88:J88"/>
    <mergeCell ref="G85:J85"/>
    <mergeCell ref="G84:J84"/>
    <mergeCell ref="G91:J91"/>
    <mergeCell ref="G92:J92"/>
  </mergeCells>
  <phoneticPr fontId="6" type="noConversion"/>
  <dataValidations count="1">
    <dataValidation type="list" allowBlank="1" showInputMessage="1" showErrorMessage="1" sqref="D5" xr:uid="{EA863703-748F-4786-8397-14E8D2938564}">
      <formula1>"Yes, No"</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5DC626E-3AD3-4AEC-8889-BC665F69C6EC}">
          <x14:formula1>
            <xm:f>Lists!$E$3:$E$12</xm:f>
          </x14:formula1>
          <xm:sqref>J3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358DD-1820-401E-852C-2CB83E566002}">
  <dimension ref="A1:S96"/>
  <sheetViews>
    <sheetView showGridLines="0" topLeftCell="A63" zoomScale="119" workbookViewId="0">
      <selection activeCell="G73" sqref="G73:J73"/>
    </sheetView>
  </sheetViews>
  <sheetFormatPr defaultColWidth="8.85546875" defaultRowHeight="13.7" customHeight="1"/>
  <cols>
    <col min="3" max="3" width="36.85546875" customWidth="1"/>
    <col min="4" max="4" width="19" customWidth="1"/>
    <col min="5" max="5" width="17.7109375" customWidth="1"/>
    <col min="6" max="6" width="25.28515625" customWidth="1"/>
    <col min="7" max="7" width="11.85546875" customWidth="1"/>
    <col min="8" max="8" width="11.140625" bestFit="1" customWidth="1"/>
    <col min="9" max="9" width="19.85546875" customWidth="1"/>
    <col min="10" max="10" width="16.85546875" customWidth="1"/>
    <col min="11" max="11" width="9.140625"/>
    <col min="12" max="12" width="18.28515625" customWidth="1"/>
    <col min="13" max="13" width="13.7109375" customWidth="1"/>
    <col min="14" max="14" width="9.140625"/>
    <col min="15" max="15" width="14.7109375" customWidth="1"/>
    <col min="16" max="18" width="11.85546875" bestFit="1" customWidth="1"/>
  </cols>
  <sheetData>
    <row r="1" spans="1:19" ht="25.7" customHeight="1">
      <c r="A1" s="1" t="s">
        <v>166</v>
      </c>
      <c r="B1" s="1"/>
      <c r="D1" s="41" t="s">
        <v>1</v>
      </c>
      <c r="E1" s="49" t="s">
        <v>2</v>
      </c>
    </row>
    <row r="2" spans="1:19" ht="25.7" customHeight="1">
      <c r="A2" s="1"/>
      <c r="B2" s="1"/>
    </row>
    <row r="3" spans="1:19" ht="19.5">
      <c r="A3" s="1"/>
      <c r="B3" s="1"/>
      <c r="C3" s="42" t="s">
        <v>3</v>
      </c>
      <c r="D3" s="49">
        <v>5000</v>
      </c>
      <c r="F3" s="42" t="s">
        <v>4</v>
      </c>
      <c r="G3" s="49">
        <v>5</v>
      </c>
      <c r="I3" s="42" t="s">
        <v>5</v>
      </c>
      <c r="J3" s="49" t="s">
        <v>6</v>
      </c>
    </row>
    <row r="4" spans="1:19" ht="19.5">
      <c r="A4" s="1"/>
      <c r="B4" s="1"/>
      <c r="C4" s="42" t="s">
        <v>7</v>
      </c>
      <c r="D4" s="50">
        <v>0.5</v>
      </c>
      <c r="F4" s="42" t="s">
        <v>8</v>
      </c>
      <c r="G4" s="49">
        <v>2</v>
      </c>
      <c r="I4" s="2" t="s">
        <v>9</v>
      </c>
      <c r="J4" s="9">
        <f>VLOOKUP(J3,Lists!E2:I12,5,FALSE)</f>
        <v>65</v>
      </c>
    </row>
    <row r="5" spans="1:19" ht="19.5">
      <c r="A5" s="1"/>
      <c r="B5" s="1"/>
      <c r="C5" s="42" t="s">
        <v>10</v>
      </c>
      <c r="D5" s="49" t="s">
        <v>11</v>
      </c>
      <c r="F5" s="42" t="s">
        <v>12</v>
      </c>
      <c r="G5" s="49">
        <v>1</v>
      </c>
    </row>
    <row r="6" spans="1:19" ht="25.7" customHeight="1">
      <c r="A6" s="1"/>
      <c r="B6" s="1"/>
    </row>
    <row r="7" spans="1:19" ht="13.7" customHeight="1">
      <c r="C7" s="43" t="s">
        <v>13</v>
      </c>
      <c r="D7" s="43" t="s">
        <v>14</v>
      </c>
      <c r="E7" s="43" t="s">
        <v>15</v>
      </c>
      <c r="F7" s="43" t="s">
        <v>16</v>
      </c>
      <c r="G7" s="43" t="s">
        <v>17</v>
      </c>
      <c r="I7" s="35" t="s">
        <v>18</v>
      </c>
    </row>
    <row r="8" spans="1:19" ht="13.7" customHeight="1">
      <c r="C8" s="46" t="s">
        <v>19</v>
      </c>
      <c r="D8" s="44">
        <f>D38</f>
        <v>133448.85</v>
      </c>
      <c r="E8" s="44">
        <f t="shared" ref="E8:F8" si="0">E38</f>
        <v>133448.85</v>
      </c>
      <c r="F8" s="44">
        <f t="shared" si="0"/>
        <v>133448.85</v>
      </c>
      <c r="G8" s="45">
        <f t="shared" ref="G8:G13" si="1">SUM(D8:F8)</f>
        <v>400346.55000000005</v>
      </c>
      <c r="I8" s="47">
        <f>NPV(5%,D8:F8)</f>
        <v>363414.31778425659</v>
      </c>
    </row>
    <row r="9" spans="1:19" ht="13.7" customHeight="1">
      <c r="C9" s="46" t="s">
        <v>20</v>
      </c>
      <c r="D9" s="51">
        <f>D54</f>
        <v>1107000</v>
      </c>
      <c r="E9" s="51">
        <f>E54</f>
        <v>1107000</v>
      </c>
      <c r="F9" s="51">
        <f>F54</f>
        <v>1107000</v>
      </c>
      <c r="G9" s="51">
        <f t="shared" si="1"/>
        <v>3321000</v>
      </c>
      <c r="I9" s="47">
        <f t="shared" ref="I9:I12" si="2">NPV(5%,D9:F9)</f>
        <v>3014635.5685131196</v>
      </c>
      <c r="J9" t="s">
        <v>21</v>
      </c>
    </row>
    <row r="10" spans="1:19" ht="13.7" customHeight="1">
      <c r="C10" s="46" t="s">
        <v>22</v>
      </c>
      <c r="D10" s="15">
        <f>D68</f>
        <v>238500</v>
      </c>
      <c r="E10" s="15">
        <f>E68</f>
        <v>238500</v>
      </c>
      <c r="F10" s="15">
        <f>F68</f>
        <v>238500</v>
      </c>
      <c r="G10" s="15">
        <f t="shared" si="1"/>
        <v>715500</v>
      </c>
      <c r="I10" s="47">
        <f t="shared" si="2"/>
        <v>649494.65500485909</v>
      </c>
      <c r="O10" s="39" t="s">
        <v>23</v>
      </c>
      <c r="P10" s="38">
        <f>D13</f>
        <v>470746.5</v>
      </c>
      <c r="Q10" s="38">
        <f>E13</f>
        <v>423231.9</v>
      </c>
      <c r="R10" s="38">
        <f>F13</f>
        <v>374133.48</v>
      </c>
      <c r="S10" s="37"/>
    </row>
    <row r="11" spans="1:19" ht="13.7" customHeight="1">
      <c r="C11" s="46" t="s">
        <v>24</v>
      </c>
      <c r="D11" s="15">
        <f>D78</f>
        <v>112050</v>
      </c>
      <c r="E11" s="15">
        <f>E78</f>
        <v>112050</v>
      </c>
      <c r="F11" s="15">
        <f>F78</f>
        <v>112050</v>
      </c>
      <c r="G11" s="15">
        <f t="shared" si="1"/>
        <v>336150</v>
      </c>
      <c r="I11" s="47">
        <f t="shared" si="2"/>
        <v>305139.94169096206</v>
      </c>
      <c r="O11" s="40" t="s">
        <v>25</v>
      </c>
      <c r="P11" s="38">
        <f>D12-D13</f>
        <v>1120252.3500000001</v>
      </c>
      <c r="Q11" s="38">
        <f>E12-E13</f>
        <v>1167766.9500000002</v>
      </c>
      <c r="R11" s="38">
        <f>F12-F13</f>
        <v>1216865.3700000001</v>
      </c>
    </row>
    <row r="12" spans="1:19" ht="13.7" customHeight="1">
      <c r="C12" s="46" t="s">
        <v>26</v>
      </c>
      <c r="D12" s="30">
        <f>SUM(D8:D11)</f>
        <v>1590998.85</v>
      </c>
      <c r="E12" s="30">
        <f>SUM(E8:E11)</f>
        <v>1590998.85</v>
      </c>
      <c r="F12" s="30">
        <f>SUM(F8:F11)</f>
        <v>1590998.85</v>
      </c>
      <c r="G12" s="30">
        <f t="shared" si="1"/>
        <v>4772996.5500000007</v>
      </c>
      <c r="I12" s="47">
        <f>NPV(5%,D12:F12)</f>
        <v>4332684.4829931976</v>
      </c>
    </row>
    <row r="13" spans="1:19" ht="13.7" customHeight="1">
      <c r="C13" s="31" t="s">
        <v>23</v>
      </c>
      <c r="D13" s="32">
        <f>D96</f>
        <v>470746.5</v>
      </c>
      <c r="E13" s="32">
        <f>E96</f>
        <v>423231.9</v>
      </c>
      <c r="F13" s="32">
        <f>F96</f>
        <v>374133.48</v>
      </c>
      <c r="G13" s="32">
        <f t="shared" si="1"/>
        <v>1268111.8799999999</v>
      </c>
    </row>
    <row r="14" spans="1:19" ht="13.7" customHeight="1">
      <c r="C14" s="46" t="s">
        <v>27</v>
      </c>
      <c r="D14" s="33">
        <f>(D12-D13)/D13</f>
        <v>2.3797359088171661</v>
      </c>
      <c r="E14" s="33">
        <f>(E12-E13)/E13</f>
        <v>2.7591657197862451</v>
      </c>
      <c r="F14" s="33">
        <f>(F12-F13)/F13</f>
        <v>3.2524899134929068</v>
      </c>
      <c r="G14" s="48">
        <f>(G12-G13)/G13</f>
        <v>2.7638607643988014</v>
      </c>
      <c r="I14" s="35" t="s">
        <v>28</v>
      </c>
      <c r="J14">
        <f>(D13/(D12-D13))*12</f>
        <v>5.042576344517375</v>
      </c>
      <c r="K14" s="36"/>
      <c r="L14" s="35" t="s">
        <v>29</v>
      </c>
      <c r="M14" s="37">
        <f>(G12-G13)/3</f>
        <v>1168294.8900000004</v>
      </c>
    </row>
    <row r="16" spans="1:19" ht="13.7" customHeight="1">
      <c r="A16" s="64" t="s">
        <v>30</v>
      </c>
      <c r="B16" s="65" t="s">
        <v>31</v>
      </c>
      <c r="C16" s="66"/>
      <c r="D16" s="66"/>
      <c r="E16" s="66"/>
      <c r="F16" s="66"/>
      <c r="G16" s="66"/>
      <c r="H16" s="66"/>
      <c r="I16" s="66"/>
      <c r="J16" s="66"/>
    </row>
    <row r="17" spans="1:10" ht="45.6" customHeight="1">
      <c r="A17" s="64"/>
      <c r="B17" s="67" t="s">
        <v>32</v>
      </c>
      <c r="C17" s="68"/>
      <c r="D17" s="68"/>
      <c r="E17" s="68"/>
      <c r="F17" s="68"/>
      <c r="G17" s="68"/>
      <c r="H17" s="68"/>
      <c r="I17" s="68"/>
      <c r="J17" s="68"/>
    </row>
    <row r="18" spans="1:10" ht="13.7" customHeight="1">
      <c r="A18" s="64"/>
      <c r="B18" s="18" t="s">
        <v>33</v>
      </c>
      <c r="C18" s="14" t="s">
        <v>34</v>
      </c>
      <c r="D18" s="14" t="s">
        <v>14</v>
      </c>
      <c r="E18" s="14" t="s">
        <v>15</v>
      </c>
      <c r="F18" s="21" t="s">
        <v>16</v>
      </c>
      <c r="G18" s="69" t="s">
        <v>35</v>
      </c>
      <c r="H18" s="69"/>
      <c r="I18" s="69"/>
      <c r="J18" s="69"/>
    </row>
    <row r="19" spans="1:10" ht="13.7" customHeight="1">
      <c r="A19" s="64"/>
      <c r="B19" s="13" t="s">
        <v>36</v>
      </c>
      <c r="C19" s="2" t="s">
        <v>37</v>
      </c>
      <c r="D19" s="2">
        <f>ROUNDUP(D3/1500,0)</f>
        <v>4</v>
      </c>
      <c r="E19" s="2">
        <f>D19</f>
        <v>4</v>
      </c>
      <c r="F19" s="22">
        <f>D19</f>
        <v>4</v>
      </c>
      <c r="G19" s="63" t="s">
        <v>38</v>
      </c>
      <c r="H19" s="63"/>
      <c r="I19" s="63"/>
      <c r="J19" s="63"/>
    </row>
    <row r="20" spans="1:10" ht="13.7" customHeight="1">
      <c r="A20" s="64"/>
      <c r="B20" s="13" t="s">
        <v>39</v>
      </c>
      <c r="C20" s="2" t="s">
        <v>40</v>
      </c>
      <c r="D20" s="4">
        <v>0.6</v>
      </c>
      <c r="E20" s="4">
        <v>0.6</v>
      </c>
      <c r="F20" s="23">
        <v>0.6</v>
      </c>
      <c r="G20" s="63" t="s">
        <v>41</v>
      </c>
      <c r="H20" s="63"/>
      <c r="I20" s="63"/>
      <c r="J20" s="63"/>
    </row>
    <row r="21" spans="1:10" ht="13.7" customHeight="1">
      <c r="A21" s="64"/>
      <c r="B21" s="13" t="s">
        <v>42</v>
      </c>
      <c r="C21" s="2" t="s">
        <v>43</v>
      </c>
      <c r="D21" s="4">
        <v>0.55000000000000004</v>
      </c>
      <c r="E21" s="4">
        <v>0.6</v>
      </c>
      <c r="F21" s="23">
        <v>0.65</v>
      </c>
      <c r="G21" s="63" t="s">
        <v>44</v>
      </c>
      <c r="H21" s="63"/>
      <c r="I21" s="63"/>
      <c r="J21" s="63"/>
    </row>
    <row r="22" spans="1:10" ht="15">
      <c r="A22" s="64"/>
      <c r="B22" s="19" t="s">
        <v>45</v>
      </c>
      <c r="C22" s="10" t="s">
        <v>46</v>
      </c>
      <c r="D22" s="10">
        <f>ROUNDUP(D19*D20*D21,0)</f>
        <v>2</v>
      </c>
      <c r="E22" s="10">
        <f>ROUNDUP(E19*E20*E21,0)</f>
        <v>2</v>
      </c>
      <c r="F22" s="24">
        <f>ROUNDUP(F19*F20*F21,0)</f>
        <v>2</v>
      </c>
      <c r="G22" s="63"/>
      <c r="H22" s="63"/>
      <c r="I22" s="63"/>
      <c r="J22" s="63"/>
    </row>
    <row r="23" spans="1:10" ht="15">
      <c r="A23" s="64"/>
      <c r="B23" s="13" t="s">
        <v>47</v>
      </c>
      <c r="C23" s="2" t="s">
        <v>48</v>
      </c>
      <c r="D23" s="4">
        <v>0.15</v>
      </c>
      <c r="E23" s="4">
        <v>0.15</v>
      </c>
      <c r="F23" s="23">
        <v>0.15</v>
      </c>
      <c r="G23" s="63" t="s">
        <v>41</v>
      </c>
      <c r="H23" s="63"/>
      <c r="I23" s="63"/>
      <c r="J23" s="63"/>
    </row>
    <row r="24" spans="1:10" ht="15">
      <c r="A24" s="64"/>
      <c r="B24" s="13" t="s">
        <v>49</v>
      </c>
      <c r="C24" s="2" t="s">
        <v>43</v>
      </c>
      <c r="D24" s="4">
        <v>0.55000000000000004</v>
      </c>
      <c r="E24" s="4">
        <v>0.6</v>
      </c>
      <c r="F24" s="23">
        <v>0.65</v>
      </c>
      <c r="G24" s="63" t="s">
        <v>44</v>
      </c>
      <c r="H24" s="63"/>
      <c r="I24" s="63"/>
      <c r="J24" s="63"/>
    </row>
    <row r="25" spans="1:10" ht="13.7" customHeight="1">
      <c r="A25" s="64"/>
      <c r="B25" s="19" t="s">
        <v>50</v>
      </c>
      <c r="C25" s="10" t="s">
        <v>51</v>
      </c>
      <c r="D25" s="10">
        <f>ROUNDUP(D19*D23*D24,0)</f>
        <v>1</v>
      </c>
      <c r="E25" s="10">
        <f>ROUNDUP(E19*E23*E24,0)</f>
        <v>1</v>
      </c>
      <c r="F25" s="24">
        <f>ROUNDUP(F19*F23*F24,0)</f>
        <v>1</v>
      </c>
      <c r="G25" s="63"/>
      <c r="H25" s="63"/>
      <c r="I25" s="63"/>
      <c r="J25" s="63"/>
    </row>
    <row r="26" spans="1:10" ht="13.7" customHeight="1">
      <c r="A26" s="64"/>
      <c r="B26" s="13" t="s">
        <v>52</v>
      </c>
      <c r="C26" s="2" t="s">
        <v>53</v>
      </c>
      <c r="D26" s="15">
        <f>VLOOKUP($J$3,Lists!$E$3:$F$12,2,FALSE)</f>
        <v>50280</v>
      </c>
      <c r="E26" s="15">
        <f>VLOOKUP($J$3,Lists!$E$3:$F$12,2,FALSE)</f>
        <v>50280</v>
      </c>
      <c r="F26" s="25">
        <f>VLOOKUP($J$3,Lists!$E$3:$F$12,2,FALSE)</f>
        <v>50280</v>
      </c>
      <c r="G26" s="63" t="s">
        <v>54</v>
      </c>
      <c r="H26" s="63"/>
      <c r="I26" s="63"/>
      <c r="J26" s="63"/>
    </row>
    <row r="27" spans="1:10" ht="13.7" customHeight="1">
      <c r="A27" s="64"/>
      <c r="B27" s="20" t="s">
        <v>55</v>
      </c>
      <c r="C27" s="16" t="s">
        <v>56</v>
      </c>
      <c r="D27" s="17">
        <f>(D22+D25)*D26</f>
        <v>150840</v>
      </c>
      <c r="E27" s="17">
        <f>(E22+E25)*E26</f>
        <v>150840</v>
      </c>
      <c r="F27" s="17">
        <f>(F22+F25)*F26</f>
        <v>150840</v>
      </c>
      <c r="G27" s="63" t="s">
        <v>57</v>
      </c>
      <c r="H27" s="63"/>
      <c r="I27" s="63"/>
      <c r="J27" s="63"/>
    </row>
    <row r="28" spans="1:10" ht="13.7" customHeight="1">
      <c r="A28" s="64"/>
      <c r="B28" s="71"/>
      <c r="C28" s="71"/>
      <c r="D28" s="71"/>
      <c r="E28" s="71"/>
      <c r="F28" s="71"/>
      <c r="G28" s="71"/>
      <c r="H28" s="71"/>
      <c r="I28" s="71"/>
      <c r="J28" s="72"/>
    </row>
    <row r="29" spans="1:10" ht="15">
      <c r="A29" s="64"/>
      <c r="B29" s="13" t="s">
        <v>58</v>
      </c>
      <c r="C29" s="2" t="s">
        <v>59</v>
      </c>
      <c r="D29" s="2">
        <f>ROUNDUP(D3/1800,0)</f>
        <v>3</v>
      </c>
      <c r="E29" s="2">
        <f>D29</f>
        <v>3</v>
      </c>
      <c r="F29" s="2">
        <f>D29</f>
        <v>3</v>
      </c>
      <c r="G29" s="63" t="s">
        <v>60</v>
      </c>
      <c r="H29" s="63"/>
      <c r="I29" s="63"/>
      <c r="J29" s="63"/>
    </row>
    <row r="30" spans="1:10" ht="15">
      <c r="A30" s="64"/>
      <c r="B30" s="13" t="s">
        <v>61</v>
      </c>
      <c r="C30" s="13" t="s">
        <v>62</v>
      </c>
      <c r="D30" s="4">
        <v>0.33</v>
      </c>
      <c r="E30" s="4">
        <v>0.33</v>
      </c>
      <c r="F30" s="23">
        <v>0.33</v>
      </c>
      <c r="G30" s="63" t="s">
        <v>41</v>
      </c>
      <c r="H30" s="63"/>
      <c r="I30" s="63"/>
      <c r="J30" s="63"/>
    </row>
    <row r="31" spans="1:10" ht="15">
      <c r="A31" s="64"/>
      <c r="B31" s="13" t="s">
        <v>63</v>
      </c>
      <c r="C31" s="2" t="s">
        <v>43</v>
      </c>
      <c r="D31" s="4">
        <v>0.55000000000000004</v>
      </c>
      <c r="E31" s="4">
        <v>0.6</v>
      </c>
      <c r="F31" s="23">
        <v>0.65</v>
      </c>
      <c r="G31" s="63" t="s">
        <v>44</v>
      </c>
      <c r="H31" s="63"/>
      <c r="I31" s="63"/>
      <c r="J31" s="63"/>
    </row>
    <row r="32" spans="1:10" ht="13.7" customHeight="1">
      <c r="A32" s="64"/>
      <c r="B32" s="19" t="s">
        <v>64</v>
      </c>
      <c r="C32" s="10" t="s">
        <v>65</v>
      </c>
      <c r="D32" s="10">
        <f>ROUNDUP(D29*D30*D31,0)</f>
        <v>1</v>
      </c>
      <c r="E32" s="10">
        <f>ROUNDUP(E29*E30*E31,0)</f>
        <v>1</v>
      </c>
      <c r="F32" s="24">
        <f>ROUNDUP(F29*F30*F31,0)</f>
        <v>1</v>
      </c>
      <c r="G32" s="63"/>
      <c r="H32" s="63"/>
      <c r="I32" s="63"/>
      <c r="J32" s="63"/>
    </row>
    <row r="33" spans="1:10" ht="13.7" customHeight="1">
      <c r="A33" s="64"/>
      <c r="B33" s="13" t="s">
        <v>66</v>
      </c>
      <c r="C33" s="2" t="s">
        <v>67</v>
      </c>
      <c r="D33" s="15">
        <f>VLOOKUP($J$3,Lists!$E$3:$G$12,3,FALSE)</f>
        <v>46862</v>
      </c>
      <c r="E33" s="15">
        <f>VLOOKUP($J$3,Lists!$E$3:$G$12,3,FALSE)</f>
        <v>46862</v>
      </c>
      <c r="F33" s="15">
        <f>VLOOKUP($J$3,Lists!$E$3:$G$12,3,FALSE)</f>
        <v>46862</v>
      </c>
      <c r="G33" s="63" t="s">
        <v>54</v>
      </c>
      <c r="H33" s="63"/>
      <c r="I33" s="63"/>
      <c r="J33" s="63"/>
    </row>
    <row r="34" spans="1:10" ht="13.7" customHeight="1">
      <c r="A34" s="64"/>
      <c r="B34" s="16" t="s">
        <v>68</v>
      </c>
      <c r="C34" s="16" t="s">
        <v>69</v>
      </c>
      <c r="D34" s="26">
        <f>D33*D32</f>
        <v>46862</v>
      </c>
      <c r="E34" s="26">
        <f>E33*E32</f>
        <v>46862</v>
      </c>
      <c r="F34" s="26">
        <f>F33*F32</f>
        <v>46862</v>
      </c>
      <c r="G34" s="63" t="s">
        <v>57</v>
      </c>
      <c r="H34" s="63"/>
      <c r="I34" s="63"/>
      <c r="J34" s="63"/>
    </row>
    <row r="35" spans="1:10" ht="13.7" customHeight="1">
      <c r="A35" s="64"/>
      <c r="B35" s="61"/>
      <c r="C35" s="61"/>
      <c r="D35" s="61"/>
      <c r="E35" s="61"/>
      <c r="F35" s="61"/>
      <c r="G35" s="61"/>
      <c r="H35" s="61"/>
      <c r="I35" s="61"/>
      <c r="J35" s="61"/>
    </row>
    <row r="36" spans="1:10" ht="13.7" customHeight="1">
      <c r="A36" s="64"/>
      <c r="B36" s="13" t="s">
        <v>70</v>
      </c>
      <c r="C36" s="13" t="s">
        <v>71</v>
      </c>
      <c r="D36" s="4">
        <v>0.25</v>
      </c>
      <c r="E36" s="4">
        <v>0.25</v>
      </c>
      <c r="F36" s="4">
        <v>0.25</v>
      </c>
      <c r="G36" s="63" t="s">
        <v>72</v>
      </c>
      <c r="H36" s="63"/>
      <c r="I36" s="63"/>
      <c r="J36" s="63"/>
    </row>
    <row r="37" spans="1:10" ht="15">
      <c r="A37" s="64"/>
      <c r="B37" s="13" t="s">
        <v>73</v>
      </c>
      <c r="C37" s="13" t="s">
        <v>74</v>
      </c>
      <c r="D37" s="4">
        <v>0.1</v>
      </c>
      <c r="E37" s="4">
        <v>0.1</v>
      </c>
      <c r="F37" s="4">
        <v>0.1</v>
      </c>
      <c r="G37" s="62" t="s">
        <v>75</v>
      </c>
      <c r="H37" s="62"/>
      <c r="I37" s="62"/>
      <c r="J37" s="62"/>
    </row>
    <row r="38" spans="1:10" ht="13.7" customHeight="1">
      <c r="A38" s="64"/>
      <c r="B38" s="16" t="s">
        <v>76</v>
      </c>
      <c r="C38" s="16"/>
      <c r="D38" s="26">
        <f>(D27+D34)*(1-D36)*(1-D37)</f>
        <v>133448.85</v>
      </c>
      <c r="E38" s="26">
        <f>(E27+E34)*(1-E36)*(1-E37)</f>
        <v>133448.85</v>
      </c>
      <c r="F38" s="26">
        <f>(F27+F34)*(1-F36)*(1-F37)</f>
        <v>133448.85</v>
      </c>
      <c r="G38" s="63"/>
      <c r="H38" s="63"/>
      <c r="I38" s="63"/>
      <c r="J38" s="63"/>
    </row>
    <row r="40" spans="1:10" ht="13.7" customHeight="1">
      <c r="A40" s="64" t="s">
        <v>77</v>
      </c>
      <c r="B40" s="65" t="s">
        <v>20</v>
      </c>
      <c r="C40" s="66"/>
      <c r="D40" s="66"/>
      <c r="E40" s="66"/>
      <c r="F40" s="66"/>
      <c r="G40" s="66"/>
      <c r="H40" s="66"/>
      <c r="I40" s="66"/>
      <c r="J40" s="66"/>
    </row>
    <row r="41" spans="1:10" ht="45" customHeight="1">
      <c r="A41" s="64"/>
      <c r="B41" s="67" t="s">
        <v>78</v>
      </c>
      <c r="C41" s="68"/>
      <c r="D41" s="68"/>
      <c r="E41" s="68"/>
      <c r="F41" s="68"/>
      <c r="G41" s="68"/>
      <c r="H41" s="68"/>
      <c r="I41" s="68"/>
      <c r="J41" s="68"/>
    </row>
    <row r="42" spans="1:10" ht="13.7" customHeight="1">
      <c r="A42" s="64"/>
      <c r="B42" s="18" t="s">
        <v>33</v>
      </c>
      <c r="C42" s="14" t="s">
        <v>34</v>
      </c>
      <c r="D42" s="14" t="s">
        <v>14</v>
      </c>
      <c r="E42" s="14" t="s">
        <v>15</v>
      </c>
      <c r="F42" s="21" t="s">
        <v>16</v>
      </c>
      <c r="G42" s="69" t="s">
        <v>35</v>
      </c>
      <c r="H42" s="69"/>
      <c r="I42" s="69"/>
      <c r="J42" s="69"/>
    </row>
    <row r="43" spans="1:10" ht="13.7" customHeight="1">
      <c r="A43" s="64"/>
      <c r="B43" s="13" t="s">
        <v>79</v>
      </c>
      <c r="C43" s="2" t="s">
        <v>80</v>
      </c>
      <c r="D43" s="6">
        <f>D3</f>
        <v>5000</v>
      </c>
      <c r="E43" s="6">
        <f>D3</f>
        <v>5000</v>
      </c>
      <c r="F43" s="27">
        <f>D3</f>
        <v>5000</v>
      </c>
      <c r="G43" s="63"/>
      <c r="H43" s="63"/>
      <c r="I43" s="63"/>
      <c r="J43" s="63"/>
    </row>
    <row r="44" spans="1:10" ht="13.7" customHeight="1">
      <c r="A44" s="64"/>
      <c r="B44" s="13" t="s">
        <v>81</v>
      </c>
      <c r="C44" s="2" t="s">
        <v>82</v>
      </c>
      <c r="D44" s="4">
        <f>D4</f>
        <v>0.5</v>
      </c>
      <c r="E44" s="4">
        <f>D4</f>
        <v>0.5</v>
      </c>
      <c r="F44" s="23">
        <f>D4</f>
        <v>0.5</v>
      </c>
      <c r="G44" s="63"/>
      <c r="H44" s="63"/>
      <c r="I44" s="63"/>
      <c r="J44" s="63"/>
    </row>
    <row r="45" spans="1:10" ht="13.7" customHeight="1">
      <c r="A45" s="64"/>
      <c r="B45" s="13" t="s">
        <v>83</v>
      </c>
      <c r="C45" s="2" t="s">
        <v>84</v>
      </c>
      <c r="D45" s="4">
        <v>0.2</v>
      </c>
      <c r="E45" s="4">
        <v>0.2</v>
      </c>
      <c r="F45" s="4">
        <v>0.2</v>
      </c>
      <c r="G45" s="63" t="s">
        <v>85</v>
      </c>
      <c r="H45" s="63"/>
      <c r="I45" s="63"/>
      <c r="J45" s="63"/>
    </row>
    <row r="46" spans="1:10" ht="13.7" customHeight="1">
      <c r="A46" s="64"/>
      <c r="B46" s="10" t="s">
        <v>86</v>
      </c>
      <c r="C46" s="10" t="s">
        <v>87</v>
      </c>
      <c r="D46" s="34">
        <f>D43*D44*D45</f>
        <v>500</v>
      </c>
      <c r="E46" s="10">
        <f>E43*E44*E45</f>
        <v>500</v>
      </c>
      <c r="F46" s="10">
        <f>F43*F44*F45</f>
        <v>500</v>
      </c>
      <c r="G46" s="63"/>
      <c r="H46" s="63"/>
      <c r="I46" s="63"/>
      <c r="J46" s="63"/>
    </row>
    <row r="47" spans="1:10" ht="13.7" customHeight="1">
      <c r="A47" s="64"/>
      <c r="B47" s="13" t="s">
        <v>88</v>
      </c>
      <c r="C47" s="2" t="s">
        <v>89</v>
      </c>
      <c r="D47" s="4">
        <v>0.08</v>
      </c>
      <c r="E47" s="4">
        <v>0.08</v>
      </c>
      <c r="F47" s="23">
        <v>0.08</v>
      </c>
      <c r="G47" s="63" t="s">
        <v>44</v>
      </c>
      <c r="H47" s="63"/>
      <c r="I47" s="63"/>
      <c r="J47" s="63"/>
    </row>
    <row r="48" spans="1:10" ht="13.7" customHeight="1">
      <c r="A48" s="64"/>
      <c r="B48" s="10" t="s">
        <v>90</v>
      </c>
      <c r="C48" s="10" t="s">
        <v>91</v>
      </c>
      <c r="D48" s="10">
        <f>ROUNDUP(D46*D47,0)</f>
        <v>40</v>
      </c>
      <c r="E48" s="10">
        <f t="shared" ref="E48:F48" si="3">ROUNDUP(E46*E47,0)</f>
        <v>40</v>
      </c>
      <c r="F48" s="10">
        <f t="shared" si="3"/>
        <v>40</v>
      </c>
      <c r="G48" s="63"/>
      <c r="H48" s="63"/>
      <c r="I48" s="63"/>
      <c r="J48" s="63"/>
    </row>
    <row r="49" spans="1:10" ht="13.7" customHeight="1">
      <c r="A49" s="64"/>
      <c r="B49" s="13" t="s">
        <v>92</v>
      </c>
      <c r="C49" s="2" t="s">
        <v>93</v>
      </c>
      <c r="D49" s="15">
        <f>VLOOKUP($J$3,Lists!$E$3:$H$12,4,FALSE)</f>
        <v>41000</v>
      </c>
      <c r="E49" s="15">
        <f>VLOOKUP($J$3,Lists!$E$3:$H$12,4,FALSE)</f>
        <v>41000</v>
      </c>
      <c r="F49" s="15">
        <f>VLOOKUP($J$3,Lists!$E$3:$H$12,4,FALSE)</f>
        <v>41000</v>
      </c>
      <c r="G49" s="63" t="s">
        <v>94</v>
      </c>
      <c r="H49" s="63"/>
      <c r="I49" s="63"/>
      <c r="J49" s="63"/>
    </row>
    <row r="50" spans="1:10" ht="13.7" customHeight="1">
      <c r="A50" s="64"/>
      <c r="B50" s="16" t="s">
        <v>95</v>
      </c>
      <c r="C50" s="16" t="s">
        <v>96</v>
      </c>
      <c r="D50" s="26">
        <f>D48*D49</f>
        <v>1640000</v>
      </c>
      <c r="E50" s="26">
        <f>E48*E49</f>
        <v>1640000</v>
      </c>
      <c r="F50" s="26">
        <f>F48*F49</f>
        <v>1640000</v>
      </c>
      <c r="G50" s="63" t="s">
        <v>57</v>
      </c>
      <c r="H50" s="63"/>
      <c r="I50" s="63"/>
      <c r="J50" s="63"/>
    </row>
    <row r="51" spans="1:10" ht="13.7" customHeight="1">
      <c r="A51" s="64"/>
      <c r="B51" s="71"/>
      <c r="C51" s="71"/>
      <c r="D51" s="71"/>
      <c r="E51" s="71"/>
      <c r="F51" s="71"/>
      <c r="G51" s="71"/>
      <c r="H51" s="71"/>
      <c r="I51" s="71"/>
      <c r="J51" s="72"/>
    </row>
    <row r="52" spans="1:10" ht="13.7" customHeight="1">
      <c r="A52" s="64"/>
      <c r="B52" s="13" t="s">
        <v>97</v>
      </c>
      <c r="C52" s="13" t="s">
        <v>71</v>
      </c>
      <c r="D52" s="4">
        <v>0.25</v>
      </c>
      <c r="E52" s="4">
        <v>0.25</v>
      </c>
      <c r="F52" s="4">
        <v>0.25</v>
      </c>
      <c r="G52" s="63" t="s">
        <v>98</v>
      </c>
      <c r="H52" s="63"/>
      <c r="I52" s="63"/>
      <c r="J52" s="63"/>
    </row>
    <row r="53" spans="1:10" ht="13.7" customHeight="1">
      <c r="A53" s="64"/>
      <c r="B53" s="13" t="s">
        <v>99</v>
      </c>
      <c r="C53" s="13" t="s">
        <v>74</v>
      </c>
      <c r="D53" s="4">
        <v>0.1</v>
      </c>
      <c r="E53" s="4">
        <v>0.1</v>
      </c>
      <c r="F53" s="4">
        <v>0.1</v>
      </c>
      <c r="G53" s="62" t="s">
        <v>75</v>
      </c>
      <c r="H53" s="62"/>
      <c r="I53" s="62"/>
      <c r="J53" s="62"/>
    </row>
    <row r="54" spans="1:10" ht="13.7" customHeight="1">
      <c r="A54" s="64"/>
      <c r="B54" s="16" t="s">
        <v>100</v>
      </c>
      <c r="C54" s="16"/>
      <c r="D54" s="26">
        <f>D50*(1-D52)*(1-D53)</f>
        <v>1107000</v>
      </c>
      <c r="E54" s="26">
        <f>E50*(1-E52)*(1-E53)</f>
        <v>1107000</v>
      </c>
      <c r="F54" s="26">
        <f>F50*(1-F52)*(1-F53)</f>
        <v>1107000</v>
      </c>
      <c r="G54" s="63"/>
      <c r="H54" s="63"/>
      <c r="I54" s="63"/>
      <c r="J54" s="63"/>
    </row>
    <row r="56" spans="1:10" ht="13.7" customHeight="1">
      <c r="A56" s="64" t="s">
        <v>101</v>
      </c>
      <c r="B56" s="65" t="s">
        <v>22</v>
      </c>
      <c r="C56" s="66"/>
      <c r="D56" s="66"/>
      <c r="E56" s="66"/>
      <c r="F56" s="66"/>
      <c r="G56" s="66"/>
      <c r="H56" s="66"/>
      <c r="I56" s="66"/>
      <c r="J56" s="66"/>
    </row>
    <row r="57" spans="1:10" ht="49.35" customHeight="1">
      <c r="A57" s="64"/>
      <c r="B57" s="67" t="s">
        <v>102</v>
      </c>
      <c r="C57" s="68"/>
      <c r="D57" s="68"/>
      <c r="E57" s="68"/>
      <c r="F57" s="68"/>
      <c r="G57" s="68"/>
      <c r="H57" s="68"/>
      <c r="I57" s="68"/>
      <c r="J57" s="68"/>
    </row>
    <row r="58" spans="1:10" ht="13.7" customHeight="1">
      <c r="A58" s="64"/>
      <c r="B58" s="18" t="s">
        <v>33</v>
      </c>
      <c r="C58" s="14" t="s">
        <v>34</v>
      </c>
      <c r="D58" s="14" t="s">
        <v>14</v>
      </c>
      <c r="E58" s="14" t="s">
        <v>15</v>
      </c>
      <c r="F58" s="21" t="s">
        <v>16</v>
      </c>
      <c r="G58" s="69" t="s">
        <v>35</v>
      </c>
      <c r="H58" s="69"/>
      <c r="I58" s="69"/>
      <c r="J58" s="69"/>
    </row>
    <row r="59" spans="1:10" ht="13.7" customHeight="1">
      <c r="A59" s="64"/>
      <c r="B59" s="13" t="s">
        <v>103</v>
      </c>
      <c r="C59" s="2" t="s">
        <v>104</v>
      </c>
      <c r="D59" s="2">
        <v>3.2</v>
      </c>
      <c r="E59" s="2">
        <f>D59</f>
        <v>3.2</v>
      </c>
      <c r="F59" s="22">
        <f>D59</f>
        <v>3.2</v>
      </c>
      <c r="G59" s="63" t="s">
        <v>105</v>
      </c>
      <c r="H59" s="63"/>
      <c r="I59" s="63"/>
      <c r="J59" s="63"/>
    </row>
    <row r="60" spans="1:10" ht="13.7" customHeight="1">
      <c r="A60" s="64"/>
      <c r="B60" s="13" t="s">
        <v>106</v>
      </c>
      <c r="C60" s="2" t="s">
        <v>80</v>
      </c>
      <c r="D60" s="6">
        <f>D3</f>
        <v>5000</v>
      </c>
      <c r="E60" s="6">
        <f>D60</f>
        <v>5000</v>
      </c>
      <c r="F60" s="27">
        <f>E60</f>
        <v>5000</v>
      </c>
      <c r="G60" s="63"/>
      <c r="H60" s="63"/>
      <c r="I60" s="63"/>
      <c r="J60" s="63"/>
    </row>
    <row r="61" spans="1:10" ht="13.7" customHeight="1">
      <c r="A61" s="64"/>
      <c r="B61" s="13" t="s">
        <v>107</v>
      </c>
      <c r="C61" s="2" t="s">
        <v>82</v>
      </c>
      <c r="D61" s="4">
        <f>D4</f>
        <v>0.5</v>
      </c>
      <c r="E61" s="4">
        <f>D61</f>
        <v>0.5</v>
      </c>
      <c r="F61" s="23">
        <f>E61</f>
        <v>0.5</v>
      </c>
      <c r="G61" s="63"/>
      <c r="H61" s="63"/>
      <c r="I61" s="63"/>
      <c r="J61" s="63"/>
    </row>
    <row r="62" spans="1:10" ht="13.7" customHeight="1">
      <c r="A62" s="64"/>
      <c r="B62" s="13" t="s">
        <v>108</v>
      </c>
      <c r="C62" s="2" t="s">
        <v>109</v>
      </c>
      <c r="D62" s="5">
        <v>53</v>
      </c>
      <c r="E62" s="5">
        <v>53</v>
      </c>
      <c r="F62" s="5">
        <v>53</v>
      </c>
      <c r="G62" s="70" t="s">
        <v>110</v>
      </c>
      <c r="H62" s="70"/>
      <c r="I62" s="70"/>
      <c r="J62" s="70"/>
    </row>
    <row r="63" spans="1:10" ht="13.7" customHeight="1">
      <c r="A63" s="64"/>
      <c r="B63" s="10" t="s">
        <v>111</v>
      </c>
      <c r="C63" s="10" t="s">
        <v>112</v>
      </c>
      <c r="D63" s="12">
        <f>D59*D60*D61*D62</f>
        <v>424000</v>
      </c>
      <c r="E63" s="12">
        <f>E59*E60*E61*E62</f>
        <v>424000</v>
      </c>
      <c r="F63" s="12">
        <f>F59*F60*F61*F62</f>
        <v>424000</v>
      </c>
      <c r="G63" s="63"/>
      <c r="H63" s="63"/>
      <c r="I63" s="63"/>
      <c r="J63" s="63"/>
    </row>
    <row r="64" spans="1:10" ht="13.7" customHeight="1">
      <c r="A64" s="64"/>
      <c r="B64" s="13" t="s">
        <v>113</v>
      </c>
      <c r="C64" s="2" t="s">
        <v>114</v>
      </c>
      <c r="D64" s="4">
        <v>0.75</v>
      </c>
      <c r="E64" s="4">
        <v>0.75</v>
      </c>
      <c r="F64" s="4">
        <v>0.75</v>
      </c>
      <c r="G64" s="63" t="s">
        <v>44</v>
      </c>
      <c r="H64" s="63"/>
      <c r="I64" s="63"/>
      <c r="J64" s="63"/>
    </row>
    <row r="65" spans="1:10" ht="13.7" customHeight="1">
      <c r="A65" s="64"/>
      <c r="B65" s="16" t="s">
        <v>115</v>
      </c>
      <c r="C65" s="16" t="s">
        <v>116</v>
      </c>
      <c r="D65" s="26">
        <f>D63*D64</f>
        <v>318000</v>
      </c>
      <c r="E65" s="26">
        <f t="shared" ref="E65:F65" si="4">E63*E64</f>
        <v>318000</v>
      </c>
      <c r="F65" s="26">
        <f t="shared" si="4"/>
        <v>318000</v>
      </c>
      <c r="G65" s="58"/>
      <c r="H65" s="59"/>
      <c r="I65" s="59"/>
      <c r="J65" s="60"/>
    </row>
    <row r="66" spans="1:10" ht="13.7" customHeight="1">
      <c r="A66" s="64"/>
      <c r="B66" s="61"/>
      <c r="C66" s="61"/>
      <c r="D66" s="61"/>
      <c r="E66" s="61"/>
      <c r="F66" s="61"/>
      <c r="G66" s="61"/>
      <c r="H66" s="61"/>
      <c r="I66" s="61"/>
      <c r="J66" s="61"/>
    </row>
    <row r="67" spans="1:10" ht="13.7" customHeight="1">
      <c r="A67" s="64"/>
      <c r="B67" s="13" t="s">
        <v>117</v>
      </c>
      <c r="C67" s="13" t="s">
        <v>74</v>
      </c>
      <c r="D67" s="4">
        <v>0.25</v>
      </c>
      <c r="E67" s="4">
        <v>0.25</v>
      </c>
      <c r="F67" s="4">
        <v>0.25</v>
      </c>
      <c r="G67" s="62" t="s">
        <v>75</v>
      </c>
      <c r="H67" s="62"/>
      <c r="I67" s="62"/>
      <c r="J67" s="62"/>
    </row>
    <row r="68" spans="1:10" ht="13.7" customHeight="1">
      <c r="A68" s="64"/>
      <c r="B68" s="16" t="s">
        <v>118</v>
      </c>
      <c r="C68" s="16"/>
      <c r="D68" s="26">
        <f>D65*(1-D67)</f>
        <v>238500</v>
      </c>
      <c r="E68" s="26">
        <f>E65*(1-E67)</f>
        <v>238500</v>
      </c>
      <c r="F68" s="26">
        <f>F65*(1-F67)</f>
        <v>238500</v>
      </c>
      <c r="G68" s="63"/>
      <c r="H68" s="63"/>
      <c r="I68" s="63"/>
      <c r="J68" s="63"/>
    </row>
    <row r="70" spans="1:10" ht="13.7" customHeight="1">
      <c r="A70" s="64" t="s">
        <v>119</v>
      </c>
      <c r="B70" s="65" t="s">
        <v>24</v>
      </c>
      <c r="C70" s="66"/>
      <c r="D70" s="66"/>
      <c r="E70" s="66"/>
      <c r="F70" s="66"/>
      <c r="G70" s="66"/>
      <c r="H70" s="66"/>
      <c r="I70" s="66"/>
      <c r="J70" s="66"/>
    </row>
    <row r="71" spans="1:10" ht="41.45" customHeight="1">
      <c r="A71" s="64"/>
      <c r="B71" s="67" t="s">
        <v>120</v>
      </c>
      <c r="C71" s="68"/>
      <c r="D71" s="68"/>
      <c r="E71" s="68"/>
      <c r="F71" s="68"/>
      <c r="G71" s="68"/>
      <c r="H71" s="68"/>
      <c r="I71" s="68"/>
      <c r="J71" s="68"/>
    </row>
    <row r="72" spans="1:10" ht="13.7" customHeight="1">
      <c r="A72" s="64"/>
      <c r="B72" s="18" t="s">
        <v>33</v>
      </c>
      <c r="C72" s="14" t="s">
        <v>34</v>
      </c>
      <c r="D72" s="14" t="s">
        <v>14</v>
      </c>
      <c r="E72" s="14" t="s">
        <v>15</v>
      </c>
      <c r="F72" s="21" t="s">
        <v>16</v>
      </c>
      <c r="G72" s="69" t="s">
        <v>35</v>
      </c>
      <c r="H72" s="69"/>
      <c r="I72" s="69"/>
      <c r="J72" s="69"/>
    </row>
    <row r="73" spans="1:10" ht="13.7" customHeight="1">
      <c r="A73" s="64"/>
      <c r="B73" s="13" t="s">
        <v>121</v>
      </c>
      <c r="C73" s="2" t="s">
        <v>122</v>
      </c>
      <c r="D73" s="15">
        <f>(D3*20)+(G3*5000)+(G5*50000)</f>
        <v>175000</v>
      </c>
      <c r="E73" s="15">
        <f>D73</f>
        <v>175000</v>
      </c>
      <c r="F73" s="15">
        <f>E73</f>
        <v>175000</v>
      </c>
      <c r="G73" s="70" t="s">
        <v>123</v>
      </c>
      <c r="H73" s="70"/>
      <c r="I73" s="70"/>
      <c r="J73" s="70"/>
    </row>
    <row r="74" spans="1:10" ht="13.7" customHeight="1">
      <c r="A74" s="64"/>
      <c r="B74" s="13" t="s">
        <v>124</v>
      </c>
      <c r="C74" s="2" t="s">
        <v>125</v>
      </c>
      <c r="D74" s="28">
        <v>0.3</v>
      </c>
      <c r="E74" s="28">
        <v>0.3</v>
      </c>
      <c r="F74" s="28">
        <v>0.3</v>
      </c>
      <c r="G74" s="63" t="s">
        <v>126</v>
      </c>
      <c r="H74" s="63"/>
      <c r="I74" s="63"/>
      <c r="J74" s="63"/>
    </row>
    <row r="75" spans="1:10" ht="13.7" customHeight="1">
      <c r="A75" s="64"/>
      <c r="B75" s="13" t="s">
        <v>127</v>
      </c>
      <c r="C75" s="2" t="s">
        <v>128</v>
      </c>
      <c r="D75" s="15">
        <f>IF($D$5="Yes",$G$4*36000,0)</f>
        <v>72000</v>
      </c>
      <c r="E75" s="15">
        <f>IF($D$5="Yes",$G$4*36000,0)</f>
        <v>72000</v>
      </c>
      <c r="F75" s="15">
        <f>IF($D$5="Yes",$G$4*36000,0)</f>
        <v>72000</v>
      </c>
      <c r="G75" s="63" t="s">
        <v>129</v>
      </c>
      <c r="H75" s="63"/>
      <c r="I75" s="63"/>
      <c r="J75" s="63"/>
    </row>
    <row r="76" spans="1:10" ht="13.7" customHeight="1">
      <c r="A76" s="64"/>
      <c r="B76" s="13" t="s">
        <v>130</v>
      </c>
      <c r="C76" s="2" t="s">
        <v>131</v>
      </c>
      <c r="D76" s="15">
        <f>(D73*D74)+D75</f>
        <v>124500</v>
      </c>
      <c r="E76" s="15">
        <f>(E73*E74)+E75</f>
        <v>124500</v>
      </c>
      <c r="F76" s="15">
        <f>(F73*F74)+F75</f>
        <v>124500</v>
      </c>
      <c r="G76" s="63"/>
      <c r="H76" s="63"/>
      <c r="I76" s="63"/>
      <c r="J76" s="63"/>
    </row>
    <row r="77" spans="1:10" ht="13.7" customHeight="1">
      <c r="A77" s="64"/>
      <c r="B77" s="13" t="s">
        <v>132</v>
      </c>
      <c r="C77" s="2" t="s">
        <v>133</v>
      </c>
      <c r="D77" s="28">
        <v>0.1</v>
      </c>
      <c r="E77" s="28">
        <v>0.1</v>
      </c>
      <c r="F77" s="28">
        <v>0.1</v>
      </c>
      <c r="G77" s="70"/>
      <c r="H77" s="70"/>
      <c r="I77" s="70"/>
      <c r="J77" s="70"/>
    </row>
    <row r="78" spans="1:10" ht="13.7" customHeight="1">
      <c r="A78" s="64"/>
      <c r="B78" s="16" t="s">
        <v>130</v>
      </c>
      <c r="C78" s="16"/>
      <c r="D78" s="26">
        <f>D76*(1-D77)</f>
        <v>112050</v>
      </c>
      <c r="E78" s="26">
        <f>E76*(1-E77)</f>
        <v>112050</v>
      </c>
      <c r="F78" s="26">
        <f>F76*(1-F77)</f>
        <v>112050</v>
      </c>
      <c r="G78" s="58"/>
      <c r="H78" s="59"/>
      <c r="I78" s="59"/>
      <c r="J78" s="60"/>
    </row>
    <row r="80" spans="1:10" ht="13.7" customHeight="1">
      <c r="A80" s="64" t="s">
        <v>134</v>
      </c>
      <c r="B80" s="65" t="s">
        <v>135</v>
      </c>
      <c r="C80" s="66"/>
      <c r="D80" s="66"/>
      <c r="E80" s="66"/>
      <c r="F80" s="66"/>
      <c r="G80" s="66"/>
      <c r="H80" s="66"/>
      <c r="I80" s="66"/>
      <c r="J80" s="66"/>
    </row>
    <row r="81" spans="1:10" ht="78" customHeight="1">
      <c r="A81" s="64"/>
      <c r="B81" s="67" t="s">
        <v>136</v>
      </c>
      <c r="C81" s="68"/>
      <c r="D81" s="68"/>
      <c r="E81" s="68"/>
      <c r="F81" s="68"/>
      <c r="G81" s="68"/>
      <c r="H81" s="68"/>
      <c r="I81" s="68"/>
      <c r="J81" s="68"/>
    </row>
    <row r="82" spans="1:10" ht="13.7" customHeight="1">
      <c r="A82" s="64"/>
      <c r="B82" s="18" t="s">
        <v>33</v>
      </c>
      <c r="C82" s="14" t="s">
        <v>34</v>
      </c>
      <c r="D82" s="14" t="s">
        <v>14</v>
      </c>
      <c r="E82" s="14" t="s">
        <v>15</v>
      </c>
      <c r="F82" s="21" t="s">
        <v>16</v>
      </c>
      <c r="G82" s="69" t="s">
        <v>35</v>
      </c>
      <c r="H82" s="69"/>
      <c r="I82" s="69"/>
      <c r="J82" s="69"/>
    </row>
    <row r="83" spans="1:10" ht="13.7" customHeight="1">
      <c r="A83" s="64"/>
      <c r="B83" s="13" t="s">
        <v>137</v>
      </c>
      <c r="C83" s="2" t="s">
        <v>138</v>
      </c>
      <c r="D83" s="2">
        <f>ROUNDUP(D3/2000,0)</f>
        <v>3</v>
      </c>
      <c r="E83" s="2">
        <f>ROUNDUP(D3/2000,0)</f>
        <v>3</v>
      </c>
      <c r="F83" s="22">
        <f>ROUNDUP(D3/2000,0)</f>
        <v>3</v>
      </c>
      <c r="G83" s="70" t="s">
        <v>139</v>
      </c>
      <c r="H83" s="70"/>
      <c r="I83" s="70"/>
      <c r="J83" s="70"/>
    </row>
    <row r="84" spans="1:10" ht="13.7" customHeight="1">
      <c r="A84" s="64"/>
      <c r="B84" s="13" t="s">
        <v>140</v>
      </c>
      <c r="C84" s="2" t="s">
        <v>141</v>
      </c>
      <c r="D84" s="4">
        <v>0.15</v>
      </c>
      <c r="E84" s="4">
        <v>0.1</v>
      </c>
      <c r="F84" s="4">
        <v>7.0000000000000007E-2</v>
      </c>
      <c r="G84" s="58" t="s">
        <v>142</v>
      </c>
      <c r="H84" s="59"/>
      <c r="I84" s="59"/>
      <c r="J84" s="60"/>
    </row>
    <row r="85" spans="1:10" ht="13.7" customHeight="1">
      <c r="A85" s="64"/>
      <c r="B85" s="13" t="s">
        <v>143</v>
      </c>
      <c r="C85" s="2" t="s">
        <v>144</v>
      </c>
      <c r="D85" s="4">
        <v>0.5</v>
      </c>
      <c r="E85" s="4">
        <v>0.3</v>
      </c>
      <c r="F85" s="23">
        <v>0.05</v>
      </c>
      <c r="G85" s="58" t="s">
        <v>145</v>
      </c>
      <c r="H85" s="59"/>
      <c r="I85" s="59"/>
      <c r="J85" s="60"/>
    </row>
    <row r="86" spans="1:10" ht="13.7" customHeight="1">
      <c r="A86" s="64"/>
      <c r="B86" s="13" t="s">
        <v>146</v>
      </c>
      <c r="C86" s="2" t="s">
        <v>53</v>
      </c>
      <c r="D86" s="11">
        <f>VLOOKUP($J$3,Lists!$E$3:$F$12,2,FALSE)</f>
        <v>50280</v>
      </c>
      <c r="E86" s="11">
        <f>VLOOKUP($J$3,Lists!$E$3:$F$12,2,FALSE)</f>
        <v>50280</v>
      </c>
      <c r="F86" s="11">
        <f>VLOOKUP($J$3,Lists!$E$3:$F$12,2,FALSE)</f>
        <v>50280</v>
      </c>
      <c r="G86" s="63" t="s">
        <v>147</v>
      </c>
      <c r="H86" s="63"/>
      <c r="I86" s="63"/>
      <c r="J86" s="63"/>
    </row>
    <row r="87" spans="1:10" ht="13.7" customHeight="1">
      <c r="A87" s="64"/>
      <c r="B87" s="10" t="s">
        <v>148</v>
      </c>
      <c r="C87" s="10" t="s">
        <v>149</v>
      </c>
      <c r="D87" s="12">
        <f>D83*(D84+D85)*D86</f>
        <v>98046.000000000015</v>
      </c>
      <c r="E87" s="12">
        <f>E83*(E84+E85)*E86</f>
        <v>60336.000000000007</v>
      </c>
      <c r="F87" s="12">
        <f>F83*(F84+F85)*F86</f>
        <v>18100.800000000003</v>
      </c>
      <c r="G87" s="63"/>
      <c r="H87" s="63"/>
      <c r="I87" s="63"/>
      <c r="J87" s="63"/>
    </row>
    <row r="88" spans="1:10" ht="13.7" customHeight="1">
      <c r="A88" s="64"/>
      <c r="B88" s="13" t="s">
        <v>150</v>
      </c>
      <c r="C88" s="2" t="s">
        <v>151</v>
      </c>
      <c r="D88" s="4">
        <v>0.1</v>
      </c>
      <c r="E88" s="4">
        <v>0.05</v>
      </c>
      <c r="F88" s="4">
        <v>0.02</v>
      </c>
      <c r="G88" s="58" t="s">
        <v>142</v>
      </c>
      <c r="H88" s="59"/>
      <c r="I88" s="59"/>
      <c r="J88" s="60"/>
    </row>
    <row r="89" spans="1:10" ht="13.7" customHeight="1">
      <c r="A89" s="64"/>
      <c r="B89" s="10" t="s">
        <v>152</v>
      </c>
      <c r="C89" s="10" t="s">
        <v>153</v>
      </c>
      <c r="D89" s="12">
        <f>D83*(D86)*D88</f>
        <v>15084</v>
      </c>
      <c r="E89" s="12">
        <f>E83*(E86)*E88</f>
        <v>7542</v>
      </c>
      <c r="F89" s="12">
        <f>F83*(F86)*F88</f>
        <v>3016.8</v>
      </c>
      <c r="G89" s="63"/>
      <c r="H89" s="63"/>
      <c r="I89" s="63"/>
      <c r="J89" s="63"/>
    </row>
    <row r="90" spans="1:10" ht="13.7" customHeight="1">
      <c r="A90" s="64"/>
      <c r="B90" s="13" t="s">
        <v>154</v>
      </c>
      <c r="C90" s="2" t="s">
        <v>155</v>
      </c>
      <c r="D90" s="15">
        <f>$J$4*$D$3</f>
        <v>325000</v>
      </c>
      <c r="E90" s="15">
        <f>$J$4*$D$3</f>
        <v>325000</v>
      </c>
      <c r="F90" s="15">
        <f>$J$4*$D$3</f>
        <v>325000</v>
      </c>
      <c r="G90" s="63" t="s">
        <v>156</v>
      </c>
      <c r="H90" s="63"/>
      <c r="I90" s="63"/>
      <c r="J90" s="63"/>
    </row>
    <row r="91" spans="1:10" ht="13.7" customHeight="1">
      <c r="A91" s="64"/>
      <c r="B91" s="13" t="s">
        <v>157</v>
      </c>
      <c r="C91" s="2" t="s">
        <v>158</v>
      </c>
      <c r="D91" s="15">
        <f>$G$5*2*600</f>
        <v>1200</v>
      </c>
      <c r="E91" s="15">
        <f t="shared" ref="E91:F91" si="5">$G$5*2*600</f>
        <v>1200</v>
      </c>
      <c r="F91" s="15">
        <f t="shared" si="5"/>
        <v>1200</v>
      </c>
      <c r="G91" s="58" t="s">
        <v>159</v>
      </c>
      <c r="H91" s="59"/>
      <c r="I91" s="59"/>
      <c r="J91" s="60"/>
    </row>
    <row r="92" spans="1:10" ht="13.7" customHeight="1">
      <c r="A92" s="64"/>
      <c r="B92" s="13" t="s">
        <v>160</v>
      </c>
      <c r="C92" s="2" t="s">
        <v>161</v>
      </c>
      <c r="D92" s="15">
        <f>IF($D$5="Yes",$G$4*4500,0)</f>
        <v>9000</v>
      </c>
      <c r="E92" s="15">
        <f>IF($D$5="Yes",$G$4*4500,0)</f>
        <v>9000</v>
      </c>
      <c r="F92" s="15">
        <f>IF($D$5="Yes",$G$4*4500,0)</f>
        <v>9000</v>
      </c>
      <c r="G92" s="58" t="s">
        <v>162</v>
      </c>
      <c r="H92" s="59"/>
      <c r="I92" s="59"/>
      <c r="J92" s="60"/>
    </row>
    <row r="93" spans="1:10" ht="13.7" customHeight="1">
      <c r="A93" s="64"/>
      <c r="B93" s="29" t="s">
        <v>163</v>
      </c>
      <c r="C93" s="16" t="s">
        <v>164</v>
      </c>
      <c r="D93" s="26">
        <f>SUM(D87,D89:D92)</f>
        <v>448330</v>
      </c>
      <c r="E93" s="26">
        <f>SUM(E87,E89:E92)</f>
        <v>403078</v>
      </c>
      <c r="F93" s="26">
        <f>SUM(F87,F89:F92)</f>
        <v>356317.6</v>
      </c>
      <c r="G93" s="58"/>
      <c r="H93" s="59"/>
      <c r="I93" s="59"/>
      <c r="J93" s="60"/>
    </row>
    <row r="94" spans="1:10" ht="13.7" customHeight="1">
      <c r="A94" s="64"/>
      <c r="B94" s="61"/>
      <c r="C94" s="61"/>
      <c r="D94" s="61"/>
      <c r="E94" s="61"/>
      <c r="F94" s="61"/>
      <c r="G94" s="61"/>
      <c r="H94" s="61"/>
      <c r="I94" s="61"/>
      <c r="J94" s="61"/>
    </row>
    <row r="95" spans="1:10" ht="13.7" customHeight="1">
      <c r="A95" s="64"/>
      <c r="B95" s="13" t="s">
        <v>165</v>
      </c>
      <c r="C95" s="13" t="s">
        <v>74</v>
      </c>
      <c r="D95" s="4">
        <v>0.05</v>
      </c>
      <c r="E95" s="4">
        <v>0.05</v>
      </c>
      <c r="F95" s="4">
        <v>0.05</v>
      </c>
      <c r="G95" s="62"/>
      <c r="H95" s="62"/>
      <c r="I95" s="62"/>
      <c r="J95" s="62"/>
    </row>
    <row r="96" spans="1:10" ht="13.7" customHeight="1">
      <c r="A96" s="64"/>
      <c r="B96" s="16"/>
      <c r="C96" s="16"/>
      <c r="D96" s="26">
        <f>D93*(1+D95)</f>
        <v>470746.5</v>
      </c>
      <c r="E96" s="26">
        <f>E93*(1+E95)</f>
        <v>423231.9</v>
      </c>
      <c r="F96" s="26">
        <f>F93*(1+F95)</f>
        <v>374133.48</v>
      </c>
      <c r="G96" s="63"/>
      <c r="H96" s="63"/>
      <c r="I96" s="63"/>
      <c r="J96" s="63"/>
    </row>
  </sheetData>
  <mergeCells count="82">
    <mergeCell ref="G20:J20"/>
    <mergeCell ref="G21:J21"/>
    <mergeCell ref="G22:J22"/>
    <mergeCell ref="G23:J23"/>
    <mergeCell ref="G24:J24"/>
    <mergeCell ref="G36:J36"/>
    <mergeCell ref="G25:J25"/>
    <mergeCell ref="G26:J26"/>
    <mergeCell ref="G27:J27"/>
    <mergeCell ref="B28:J28"/>
    <mergeCell ref="G29:J29"/>
    <mergeCell ref="G30:J30"/>
    <mergeCell ref="G31:J31"/>
    <mergeCell ref="G32:J32"/>
    <mergeCell ref="G33:J33"/>
    <mergeCell ref="G34:J34"/>
    <mergeCell ref="B35:J35"/>
    <mergeCell ref="G52:J52"/>
    <mergeCell ref="G37:J37"/>
    <mergeCell ref="G38:J38"/>
    <mergeCell ref="A40:A54"/>
    <mergeCell ref="B40:J40"/>
    <mergeCell ref="B41:J41"/>
    <mergeCell ref="G42:J42"/>
    <mergeCell ref="G43:J43"/>
    <mergeCell ref="G44:J44"/>
    <mergeCell ref="G45:J45"/>
    <mergeCell ref="G46:J46"/>
    <mergeCell ref="A16:A38"/>
    <mergeCell ref="B16:J16"/>
    <mergeCell ref="B17:J17"/>
    <mergeCell ref="G18:J18"/>
    <mergeCell ref="G19:J19"/>
    <mergeCell ref="G47:J47"/>
    <mergeCell ref="G48:J48"/>
    <mergeCell ref="G49:J49"/>
    <mergeCell ref="G50:J50"/>
    <mergeCell ref="B51:J51"/>
    <mergeCell ref="G68:J68"/>
    <mergeCell ref="G53:J53"/>
    <mergeCell ref="G54:J54"/>
    <mergeCell ref="A56:A68"/>
    <mergeCell ref="B56:J56"/>
    <mergeCell ref="B57:J57"/>
    <mergeCell ref="G58:J58"/>
    <mergeCell ref="G59:J59"/>
    <mergeCell ref="G60:J60"/>
    <mergeCell ref="G61:J61"/>
    <mergeCell ref="G62:J62"/>
    <mergeCell ref="G63:J63"/>
    <mergeCell ref="G64:J64"/>
    <mergeCell ref="G65:J65"/>
    <mergeCell ref="B66:J66"/>
    <mergeCell ref="G67:J67"/>
    <mergeCell ref="G91:J91"/>
    <mergeCell ref="G92:J92"/>
    <mergeCell ref="A70:A78"/>
    <mergeCell ref="B70:J70"/>
    <mergeCell ref="B71:J71"/>
    <mergeCell ref="G72:J72"/>
    <mergeCell ref="G73:J73"/>
    <mergeCell ref="G74:J74"/>
    <mergeCell ref="G75:J75"/>
    <mergeCell ref="G76:J76"/>
    <mergeCell ref="G77:J77"/>
    <mergeCell ref="G78:J78"/>
    <mergeCell ref="G93:J93"/>
    <mergeCell ref="B94:J94"/>
    <mergeCell ref="A80:A96"/>
    <mergeCell ref="B80:J80"/>
    <mergeCell ref="B81:J81"/>
    <mergeCell ref="G82:J82"/>
    <mergeCell ref="G83:J83"/>
    <mergeCell ref="G84:J84"/>
    <mergeCell ref="G85:J85"/>
    <mergeCell ref="G86:J86"/>
    <mergeCell ref="G87:J87"/>
    <mergeCell ref="G88:J88"/>
    <mergeCell ref="G95:J95"/>
    <mergeCell ref="G96:J96"/>
    <mergeCell ref="G89:J89"/>
    <mergeCell ref="G90:J90"/>
  </mergeCells>
  <phoneticPr fontId="6" type="noConversion"/>
  <dataValidations count="1">
    <dataValidation type="list" allowBlank="1" showInputMessage="1" showErrorMessage="1" sqref="D5" xr:uid="{2DB72E63-C7D8-474C-A6CC-FE120C3D7311}">
      <formula1>"Yes, No"</formula1>
    </dataValidation>
  </dataValidations>
  <pageMargins left="0.7" right="0.7" top="0.75" bottom="0.75" header="0.3" footer="0.3"/>
  <pageSetup paperSize="9" orientation="portrait"/>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3D1DCBA-029E-4253-888F-EBD51EC31BC8}">
          <x14:formula1>
            <xm:f>Lists!$E$3:$E$12</xm:f>
          </x14:formula1>
          <xm:sqref>J3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F39E0-A2D0-4352-951C-B83BA4C81993}">
  <dimension ref="E2:H43"/>
  <sheetViews>
    <sheetView tabSelected="1" topLeftCell="A28" workbookViewId="0">
      <selection activeCell="E36" sqref="E36:H43"/>
    </sheetView>
  </sheetViews>
  <sheetFormatPr defaultRowHeight="15"/>
  <cols>
    <col min="5" max="5" width="42.5703125" customWidth="1"/>
    <col min="6" max="6" width="10.42578125" customWidth="1"/>
    <col min="7" max="8" width="10" customWidth="1"/>
  </cols>
  <sheetData>
    <row r="2" spans="5:8">
      <c r="E2" s="55" t="s">
        <v>167</v>
      </c>
      <c r="F2" s="3" t="s">
        <v>14</v>
      </c>
      <c r="G2" s="3" t="s">
        <v>15</v>
      </c>
      <c r="H2" s="3" t="s">
        <v>16</v>
      </c>
    </row>
    <row r="3" spans="5:8">
      <c r="E3" t="s">
        <v>168</v>
      </c>
      <c r="F3">
        <v>1500</v>
      </c>
      <c r="G3">
        <v>1500</v>
      </c>
      <c r="H3">
        <v>1500</v>
      </c>
    </row>
    <row r="4" spans="5:8">
      <c r="E4" t="s">
        <v>169</v>
      </c>
      <c r="F4" s="54">
        <v>0.6</v>
      </c>
      <c r="G4" s="54">
        <v>0.6</v>
      </c>
      <c r="H4" s="54">
        <v>0.6</v>
      </c>
    </row>
    <row r="5" spans="5:8">
      <c r="E5" t="s">
        <v>170</v>
      </c>
      <c r="F5" s="54">
        <v>0.55000000000000004</v>
      </c>
      <c r="G5" s="54">
        <v>0.6</v>
      </c>
      <c r="H5" s="54">
        <v>0.65</v>
      </c>
    </row>
    <row r="6" spans="5:8">
      <c r="E6" s="53" t="s">
        <v>171</v>
      </c>
      <c r="F6" s="54">
        <v>0.15</v>
      </c>
      <c r="G6" s="54">
        <v>0.15</v>
      </c>
      <c r="H6" s="54">
        <v>0.15</v>
      </c>
    </row>
    <row r="7" spans="5:8">
      <c r="E7" s="53" t="s">
        <v>172</v>
      </c>
      <c r="F7">
        <v>1800</v>
      </c>
      <c r="G7">
        <v>1800</v>
      </c>
      <c r="H7">
        <v>1800</v>
      </c>
    </row>
    <row r="8" spans="5:8">
      <c r="E8" s="53" t="s">
        <v>173</v>
      </c>
      <c r="F8" s="54">
        <v>0.33</v>
      </c>
      <c r="G8" s="54">
        <v>0.33</v>
      </c>
      <c r="H8" s="54">
        <v>0.33</v>
      </c>
    </row>
    <row r="9" spans="5:8">
      <c r="E9" s="53" t="s">
        <v>71</v>
      </c>
      <c r="F9" s="54">
        <v>0.25</v>
      </c>
      <c r="G9" s="54">
        <v>0.25</v>
      </c>
      <c r="H9" s="54">
        <v>0.25</v>
      </c>
    </row>
    <row r="10" spans="5:8">
      <c r="E10" s="53" t="s">
        <v>74</v>
      </c>
      <c r="F10" s="54">
        <v>0.1</v>
      </c>
      <c r="G10" s="54">
        <v>0.1</v>
      </c>
      <c r="H10" s="54">
        <v>0.1</v>
      </c>
    </row>
    <row r="13" spans="5:8">
      <c r="E13" s="55" t="s">
        <v>20</v>
      </c>
      <c r="F13" s="3" t="s">
        <v>14</v>
      </c>
      <c r="G13" s="3" t="s">
        <v>15</v>
      </c>
      <c r="H13" s="3" t="s">
        <v>16</v>
      </c>
    </row>
    <row r="14" spans="5:8">
      <c r="E14" s="53" t="s">
        <v>174</v>
      </c>
      <c r="F14" s="54">
        <v>0.2</v>
      </c>
      <c r="G14" s="54">
        <v>0.2</v>
      </c>
      <c r="H14" s="54">
        <v>0.2</v>
      </c>
    </row>
    <row r="15" spans="5:8">
      <c r="E15" s="53" t="s">
        <v>175</v>
      </c>
      <c r="F15" s="54">
        <v>0.08</v>
      </c>
      <c r="G15" s="54">
        <v>0.08</v>
      </c>
      <c r="H15" s="54">
        <v>0.08</v>
      </c>
    </row>
    <row r="16" spans="5:8">
      <c r="E16" s="53" t="s">
        <v>71</v>
      </c>
      <c r="F16" s="54">
        <v>0.25</v>
      </c>
      <c r="G16" s="54">
        <v>0.25</v>
      </c>
      <c r="H16" s="54">
        <v>0.25</v>
      </c>
    </row>
    <row r="17" spans="5:8">
      <c r="E17" s="53" t="s">
        <v>74</v>
      </c>
      <c r="F17" s="54">
        <v>0.1</v>
      </c>
      <c r="G17" s="54">
        <v>0.1</v>
      </c>
      <c r="H17" s="54">
        <v>0.1</v>
      </c>
    </row>
    <row r="20" spans="5:8">
      <c r="E20" s="56" t="s">
        <v>22</v>
      </c>
      <c r="F20" s="3" t="s">
        <v>14</v>
      </c>
      <c r="G20" s="3" t="s">
        <v>15</v>
      </c>
      <c r="H20" s="3" t="s">
        <v>16</v>
      </c>
    </row>
    <row r="21" spans="5:8">
      <c r="E21" s="57" t="s">
        <v>176</v>
      </c>
      <c r="F21">
        <v>3.2</v>
      </c>
      <c r="G21">
        <v>3.2</v>
      </c>
      <c r="H21">
        <v>3.2</v>
      </c>
    </row>
    <row r="22" spans="5:8">
      <c r="E22" s="57" t="s">
        <v>177</v>
      </c>
      <c r="F22">
        <v>53</v>
      </c>
      <c r="G22">
        <v>53</v>
      </c>
      <c r="H22">
        <v>53</v>
      </c>
    </row>
    <row r="23" spans="5:8">
      <c r="E23" s="57" t="s">
        <v>178</v>
      </c>
      <c r="F23" s="54">
        <v>0.75</v>
      </c>
      <c r="G23" s="54">
        <v>0.75</v>
      </c>
      <c r="H23" s="54">
        <v>0.75</v>
      </c>
    </row>
    <row r="24" spans="5:8">
      <c r="E24" s="53" t="s">
        <v>74</v>
      </c>
      <c r="F24" s="54">
        <v>0.25</v>
      </c>
      <c r="G24" s="54">
        <v>0.25</v>
      </c>
      <c r="H24" s="54">
        <v>0.25</v>
      </c>
    </row>
    <row r="27" spans="5:8">
      <c r="E27" s="3" t="s">
        <v>179</v>
      </c>
      <c r="F27" s="3" t="s">
        <v>14</v>
      </c>
      <c r="G27" s="3" t="s">
        <v>15</v>
      </c>
      <c r="H27" s="3" t="s">
        <v>16</v>
      </c>
    </row>
    <row r="28" spans="5:8">
      <c r="E28" s="57" t="s">
        <v>180</v>
      </c>
      <c r="F28">
        <v>20</v>
      </c>
      <c r="G28">
        <v>20</v>
      </c>
      <c r="H28">
        <v>20</v>
      </c>
    </row>
    <row r="29" spans="5:8">
      <c r="E29" s="57" t="s">
        <v>181</v>
      </c>
      <c r="F29">
        <v>5000</v>
      </c>
      <c r="G29">
        <v>5000</v>
      </c>
      <c r="H29">
        <v>5000</v>
      </c>
    </row>
    <row r="30" spans="5:8">
      <c r="E30" t="s">
        <v>182</v>
      </c>
      <c r="F30">
        <v>50000</v>
      </c>
      <c r="G30">
        <v>50000</v>
      </c>
      <c r="H30">
        <v>50000</v>
      </c>
    </row>
    <row r="31" spans="5:8">
      <c r="E31" s="53" t="s">
        <v>183</v>
      </c>
      <c r="F31" s="54">
        <v>0.3</v>
      </c>
      <c r="G31" s="54">
        <v>0.3</v>
      </c>
      <c r="H31" s="54">
        <v>0.3</v>
      </c>
    </row>
    <row r="32" spans="5:8">
      <c r="E32" s="53" t="s">
        <v>128</v>
      </c>
      <c r="F32">
        <v>36000</v>
      </c>
      <c r="G32">
        <v>36000</v>
      </c>
      <c r="H32">
        <v>36000</v>
      </c>
    </row>
    <row r="33" spans="5:8">
      <c r="E33" s="53" t="s">
        <v>74</v>
      </c>
      <c r="F33" s="54">
        <v>0.1</v>
      </c>
      <c r="G33" s="54">
        <v>0.1</v>
      </c>
      <c r="H33" s="54">
        <v>0.1</v>
      </c>
    </row>
    <row r="36" spans="5:8">
      <c r="E36" s="3" t="s">
        <v>135</v>
      </c>
      <c r="F36" s="3" t="s">
        <v>14</v>
      </c>
      <c r="G36" s="3" t="s">
        <v>15</v>
      </c>
      <c r="H36" s="3" t="s">
        <v>16</v>
      </c>
    </row>
    <row r="37" spans="5:8">
      <c r="E37" s="53" t="s">
        <v>138</v>
      </c>
      <c r="F37">
        <v>2000</v>
      </c>
      <c r="G37">
        <v>2000</v>
      </c>
      <c r="H37">
        <v>2000</v>
      </c>
    </row>
    <row r="38" spans="5:8">
      <c r="E38" s="53" t="s">
        <v>141</v>
      </c>
      <c r="F38" s="54">
        <v>0.15</v>
      </c>
      <c r="G38" s="54">
        <v>0.1</v>
      </c>
      <c r="H38" s="54">
        <v>7.0000000000000007E-2</v>
      </c>
    </row>
    <row r="39" spans="5:8">
      <c r="E39" s="53" t="s">
        <v>144</v>
      </c>
      <c r="F39" s="54">
        <v>0.5</v>
      </c>
      <c r="G39" s="54">
        <v>0.3</v>
      </c>
      <c r="H39" s="54">
        <v>0.05</v>
      </c>
    </row>
    <row r="40" spans="5:8">
      <c r="E40" s="53" t="s">
        <v>184</v>
      </c>
      <c r="F40" s="54">
        <v>0.1</v>
      </c>
      <c r="G40" s="54">
        <v>0.05</v>
      </c>
      <c r="H40" s="54">
        <v>0.02</v>
      </c>
    </row>
    <row r="41" spans="5:8">
      <c r="E41" s="57" t="s">
        <v>185</v>
      </c>
      <c r="F41">
        <v>1200</v>
      </c>
      <c r="G41">
        <v>1200</v>
      </c>
      <c r="H41">
        <v>1200</v>
      </c>
    </row>
    <row r="42" spans="5:8">
      <c r="E42" s="53" t="s">
        <v>186</v>
      </c>
      <c r="F42">
        <v>4500</v>
      </c>
      <c r="G42">
        <v>4500</v>
      </c>
      <c r="H42">
        <v>4500</v>
      </c>
    </row>
    <row r="43" spans="5:8">
      <c r="E43" s="53" t="s">
        <v>74</v>
      </c>
      <c r="F43" s="54">
        <v>0.05</v>
      </c>
      <c r="G43" s="54">
        <v>0.05</v>
      </c>
      <c r="H43" s="54">
        <v>0.05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13458-C399-4236-80B2-A648D5D4F436}">
  <dimension ref="E2:K12"/>
  <sheetViews>
    <sheetView zoomScale="113" workbookViewId="0">
      <selection activeCell="E2" sqref="E2"/>
    </sheetView>
  </sheetViews>
  <sheetFormatPr defaultColWidth="8.85546875" defaultRowHeight="15"/>
  <cols>
    <col min="5" max="5" width="15.140625" customWidth="1"/>
    <col min="6" max="6" width="22.140625" customWidth="1"/>
    <col min="7" max="7" width="26.7109375" customWidth="1"/>
    <col min="8" max="8" width="21.42578125" customWidth="1"/>
    <col min="9" max="9" width="25.28515625" customWidth="1"/>
    <col min="11" max="11" width="10.42578125" bestFit="1" customWidth="1"/>
  </cols>
  <sheetData>
    <row r="2" spans="5:11">
      <c r="E2" s="3" t="s">
        <v>187</v>
      </c>
      <c r="F2" s="3" t="s">
        <v>188</v>
      </c>
      <c r="G2" s="3" t="s">
        <v>189</v>
      </c>
      <c r="H2" s="3" t="s">
        <v>190</v>
      </c>
      <c r="I2" s="3" t="s">
        <v>191</v>
      </c>
    </row>
    <row r="3" spans="5:11">
      <c r="E3" t="s">
        <v>6</v>
      </c>
      <c r="F3">
        <v>50280</v>
      </c>
      <c r="G3">
        <v>46862</v>
      </c>
      <c r="H3" s="8">
        <v>41000</v>
      </c>
      <c r="I3">
        <v>65</v>
      </c>
      <c r="K3" s="8"/>
    </row>
    <row r="4" spans="5:11">
      <c r="E4" t="s">
        <v>192</v>
      </c>
      <c r="F4">
        <v>26740</v>
      </c>
      <c r="G4">
        <v>23644</v>
      </c>
      <c r="H4" s="8">
        <v>18000</v>
      </c>
      <c r="I4">
        <v>35</v>
      </c>
    </row>
    <row r="5" spans="5:11">
      <c r="E5" t="s">
        <v>193</v>
      </c>
      <c r="F5">
        <v>9300</v>
      </c>
      <c r="G5">
        <v>6545</v>
      </c>
      <c r="H5" s="8">
        <v>4200</v>
      </c>
      <c r="I5">
        <v>20</v>
      </c>
      <c r="K5" s="7"/>
    </row>
    <row r="6" spans="5:11">
      <c r="E6" t="s">
        <v>194</v>
      </c>
      <c r="F6">
        <v>48492</v>
      </c>
      <c r="G6">
        <v>42516</v>
      </c>
      <c r="H6" s="8">
        <v>20894</v>
      </c>
      <c r="I6">
        <v>50</v>
      </c>
    </row>
    <row r="7" spans="5:11">
      <c r="E7" t="s">
        <v>195</v>
      </c>
      <c r="F7">
        <v>21000</v>
      </c>
      <c r="G7">
        <v>16884</v>
      </c>
      <c r="H7" s="8">
        <v>6585</v>
      </c>
      <c r="I7">
        <v>25</v>
      </c>
    </row>
    <row r="8" spans="5:11">
      <c r="E8" t="s">
        <v>196</v>
      </c>
      <c r="F8">
        <v>17400</v>
      </c>
      <c r="G8">
        <v>23621</v>
      </c>
      <c r="H8" s="8">
        <v>8172</v>
      </c>
      <c r="I8">
        <v>25</v>
      </c>
    </row>
    <row r="9" spans="5:11">
      <c r="E9" t="s">
        <v>197</v>
      </c>
      <c r="F9">
        <v>13320</v>
      </c>
      <c r="G9">
        <v>8140</v>
      </c>
      <c r="H9" s="8">
        <v>9528</v>
      </c>
      <c r="I9">
        <v>25</v>
      </c>
    </row>
    <row r="10" spans="5:11">
      <c r="E10" t="s">
        <v>198</v>
      </c>
      <c r="F10" s="8">
        <v>44234</v>
      </c>
      <c r="G10" s="8">
        <v>33679</v>
      </c>
      <c r="H10" s="8">
        <v>46508</v>
      </c>
      <c r="I10">
        <v>65</v>
      </c>
    </row>
    <row r="11" spans="5:11">
      <c r="E11" t="s">
        <v>199</v>
      </c>
      <c r="F11" s="8">
        <v>34786</v>
      </c>
      <c r="G11" s="8">
        <v>27828</v>
      </c>
      <c r="H11" s="8">
        <v>12132</v>
      </c>
      <c r="I11">
        <v>30</v>
      </c>
    </row>
    <row r="12" spans="5:11">
      <c r="E12" t="s">
        <v>200</v>
      </c>
      <c r="F12">
        <v>59000</v>
      </c>
      <c r="G12">
        <v>53438</v>
      </c>
      <c r="H12" s="8">
        <v>52280</v>
      </c>
      <c r="I12">
        <v>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1F2D0-2AF5-47C0-9CC3-A9DDF44229E7}">
  <dimension ref="A2:B9"/>
  <sheetViews>
    <sheetView workbookViewId="0">
      <selection activeCell="B7" sqref="B7"/>
    </sheetView>
  </sheetViews>
  <sheetFormatPr defaultRowHeight="15"/>
  <cols>
    <col min="1" max="1" width="21" bestFit="1" customWidth="1"/>
  </cols>
  <sheetData>
    <row r="2" spans="1:2">
      <c r="A2" t="s">
        <v>201</v>
      </c>
      <c r="B2" s="52" t="s">
        <v>202</v>
      </c>
    </row>
    <row r="3" spans="1:2">
      <c r="A3" t="s">
        <v>203</v>
      </c>
      <c r="B3" s="52" t="s">
        <v>204</v>
      </c>
    </row>
    <row r="4" spans="1:2">
      <c r="A4" t="s">
        <v>205</v>
      </c>
      <c r="B4" s="52" t="s">
        <v>206</v>
      </c>
    </row>
    <row r="7" spans="1:2">
      <c r="A7" t="s">
        <v>207</v>
      </c>
      <c r="B7" s="52" t="s">
        <v>208</v>
      </c>
    </row>
    <row r="8" spans="1:2">
      <c r="A8" t="s">
        <v>209</v>
      </c>
      <c r="B8" s="52" t="s">
        <v>210</v>
      </c>
    </row>
    <row r="9" spans="1:2">
      <c r="A9" t="s">
        <v>211</v>
      </c>
      <c r="B9" s="52" t="s">
        <v>212</v>
      </c>
    </row>
  </sheetData>
  <hyperlinks>
    <hyperlink ref="B2" r:id="rId1" xr:uid="{ECE171E8-9C60-4E96-B677-423526696CDC}"/>
    <hyperlink ref="B9" r:id="rId2" xr:uid="{FCA16771-212C-4C07-9F33-4B27959AEF21}"/>
    <hyperlink ref="B8" r:id="rId3" xr:uid="{BEF83BDB-3B91-450F-8BB6-64376E44F0A1}"/>
    <hyperlink ref="B7" r:id="rId4" xr:uid="{55A12FC1-5023-4178-9FAB-084A81FCDD22}"/>
    <hyperlink ref="B3" r:id="rId5" xr:uid="{71CBEC6C-EF01-48D8-A4FC-740B226449C2}"/>
    <hyperlink ref="B4" r:id="rId6" xr:uid="{6D1E4ACA-984B-4F0B-8E7E-EAAE8B26D7E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Akarsh Jain</dc:creator>
  <cp:keywords/>
  <dc:description/>
  <cp:lastModifiedBy/>
  <cp:revision/>
  <dcterms:created xsi:type="dcterms:W3CDTF">2015-06-05T18:17:20Z</dcterms:created>
  <dcterms:modified xsi:type="dcterms:W3CDTF">2025-02-10T14:35:03Z</dcterms:modified>
  <cp:category/>
  <cp:contentStatus/>
</cp:coreProperties>
</file>