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filterPrivacy="1"/>
  <xr:revisionPtr revIDLastSave="0" documentId="13_ncr:1_{D5D0FCAF-416F-4039-8697-359775CA8DCC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Invoice" sheetId="1" r:id="rId1"/>
    <sheet name="Payroll" sheetId="2" r:id="rId2"/>
    <sheet name="Movies" sheetId="3" r:id="rId3"/>
    <sheet name="Insurance" sheetId="4" r:id="rId4"/>
  </sheets>
  <definedNames>
    <definedName name="Abner">Payroll!$A$3:$J$3</definedName>
    <definedName name="Amount_Due">Invoice!$F$9:$F$10</definedName>
    <definedName name="Bolean">Payroll!$A$4:$J$4</definedName>
    <definedName name="Commission_2.5">#REF!</definedName>
    <definedName name="Commission_3.0">#REF!</definedName>
    <definedName name="Commission_3.5">#REF!</definedName>
    <definedName name="Commission_4.0">#REF!</definedName>
    <definedName name="Commission_4.4">#REF!</definedName>
    <definedName name="Commission_4.7">#REF!</definedName>
    <definedName name="Commission_5.0">#REF!</definedName>
    <definedName name="_xlnm.Database" localSheetId="2">Movies!$D$12:$I$21</definedName>
    <definedName name="Diep">Payroll!$A$5:$J$5</definedName>
    <definedName name="Discount_File">Invoice!$D$5</definedName>
    <definedName name="Discount_Paper">Invoice!$D$4</definedName>
    <definedName name="Discount_Printer">Invoice!$D$3</definedName>
    <definedName name="Discount_USB">Invoice!$D$6</definedName>
    <definedName name="Downtown_Seat" localSheetId="3">Insurance!$B$6</definedName>
    <definedName name="Eighth_SalePrice">#REF!</definedName>
    <definedName name="Eleventh_SalePrice">#REF!</definedName>
    <definedName name="Fields" localSheetId="2">Movies!$D$11:$I$11</definedName>
    <definedName name="Fifteenth_SalePrice">#REF!</definedName>
    <definedName name="Fifth_PriceRange">#REF!</definedName>
    <definedName name="Fifth_SalePrice">#REF!</definedName>
    <definedName name="File_Folders" localSheetId="0">Invoice!$B$5:$E$5</definedName>
    <definedName name="First_PriceRange">#REF!</definedName>
    <definedName name="First_SalePrice">#REF!</definedName>
    <definedName name="Forrest">Payroll!$A$6:$J$6</definedName>
    <definedName name="Fourteenth_SalePrice">#REF!</definedName>
    <definedName name="Fourth_PriceRange">#REF!</definedName>
    <definedName name="Fourth_SalePrice">#REF!</definedName>
    <definedName name="Henderson">Payroll!$A$7:$J$7</definedName>
    <definedName name="Hourly_Abner" localSheetId="1">Payroll!$D$3</definedName>
    <definedName name="Hourly_Bolean" localSheetId="1">Payroll!$D$4</definedName>
    <definedName name="Hourly_Diep" localSheetId="1">Payroll!$D$5</definedName>
    <definedName name="Hourly_Forrest">Payroll!$D$6</definedName>
    <definedName name="Hourly_Henderson" localSheetId="1">Payroll!$D$7</definedName>
    <definedName name="Hourly_Irons" localSheetId="1">Payroll!$D$8</definedName>
    <definedName name="Hourly_Karim" localSheetId="1">Payroll!$D$9</definedName>
    <definedName name="Hourly_Qiu" localSheetId="1">Payroll!$D$10</definedName>
    <definedName name="Hourly_Viegas" localSheetId="1">Payroll!$D$11</definedName>
    <definedName name="Hours_Abner" localSheetId="1">Payroll!$E$3</definedName>
    <definedName name="Hours_Bolean" localSheetId="1">Payroll!$E$4</definedName>
    <definedName name="Hours_Diep">Payroll!$E$5</definedName>
    <definedName name="Hours_Forrest" localSheetId="1">Payroll!$E$6</definedName>
    <definedName name="Hours_Henderson" localSheetId="1">Payroll!$E$7</definedName>
    <definedName name="Hours_Iron" localSheetId="1">Payroll!$E$8</definedName>
    <definedName name="Hours_Irons" localSheetId="1">Payroll!$E$8</definedName>
    <definedName name="Hours_Karim" localSheetId="1">Payroll!$E$9</definedName>
    <definedName name="Hours_Qiu" localSheetId="1">Payroll!$E$10</definedName>
    <definedName name="Hours_Viegas" localSheetId="1">Payroll!$E$11</definedName>
    <definedName name="Hours_Worked">Payroll!$E$3</definedName>
    <definedName name="Irons">Payroll!$A$8:$J$8</definedName>
    <definedName name="Karim">Payroll!$A$9:$J$9</definedName>
    <definedName name="Lakeshore_Premium">Insurance!$F$7</definedName>
    <definedName name="Lakeshore_Seat">Insurance!$B$7</definedName>
    <definedName name="List_Price___unit" localSheetId="0">Invoice!$C$3</definedName>
    <definedName name="Names_Database" localSheetId="2">Movies!$D$11:$I$11</definedName>
    <definedName name="Names_Searchbase" localSheetId="2">Movies!$A$3:$A$7</definedName>
    <definedName name="Ninth_SalePrice">#REF!</definedName>
    <definedName name="Number_Seats">Insurance!$B$5:$B$8</definedName>
    <definedName name="Paper_Pack" localSheetId="0">Invoice!$B$4:$E$4</definedName>
    <definedName name="Percent_Downtown">Insurance!$D$6</definedName>
    <definedName name="Percent_Lakeshore">Insurance!$D$7</definedName>
    <definedName name="Percent_Total" localSheetId="3">Insurance!$D$5:$D$8</definedName>
    <definedName name="Percent_total">Insurance!$D$9</definedName>
    <definedName name="Percent_Uptown">Insurance!$D$5</definedName>
    <definedName name="Premium_Downtown">Insurance!$F$6</definedName>
    <definedName name="Premium_SUM">Insurance!$F$5:$F$8</definedName>
    <definedName name="Premium_total">Insurance!$F$9</definedName>
    <definedName name="Printer_Ink" localSheetId="0">Invoice!$B$3:$E$3</definedName>
    <definedName name="Qiu">Payroll!$A$10:$J$10</definedName>
    <definedName name="Quantity">Invoice!$B$3</definedName>
    <definedName name="Quantity_File">Invoice!$B$5</definedName>
    <definedName name="Quantity_Paper">Invoice!$B$4</definedName>
    <definedName name="Quantity_Printer">Invoice!$B$3</definedName>
    <definedName name="Quantity_USB">Invoice!$B$6</definedName>
    <definedName name="Rank" localSheetId="2">Movies!$D$12:$D$21</definedName>
    <definedName name="Rank_Name">Movies!$D$11</definedName>
    <definedName name="Rank_Number" localSheetId="2">Movies!$B$1</definedName>
    <definedName name="Rating_Array">Movies!$E$12:$E$21</definedName>
    <definedName name="Sale_File" localSheetId="0">Invoice!$E$5</definedName>
    <definedName name="Sale_Paper" localSheetId="0">Invoice!$E$4</definedName>
    <definedName name="Sale_Paper">Invoice!$E$4</definedName>
    <definedName name="Sale_Printer" localSheetId="0">Invoice!$E$3</definedName>
    <definedName name="Sale_USB" localSheetId="0">Invoice!$E$6</definedName>
    <definedName name="Searchbase" localSheetId="2">Movies!$A$2:$B$7</definedName>
    <definedName name="Second_PriceRange">#REF!</definedName>
    <definedName name="Second_SalePrice">#REF!</definedName>
    <definedName name="Seventh_PriceRange">#REF!</definedName>
    <definedName name="Seventh_SalePrice">#REF!</definedName>
    <definedName name="Sixteenth_SalePrice">#REF!</definedName>
    <definedName name="Sixth_PriceRange">#REF!</definedName>
    <definedName name="Sixth_SalePrice">#REF!</definedName>
    <definedName name="Subtotal" localSheetId="0">Invoice!$F$9</definedName>
    <definedName name="SUM_Allocations">Insurance!$F$5:$F$8</definedName>
    <definedName name="TAX">Invoice!$F$10</definedName>
    <definedName name="Tenth_SalePrice">#REF!</definedName>
    <definedName name="Third_PriceRange">#REF!</definedName>
    <definedName name="Third_SalePrice">#REF!</definedName>
    <definedName name="Thirteenth_SalePrice">#REF!</definedName>
    <definedName name="Time_Double_Abner">Payroll!$G$3</definedName>
    <definedName name="Time_Double_Bolean">Payroll!$G$4</definedName>
    <definedName name="Time_Double_Diep">Payroll!$G$5</definedName>
    <definedName name="Time_Double_Forrest">Payroll!$G$6</definedName>
    <definedName name="Time_Double_Henderson">Payroll!$G$7</definedName>
    <definedName name="Time_Double_Irons">Payroll!$G$8</definedName>
    <definedName name="Time_Double_Karim">Payroll!$G$9</definedName>
    <definedName name="Time_Double_Qiu">Payroll!$G$10</definedName>
    <definedName name="Time_Double_Viegas">Payroll!$G$11</definedName>
    <definedName name="Time_Half_Abner" localSheetId="1">Payroll!$F$3</definedName>
    <definedName name="Time_Half_Bolean">Payroll!$F$4</definedName>
    <definedName name="Time_Half_Diep">Payroll!$F$5</definedName>
    <definedName name="Time_Half_Forrest">Payroll!$F$6</definedName>
    <definedName name="Time_Half_Henderson">Payroll!$F$7</definedName>
    <definedName name="Time_Half_Irons">Payroll!$F$8</definedName>
    <definedName name="Time_Half_Karim">Payroll!$F$9</definedName>
    <definedName name="Time_Half_Qiu">Payroll!$F$10</definedName>
    <definedName name="Time_Half_Viegas">Payroll!$F$11</definedName>
    <definedName name="Total">Invoice!$F$3:$F$8</definedName>
    <definedName name="Total_Abner" localSheetId="1">Payroll!$H$3:$I$3</definedName>
    <definedName name="Total_Bolean" localSheetId="1">Payroll!$H$4:$I$4</definedName>
    <definedName name="Total_Diep" localSheetId="1">Payroll!$H$5:$I$5</definedName>
    <definedName name="Total_Forrest" localSheetId="1">Payroll!$H$6:$I$6</definedName>
    <definedName name="Total_Henderson" localSheetId="1">Payroll!$H$7:$I$7</definedName>
    <definedName name="Total_Insurance">Insurance!$B$2</definedName>
    <definedName name="Total_Insurance_Premium">Insurance!$B$5:$F$10</definedName>
    <definedName name="Total_Irons" localSheetId="1">Payroll!$H$8:$I$8</definedName>
    <definedName name="Total_Karim" localSheetId="1">Payroll!$H$9:$I$9</definedName>
    <definedName name="Total_pay" localSheetId="1">Payroll!$J$3:$J$11</definedName>
    <definedName name="Total_Qiu" localSheetId="1">Payroll!$H$10:$I$10</definedName>
    <definedName name="Total_Seats">Insurance!$B$9</definedName>
    <definedName name="Total_Viegas" localSheetId="1">Payroll!$H$11:$I$11</definedName>
    <definedName name="Twelfth_SalePrice">#REF!</definedName>
    <definedName name="Unit_File">Invoice!$C$5</definedName>
    <definedName name="Unit_Paper">Invoice!$C$4</definedName>
    <definedName name="Unit_price">Invoice!$C$3</definedName>
    <definedName name="Unit_Printer">Invoice!$C$3</definedName>
    <definedName name="Unit_USB">Invoice!$C$6</definedName>
    <definedName name="Uptown_premium">Insurance!$F$5</definedName>
    <definedName name="Uptown_Seat" localSheetId="2">Insurance!$B$5</definedName>
    <definedName name="Uptown_seat">Insurance!$B$5</definedName>
    <definedName name="USB_cables" localSheetId="0">Invoice!$B$6:$E$6</definedName>
    <definedName name="Viegas">Payroll!$A$11:$J$11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" i="1" l="1"/>
  <c r="G3" i="2" l="1"/>
  <c r="B3" i="3"/>
  <c r="F3" i="2"/>
  <c r="H4" i="2"/>
  <c r="B5" i="3" l="1"/>
  <c r="D6" i="1"/>
  <c r="D3" i="1"/>
  <c r="E3" i="1" s="1"/>
  <c r="D5" i="1"/>
  <c r="D4" i="1"/>
  <c r="B7" i="3" l="1"/>
  <c r="B6" i="3"/>
  <c r="B4" i="3"/>
  <c r="E6" i="1" l="1"/>
  <c r="B9" i="4" l="1"/>
  <c r="D6" i="4" l="1"/>
  <c r="F6" i="4" s="1"/>
  <c r="D5" i="4"/>
  <c r="F5" i="4" s="1"/>
  <c r="D7" i="4"/>
  <c r="F7" i="4" s="1"/>
  <c r="H11" i="2"/>
  <c r="H9" i="2"/>
  <c r="H10" i="2"/>
  <c r="H8" i="2"/>
  <c r="H7" i="2"/>
  <c r="H6" i="2"/>
  <c r="H5" i="2"/>
  <c r="H3" i="2"/>
  <c r="G11" i="2"/>
  <c r="F11" i="2"/>
  <c r="G10" i="2"/>
  <c r="G9" i="2"/>
  <c r="G8" i="2"/>
  <c r="G7" i="2"/>
  <c r="G5" i="2"/>
  <c r="G4" i="2"/>
  <c r="F10" i="2"/>
  <c r="I10" i="2" s="1"/>
  <c r="F9" i="2"/>
  <c r="F8" i="2"/>
  <c r="F5" i="2"/>
  <c r="G6" i="2"/>
  <c r="F7" i="2"/>
  <c r="I7" i="2" s="1"/>
  <c r="F6" i="2"/>
  <c r="F4" i="2"/>
  <c r="F9" i="4" l="1"/>
  <c r="I4" i="2"/>
  <c r="I5" i="2"/>
  <c r="I3" i="2"/>
  <c r="J3" i="2" s="1"/>
  <c r="J4" i="2"/>
  <c r="D9" i="4"/>
  <c r="J5" i="2"/>
  <c r="J10" i="2"/>
  <c r="I6" i="2"/>
  <c r="J6" i="2" s="1"/>
  <c r="I8" i="2"/>
  <c r="J8" i="2" s="1"/>
  <c r="I9" i="2"/>
  <c r="J9" i="2" s="1"/>
  <c r="I11" i="2"/>
  <c r="J11" i="2" s="1"/>
  <c r="J7" i="2"/>
  <c r="F4" i="1"/>
  <c r="F3" i="1"/>
  <c r="F6" i="1"/>
  <c r="E5" i="1"/>
  <c r="F5" i="1" s="1"/>
  <c r="F9" i="1" l="1"/>
  <c r="F10" i="1" l="1"/>
  <c r="F12" i="1" s="1"/>
</calcChain>
</file>

<file path=xl/sharedStrings.xml><?xml version="1.0" encoding="utf-8"?>
<sst xmlns="http://schemas.openxmlformats.org/spreadsheetml/2006/main" count="105" uniqueCount="94">
  <si>
    <t>Sales Invoice</t>
  </si>
  <si>
    <t>Item</t>
  </si>
  <si>
    <t xml:space="preserve">Quantity </t>
  </si>
  <si>
    <t>List Price  /unit</t>
  </si>
  <si>
    <t>Discount</t>
  </si>
  <si>
    <t>Sales price /unit</t>
  </si>
  <si>
    <t>Total</t>
  </si>
  <si>
    <t>Printer Ink</t>
  </si>
  <si>
    <t>Paper Pack</t>
  </si>
  <si>
    <t>File Folders</t>
  </si>
  <si>
    <t xml:space="preserve">USB cables </t>
  </si>
  <si>
    <t>Subtotal</t>
  </si>
  <si>
    <t>GST/HST</t>
  </si>
  <si>
    <t>Amount Due</t>
  </si>
  <si>
    <t>Staff Payroll</t>
  </si>
  <si>
    <t>Week of</t>
  </si>
  <si>
    <t>Nov.6</t>
  </si>
  <si>
    <t>Employee Last Name</t>
  </si>
  <si>
    <t>Employee First Name</t>
  </si>
  <si>
    <t>Employee ID No</t>
  </si>
  <si>
    <t>Hourly Rate</t>
  </si>
  <si>
    <t>Hours Worked</t>
  </si>
  <si>
    <t>Time  &amp;Half</t>
  </si>
  <si>
    <t>Double Time</t>
  </si>
  <si>
    <t>Regular Pay</t>
  </si>
  <si>
    <t>Overtime Pay</t>
  </si>
  <si>
    <t>Total Pay</t>
  </si>
  <si>
    <t xml:space="preserve">Abner </t>
  </si>
  <si>
    <t>Heather</t>
  </si>
  <si>
    <t>Bolean</t>
  </si>
  <si>
    <t>Diep</t>
  </si>
  <si>
    <t>Forrest</t>
  </si>
  <si>
    <t>Henderson</t>
  </si>
  <si>
    <t>Irons</t>
  </si>
  <si>
    <t>Karim</t>
  </si>
  <si>
    <t>Qiu</t>
  </si>
  <si>
    <t>Viegas</t>
  </si>
  <si>
    <t>Jiayi</t>
  </si>
  <si>
    <t>Hieu</t>
  </si>
  <si>
    <t>John</t>
  </si>
  <si>
    <t>Frederick</t>
  </si>
  <si>
    <t>Andrew</t>
  </si>
  <si>
    <t>Farah</t>
  </si>
  <si>
    <t>Loc</t>
  </si>
  <si>
    <t>Stefan</t>
  </si>
  <si>
    <t>10-695</t>
  </si>
  <si>
    <t>12-731</t>
  </si>
  <si>
    <t>12-609</t>
  </si>
  <si>
    <t>05-696</t>
  </si>
  <si>
    <t>10-315</t>
  </si>
  <si>
    <t>03-155</t>
  </si>
  <si>
    <t>07-689</t>
  </si>
  <si>
    <t>09-788</t>
  </si>
  <si>
    <t>11-010</t>
  </si>
  <si>
    <t>Rating</t>
  </si>
  <si>
    <t>Title</t>
  </si>
  <si>
    <t>Year</t>
  </si>
  <si>
    <t>Genre</t>
  </si>
  <si>
    <t>Director</t>
  </si>
  <si>
    <t>Drama,Romance</t>
  </si>
  <si>
    <t>Rank</t>
  </si>
  <si>
    <t>The Shawshank Redepmtion</t>
  </si>
  <si>
    <t>The Godfather</t>
  </si>
  <si>
    <t>The Godfather: Part II</t>
  </si>
  <si>
    <t>Pulp Fiction</t>
  </si>
  <si>
    <t>Schindler's List</t>
  </si>
  <si>
    <t>The Lord of the Rings: The Return of the King</t>
  </si>
  <si>
    <t>The Good, the Bad and the Ugly</t>
  </si>
  <si>
    <t>12 angry Men</t>
  </si>
  <si>
    <t>Forrest Gump</t>
  </si>
  <si>
    <t>Goodfellas</t>
  </si>
  <si>
    <t>Crime,Drama</t>
  </si>
  <si>
    <t>Biography,Drama,History</t>
  </si>
  <si>
    <t>Adventure,Drama,Fantasy</t>
  </si>
  <si>
    <t>Western</t>
  </si>
  <si>
    <t>Biography,Crime,Drama</t>
  </si>
  <si>
    <t xml:space="preserve">Frank Darabont </t>
  </si>
  <si>
    <t>Francis Ford Coppola</t>
  </si>
  <si>
    <t xml:space="preserve">Quentine Tarantino </t>
  </si>
  <si>
    <t>Steven Spielberg</t>
  </si>
  <si>
    <t>Peter Jackson</t>
  </si>
  <si>
    <t xml:space="preserve">Sergio Leone </t>
  </si>
  <si>
    <t>Sidney Lumet</t>
  </si>
  <si>
    <t xml:space="preserve">Robert Zemeckis </t>
  </si>
  <si>
    <t xml:space="preserve">Martin Scorsese </t>
  </si>
  <si>
    <t xml:space="preserve"> Enter Rank # To Search: </t>
  </si>
  <si>
    <t>Total Insurance Premium</t>
  </si>
  <si>
    <t>Location</t>
  </si>
  <si>
    <t xml:space="preserve">  Number    of Seats</t>
  </si>
  <si>
    <t>Percent of Total</t>
  </si>
  <si>
    <t>Premium Allocations</t>
  </si>
  <si>
    <t>Uptown</t>
  </si>
  <si>
    <t>Downtown</t>
  </si>
  <si>
    <t>Lakeshore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</si>
</sst>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164" formatCode="0.0"/>
    <numFmt numFmtId="165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</fills>
  <borders count="2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double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double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5">
    <xf numFmtId="0" fontId="0" fillId="0" borderId="0" xfId="0"/>
    <xf numFmtId="0" fontId="0" fillId="2" borderId="1" xfId="0" applyFill="1" applyBorder="1"/>
    <xf numFmtId="0" fontId="0" fillId="0" borderId="8" xfId="0" applyBorder="1"/>
    <xf numFmtId="0" fontId="0" fillId="3" borderId="1" xfId="0" applyFill="1" applyBorder="1"/>
    <xf numFmtId="0" fontId="0" fillId="3" borderId="1" xfId="0" applyFill="1" applyBorder="1" applyAlignment="1"/>
    <xf numFmtId="2" fontId="0" fillId="3" borderId="1" xfId="0" applyNumberFormat="1" applyFill="1" applyBorder="1" applyAlignment="1"/>
    <xf numFmtId="0" fontId="0" fillId="3" borderId="1" xfId="0" applyFill="1" applyBorder="1" applyAlignment="1">
      <alignment horizontal="right"/>
    </xf>
    <xf numFmtId="9" fontId="0" fillId="3" borderId="1" xfId="0" applyNumberFormat="1" applyFill="1" applyBorder="1"/>
    <xf numFmtId="2" fontId="0" fillId="3" borderId="1" xfId="0" applyNumberFormat="1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6" xfId="0" applyFill="1" applyBorder="1"/>
    <xf numFmtId="0" fontId="0" fillId="4" borderId="2" xfId="0" applyFill="1" applyBorder="1"/>
    <xf numFmtId="0" fontId="0" fillId="4" borderId="4" xfId="0" applyFill="1" applyBorder="1"/>
    <xf numFmtId="2" fontId="0" fillId="4" borderId="5" xfId="0" applyNumberFormat="1" applyFill="1" applyBorder="1"/>
    <xf numFmtId="0" fontId="0" fillId="4" borderId="8" xfId="0" applyFill="1" applyBorder="1"/>
    <xf numFmtId="0" fontId="0" fillId="4" borderId="0" xfId="0" applyFill="1" applyBorder="1"/>
    <xf numFmtId="0" fontId="0" fillId="4" borderId="9" xfId="0" applyFill="1" applyBorder="1"/>
    <xf numFmtId="0" fontId="0" fillId="4" borderId="12" xfId="0" applyFill="1" applyBorder="1"/>
    <xf numFmtId="0" fontId="0" fillId="4" borderId="7" xfId="0" applyFill="1" applyBorder="1"/>
    <xf numFmtId="0" fontId="0" fillId="4" borderId="10" xfId="0" applyFill="1" applyBorder="1"/>
    <xf numFmtId="2" fontId="0" fillId="4" borderId="11" xfId="0" applyNumberFormat="1" applyFill="1" applyBorder="1"/>
    <xf numFmtId="2" fontId="0" fillId="4" borderId="13" xfId="0" quotePrefix="1" applyNumberFormat="1" applyFill="1" applyBorder="1"/>
    <xf numFmtId="0" fontId="0" fillId="0" borderId="14" xfId="0" applyBorder="1"/>
    <xf numFmtId="0" fontId="0" fillId="0" borderId="10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2" xfId="0" applyBorder="1"/>
    <xf numFmtId="0" fontId="0" fillId="0" borderId="16" xfId="0" applyBorder="1"/>
    <xf numFmtId="0" fontId="0" fillId="0" borderId="1" xfId="0" applyBorder="1"/>
    <xf numFmtId="0" fontId="0" fillId="0" borderId="1" xfId="0" applyBorder="1" applyAlignment="1">
      <alignment horizontal="center"/>
    </xf>
    <xf numFmtId="2" fontId="0" fillId="0" borderId="1" xfId="0" applyNumberFormat="1" applyBorder="1"/>
    <xf numFmtId="2" fontId="0" fillId="0" borderId="1" xfId="0" applyNumberFormat="1" applyBorder="1" applyAlignment="1">
      <alignment horizontal="right"/>
    </xf>
    <xf numFmtId="2" fontId="0" fillId="0" borderId="18" xfId="0" applyNumberFormat="1" applyBorder="1"/>
    <xf numFmtId="0" fontId="0" fillId="0" borderId="19" xfId="0" applyBorder="1"/>
    <xf numFmtId="2" fontId="0" fillId="0" borderId="19" xfId="0" applyNumberFormat="1" applyBorder="1"/>
    <xf numFmtId="0" fontId="0" fillId="0" borderId="17" xfId="0" applyBorder="1"/>
    <xf numFmtId="0" fontId="0" fillId="0" borderId="20" xfId="0" applyBorder="1"/>
    <xf numFmtId="2" fontId="0" fillId="0" borderId="20" xfId="0" applyNumberFormat="1" applyBorder="1"/>
    <xf numFmtId="0" fontId="0" fillId="0" borderId="2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3" borderId="0" xfId="0" applyFill="1"/>
    <xf numFmtId="0" fontId="3" fillId="5" borderId="21" xfId="0" applyFont="1" applyFill="1" applyBorder="1" applyAlignment="1">
      <alignment horizontal="left" vertical="top" wrapText="1"/>
    </xf>
    <xf numFmtId="0" fontId="2" fillId="8" borderId="22" xfId="0" applyFont="1" applyFill="1" applyBorder="1" applyAlignment="1">
      <alignment horizontal="center"/>
    </xf>
    <xf numFmtId="0" fontId="0" fillId="0" borderId="23" xfId="0" applyBorder="1"/>
    <xf numFmtId="0" fontId="0" fillId="0" borderId="24" xfId="0" applyBorder="1"/>
    <xf numFmtId="0" fontId="0" fillId="10" borderId="25" xfId="0" applyFill="1" applyBorder="1"/>
    <xf numFmtId="0" fontId="0" fillId="0" borderId="26" xfId="0" applyBorder="1" applyAlignment="1">
      <alignment horizontal="left"/>
    </xf>
    <xf numFmtId="0" fontId="0" fillId="10" borderId="27" xfId="0" applyFill="1" applyBorder="1"/>
    <xf numFmtId="0" fontId="0" fillId="0" borderId="28" xfId="0" applyBorder="1"/>
    <xf numFmtId="164" fontId="0" fillId="0" borderId="0" xfId="0" applyNumberFormat="1" applyAlignment="1">
      <alignment horizontal="center"/>
    </xf>
    <xf numFmtId="0" fontId="0" fillId="0" borderId="3" xfId="0" applyBorder="1"/>
    <xf numFmtId="44" fontId="0" fillId="0" borderId="1" xfId="1" applyFont="1" applyBorder="1"/>
    <xf numFmtId="44" fontId="0" fillId="6" borderId="1" xfId="1" applyFont="1" applyFill="1" applyBorder="1"/>
    <xf numFmtId="165" fontId="0" fillId="0" borderId="0" xfId="2" applyNumberFormat="1" applyFont="1"/>
    <xf numFmtId="0" fontId="0" fillId="3" borderId="1" xfId="0" applyFill="1" applyBorder="1" applyAlignment="1">
      <alignment horizontal="center" vertical="center" wrapText="1"/>
    </xf>
    <xf numFmtId="0" fontId="0" fillId="9" borderId="1" xfId="0" applyFill="1" applyBorder="1"/>
    <xf numFmtId="0" fontId="0" fillId="9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/>
    </xf>
    <xf numFmtId="165" fontId="0" fillId="7" borderId="1" xfId="2" applyNumberFormat="1" applyFont="1" applyFill="1" applyBorder="1"/>
    <xf numFmtId="44" fontId="0" fillId="7" borderId="1" xfId="1" applyFont="1" applyFill="1" applyBorder="1"/>
    <xf numFmtId="0" fontId="0" fillId="0" borderId="1" xfId="0" applyBorder="1" applyAlignment="1">
      <alignment horizontal="center" vertical="center"/>
    </xf>
  </cellXfs>
  <cellStyles count="3">
    <cellStyle name="Currency" xfId="1" builtinId="4"/>
    <cellStyle name="Normal" xfId="0" builtinId="0"/>
    <cellStyle name="Percent" xfId="2" builtinId="5"/>
  </cellStyles>
  <dxfs count="1">
    <dxf>
      <numFmt numFmtId="166" formatCode="0;\-0;;@"/>
    </dxf>
  </dxfs>
  <tableStyles count="0" defaultTableStyle="TableStyleMedium2" defaultPivotStyle="PivotStyleLight16"/>
  <colors>
    <mruColors>
      <color rgb="FFCC0000"/>
      <color rgb="FFFF3300"/>
      <color rgb="FF35CB4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Insurance Premium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3033945756780403"/>
          <c:y val="0.1407626130067075"/>
          <c:w val="0.34487685914260718"/>
          <c:h val="0.57479476523767858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9A6-473B-BA46-71D936F758F8}"/>
              </c:ext>
            </c:extLst>
          </c:dPt>
          <c:dPt>
            <c:idx val="1"/>
            <c:bubble3D val="0"/>
            <c:spPr>
              <a:solidFill>
                <a:srgbClr val="CC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9A6-473B-BA46-71D936F758F8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A9A6-473B-BA46-71D936F758F8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BF973B46-CFDA-4D83-B249-E4ACA16AFFB5}" type="CATEGORYNAME">
                      <a:rPr lang="en-US"/>
                      <a:pPr/>
                      <a:t>[CATEGORY NAME]</a:t>
                    </a:fld>
                    <a:r>
                      <a:rPr lang="en-US" baseline="0"/>
                      <a:t>
</a:t>
                    </a:r>
                    <a:fld id="{8B1EBC94-CF8D-4DE6-9982-7C7F100026F2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A9A6-473B-BA46-71D936F758F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D5120C22-943B-4DCF-9B13-DCE64CC2ED5B}" type="VALUE">
                      <a:rPr lang="en-US"/>
                      <a:pPr/>
                      <a:t>[VALUE]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A9A6-473B-BA46-71D936F758F8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BBCAF27A-7353-40E4-B5A3-4B2EB910E68B}" type="CATEGORYNAME">
                      <a:rPr lang="en-US"/>
                      <a:pPr/>
                      <a:t>[CATEGORY NAME]</a:t>
                    </a:fld>
                    <a:r>
                      <a:rPr lang="en-US" baseline="0"/>
                      <a:t>
</a:t>
                    </a:r>
                    <a:fld id="{8DF803D6-DB5A-48F3-BF44-E9C059FCA517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A9A6-473B-BA46-71D936F758F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Insurance!$A$5:$A$7</c:f>
              <c:strCache>
                <c:ptCount val="3"/>
                <c:pt idx="0">
                  <c:v>Uptown</c:v>
                </c:pt>
                <c:pt idx="1">
                  <c:v>Downtown</c:v>
                </c:pt>
                <c:pt idx="2">
                  <c:v>Lakeshore</c:v>
                </c:pt>
              </c:strCache>
            </c:strRef>
          </c:cat>
          <c:val>
            <c:numRef>
              <c:f>Insurance!$D$5:$D$7</c:f>
              <c:numCache>
                <c:formatCode>0.0%</c:formatCode>
                <c:ptCount val="3"/>
                <c:pt idx="0">
                  <c:v>0.45500000000000002</c:v>
                </c:pt>
                <c:pt idx="1">
                  <c:v>0.317</c:v>
                </c:pt>
                <c:pt idx="2">
                  <c:v>0.22800000000000001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A6-473B-BA46-71D936F758F8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776555118110236"/>
          <c:y val="0.82912037037037034"/>
          <c:w val="0.45580008748906387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19050</xdr:rowOff>
    </xdr:from>
    <xdr:to>
      <xdr:col>5</xdr:col>
      <xdr:colOff>371475</xdr:colOff>
      <xdr:row>24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C49EA0-5602-4F0E-BA9F-A19C43E25A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"/>
  <sheetViews>
    <sheetView tabSelected="1" workbookViewId="0">
      <selection activeCell="B4" sqref="B4"/>
    </sheetView>
  </sheetViews>
  <sheetFormatPr defaultRowHeight="15" x14ac:dyDescent="0.25"/>
  <cols>
    <col min="1" max="1" width="16.7109375" customWidth="1"/>
    <col min="3" max="3" width="12.85546875" customWidth="1"/>
    <col min="5" max="5" width="11.7109375" customWidth="1"/>
    <col min="6" max="6" width="9.5703125" bestFit="1" customWidth="1"/>
  </cols>
  <sheetData>
    <row r="1" spans="1:7" x14ac:dyDescent="0.25">
      <c r="A1" s="1" t="s">
        <v>0</v>
      </c>
    </row>
    <row r="2" spans="1:7" ht="45.75" customHeight="1" x14ac:dyDescent="0.25">
      <c r="A2" s="12" t="s">
        <v>1</v>
      </c>
      <c r="B2" s="12" t="s">
        <v>2</v>
      </c>
      <c r="C2" s="13" t="s">
        <v>3</v>
      </c>
      <c r="D2" s="12" t="s">
        <v>4</v>
      </c>
      <c r="E2" s="13" t="s">
        <v>5</v>
      </c>
      <c r="F2" s="12" t="s">
        <v>6</v>
      </c>
    </row>
    <row r="3" spans="1:7" x14ac:dyDescent="0.25">
      <c r="A3" s="3" t="s">
        <v>7</v>
      </c>
      <c r="B3" s="4">
        <v>9</v>
      </c>
      <c r="C3" s="4">
        <v>38.99</v>
      </c>
      <c r="D3" s="7">
        <f>IF(Quantity_Printer &gt; 20, 3%, 0)</f>
        <v>0</v>
      </c>
      <c r="E3" s="5">
        <f>IF(Quantity_Printer&gt;20,Unit_Printer*(1-Discount_Printer),Unit_Printer)</f>
        <v>38.99</v>
      </c>
      <c r="F3" s="6">
        <f>PRODUCT(Quantity_Printer,Sale_Printer)</f>
        <v>350.91</v>
      </c>
    </row>
    <row r="4" spans="1:7" x14ac:dyDescent="0.25">
      <c r="A4" s="3" t="s">
        <v>8</v>
      </c>
      <c r="B4" s="3">
        <v>24</v>
      </c>
      <c r="C4" s="3">
        <v>9.2899999999999991</v>
      </c>
      <c r="D4" s="7">
        <f>IF(Quantity_Paper &gt; 20, 3%, 0)</f>
        <v>0.03</v>
      </c>
      <c r="E4" s="5">
        <f>IF(Quantity_Paper&gt;20,Unit_Paper*(1-Discount_Paper),(Unit_Paper))</f>
        <v>9.0112999999999985</v>
      </c>
      <c r="F4" s="8">
        <f>PRODUCT(Quantity_Paper,Sale_Paper)</f>
        <v>216.27119999999996</v>
      </c>
    </row>
    <row r="5" spans="1:7" x14ac:dyDescent="0.25">
      <c r="A5" s="3" t="s">
        <v>9</v>
      </c>
      <c r="B5" s="3">
        <v>100</v>
      </c>
      <c r="C5" s="3">
        <v>27.99</v>
      </c>
      <c r="D5" s="7">
        <f>IF(Quantity_File &gt; 20, 3%, 0)</f>
        <v>0.03</v>
      </c>
      <c r="E5" s="5">
        <f>IF(Quantity_File&gt;20,Unit_File*(1-Discount_File),Unit_File)</f>
        <v>27.150299999999998</v>
      </c>
      <c r="F5" s="3">
        <f>PRODUCT(Quantity_File,Sale_File)</f>
        <v>2715.0299999999997</v>
      </c>
    </row>
    <row r="6" spans="1:7" x14ac:dyDescent="0.25">
      <c r="A6" s="3" t="s">
        <v>10</v>
      </c>
      <c r="B6" s="3">
        <v>10</v>
      </c>
      <c r="C6" s="3">
        <v>12.99</v>
      </c>
      <c r="D6" s="7">
        <f>IF(Quantity_USB &gt; 20, 3%, 0)</f>
        <v>0</v>
      </c>
      <c r="E6" s="5">
        <f>IF(Quantity_USB&gt;20,Unit_USB*(1-Discount_USB),Unit_USB)</f>
        <v>12.99</v>
      </c>
      <c r="F6" s="8">
        <f>PRODUCT(Quantity_USB,Sale_USB)</f>
        <v>129.9</v>
      </c>
    </row>
    <row r="7" spans="1:7" x14ac:dyDescent="0.25">
      <c r="A7" s="9"/>
      <c r="B7" s="3"/>
      <c r="C7" s="3"/>
      <c r="D7" s="3"/>
      <c r="E7" s="3"/>
      <c r="F7" s="3"/>
    </row>
    <row r="8" spans="1:7" x14ac:dyDescent="0.25">
      <c r="A8" s="10"/>
      <c r="B8" s="11"/>
      <c r="C8" s="11"/>
      <c r="D8" s="11"/>
      <c r="E8" s="11"/>
      <c r="F8" s="3"/>
    </row>
    <row r="9" spans="1:7" x14ac:dyDescent="0.25">
      <c r="A9" s="14"/>
      <c r="B9" s="15"/>
      <c r="C9" s="15"/>
      <c r="D9" s="15"/>
      <c r="E9" s="16" t="s">
        <v>11</v>
      </c>
      <c r="F9" s="17">
        <f>SUM(Total)</f>
        <v>3412.1111999999998</v>
      </c>
    </row>
    <row r="10" spans="1:7" ht="15.75" thickBot="1" x14ac:dyDescent="0.3">
      <c r="A10" s="18"/>
      <c r="B10" s="19"/>
      <c r="C10" s="19"/>
      <c r="D10" s="19"/>
      <c r="E10" s="20" t="s">
        <v>12</v>
      </c>
      <c r="F10" s="25">
        <f>PRODUCT(Subtotal,0.13)</f>
        <v>443.574456</v>
      </c>
    </row>
    <row r="11" spans="1:7" ht="15.75" thickTop="1" x14ac:dyDescent="0.25">
      <c r="A11" s="18"/>
      <c r="B11" s="19"/>
      <c r="C11" s="19"/>
      <c r="D11" s="19"/>
      <c r="E11" s="20"/>
      <c r="F11" s="21"/>
      <c r="G11" s="2"/>
    </row>
    <row r="12" spans="1:7" x14ac:dyDescent="0.25">
      <c r="A12" s="22"/>
      <c r="B12" s="23"/>
      <c r="C12" s="23"/>
      <c r="D12" s="23"/>
      <c r="E12" s="23" t="s">
        <v>13</v>
      </c>
      <c r="F12" s="24">
        <f>SUM(Amount_Due)</f>
        <v>3855.6856559999997</v>
      </c>
    </row>
  </sheetData>
  <conditionalFormatting sqref="D3:D6">
    <cfRule type="cellIs" dxfId="0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06992-1E89-4733-8F2D-A860DB7F5804}">
  <dimension ref="A1:J12"/>
  <sheetViews>
    <sheetView workbookViewId="0">
      <selection activeCell="C8" sqref="C8"/>
    </sheetView>
  </sheetViews>
  <sheetFormatPr defaultRowHeight="15" x14ac:dyDescent="0.25"/>
  <cols>
    <col min="1" max="1" width="11" customWidth="1"/>
    <col min="2" max="2" width="10.5703125" customWidth="1"/>
    <col min="3" max="3" width="10" customWidth="1"/>
    <col min="6" max="6" width="8.42578125" customWidth="1"/>
    <col min="10" max="10" width="8.28515625" customWidth="1"/>
  </cols>
  <sheetData>
    <row r="1" spans="1:10" ht="15.75" thickTop="1" x14ac:dyDescent="0.25">
      <c r="A1" s="29" t="s">
        <v>14</v>
      </c>
      <c r="B1" s="29"/>
      <c r="C1" s="29" t="s">
        <v>15</v>
      </c>
      <c r="D1" s="29" t="s">
        <v>16</v>
      </c>
      <c r="E1" s="29"/>
      <c r="F1" s="29"/>
      <c r="G1" s="29"/>
      <c r="H1" s="29"/>
      <c r="I1" s="29"/>
      <c r="J1" s="30"/>
    </row>
    <row r="2" spans="1:10" ht="30" x14ac:dyDescent="0.25">
      <c r="A2" s="27" t="s">
        <v>17</v>
      </c>
      <c r="B2" s="27" t="s">
        <v>18</v>
      </c>
      <c r="C2" s="27" t="s">
        <v>19</v>
      </c>
      <c r="D2" s="27" t="s">
        <v>20</v>
      </c>
      <c r="E2" s="27" t="s">
        <v>21</v>
      </c>
      <c r="F2" s="27" t="s">
        <v>22</v>
      </c>
      <c r="G2" s="27" t="s">
        <v>23</v>
      </c>
      <c r="H2" s="27" t="s">
        <v>24</v>
      </c>
      <c r="I2" s="27" t="s">
        <v>25</v>
      </c>
      <c r="J2" s="28" t="s">
        <v>26</v>
      </c>
    </row>
    <row r="3" spans="1:10" x14ac:dyDescent="0.25">
      <c r="A3" s="31" t="s">
        <v>27</v>
      </c>
      <c r="B3" s="31" t="s">
        <v>28</v>
      </c>
      <c r="C3" s="31" t="s">
        <v>45</v>
      </c>
      <c r="D3" s="31">
        <v>16.75</v>
      </c>
      <c r="E3" s="32">
        <v>35</v>
      </c>
      <c r="F3" s="32" t="str">
        <f>IF(Hours_Abner&gt;44,IF(Hours_Abner&gt;=50,50-44,Hours_Abner-44),"0")</f>
        <v>0</v>
      </c>
      <c r="G3" s="32" t="str">
        <f>IF(Hours_Abner&gt;50,Hours_Abner-50,"0")</f>
        <v>0</v>
      </c>
      <c r="H3" s="31">
        <f>IF(Hours_Abner&gt;44,44*Hourly_Abner,Hourly_Abner*Hours_Abner)</f>
        <v>586.25</v>
      </c>
      <c r="I3" s="35">
        <f>SUM((Hourly_Abner*1.5)*Time_Half_Abner,(Hourly_Abner*2)*Time_Double_Abner)</f>
        <v>0</v>
      </c>
      <c r="J3" s="36">
        <f>SUM(Total_Abner)</f>
        <v>586.25</v>
      </c>
    </row>
    <row r="4" spans="1:10" x14ac:dyDescent="0.25">
      <c r="A4" s="31" t="s">
        <v>29</v>
      </c>
      <c r="B4" s="31" t="s">
        <v>37</v>
      </c>
      <c r="C4" s="31" t="s">
        <v>46</v>
      </c>
      <c r="D4" s="34">
        <v>15.5</v>
      </c>
      <c r="E4" s="32">
        <v>50</v>
      </c>
      <c r="F4" s="32">
        <f>IF(Hours_Bolean&gt;44,IF(Hours_Bolean&gt;=50,50-44,Hours_Bolean-44)," ")</f>
        <v>6</v>
      </c>
      <c r="G4" s="32" t="str">
        <f>IF(Hours_Bolean&gt;50,Hours_Bolean-50,"0")</f>
        <v>0</v>
      </c>
      <c r="H4" s="33">
        <f>IF(Hours_Bolean&gt;44,44*Hourly_Bolean,Hourly_Bolean*Hours_Bolean)</f>
        <v>682</v>
      </c>
      <c r="I4" s="35">
        <f>SUM((Hourly_Bolean*1.5)*Time_Half_Bolean,(Hourly_Bolean*2)*Time_Double_Bolean)</f>
        <v>139.5</v>
      </c>
      <c r="J4" s="37">
        <f>SUM(Total_Bolean)</f>
        <v>821.5</v>
      </c>
    </row>
    <row r="5" spans="1:10" x14ac:dyDescent="0.25">
      <c r="A5" s="31" t="s">
        <v>30</v>
      </c>
      <c r="B5" s="31" t="s">
        <v>38</v>
      </c>
      <c r="C5" s="31" t="s">
        <v>47</v>
      </c>
      <c r="D5" s="33">
        <v>15.5</v>
      </c>
      <c r="E5" s="32">
        <v>37</v>
      </c>
      <c r="F5" s="32" t="str">
        <f>IF(Hours_Diep&gt;44,IF(Hours_Diep&gt;=50,50-44,Hours_Diep-44),"0")</f>
        <v>0</v>
      </c>
      <c r="G5" s="32" t="str">
        <f>IF(Hours_Diep&gt;50,Hours_Diep-50,"0")</f>
        <v>0</v>
      </c>
      <c r="H5" s="33">
        <f>IF(Hours_Diep&gt;44,44*Hourly_Diep,Hourly_Diep*Hours_Diep)</f>
        <v>573.5</v>
      </c>
      <c r="I5" s="35">
        <f>SUM((Hourly_Diep*1.5)*Time_Half_Diep,(Hourly_Diep*2)*Time_Double_Diep)</f>
        <v>0</v>
      </c>
      <c r="J5" s="37">
        <f>SUM(Total_Diep)</f>
        <v>573.5</v>
      </c>
    </row>
    <row r="6" spans="1:10" x14ac:dyDescent="0.25">
      <c r="A6" s="31" t="s">
        <v>31</v>
      </c>
      <c r="B6" s="31" t="s">
        <v>39</v>
      </c>
      <c r="C6" s="31" t="s">
        <v>48</v>
      </c>
      <c r="D6" s="33">
        <v>15</v>
      </c>
      <c r="E6" s="32">
        <v>55</v>
      </c>
      <c r="F6" s="32">
        <f>IF(Hours_Forrest&gt;44,IF(Hours_Forrest&gt;=50,50-44,Hours_Forrest-44)," ")</f>
        <v>6</v>
      </c>
      <c r="G6" s="32">
        <f>IF(Hours_Forrest&gt;50,Hours_Forrest-50," ")</f>
        <v>5</v>
      </c>
      <c r="H6" s="33">
        <f>IF(Hours_Forrest&gt;44,44*Hourly_Forrest,Hourly_Forrest*Hours_Forrest)</f>
        <v>660</v>
      </c>
      <c r="I6" s="35">
        <f>SUM((Hourly_Forrest*1.5)*Time_Half_Forrest,(Hourly_Forrest*2)*Time_Double_Forrest)</f>
        <v>285</v>
      </c>
      <c r="J6" s="37">
        <f>SUM(Total_Forrest)</f>
        <v>945</v>
      </c>
    </row>
    <row r="7" spans="1:10" x14ac:dyDescent="0.25">
      <c r="A7" s="31" t="s">
        <v>32</v>
      </c>
      <c r="B7" s="31" t="s">
        <v>40</v>
      </c>
      <c r="C7" s="31" t="s">
        <v>49</v>
      </c>
      <c r="D7" s="33">
        <v>15.5</v>
      </c>
      <c r="E7" s="32">
        <v>46</v>
      </c>
      <c r="F7" s="32">
        <f>IF(Hours_Henderson&gt;44,IF(Hours_Henderson&gt;=50,50-44,Hours_Henderson-44)," ")</f>
        <v>2</v>
      </c>
      <c r="G7" s="32" t="str">
        <f>IF(Hours_Henderson&gt;50,Hours_Henderson-50,"0")</f>
        <v>0</v>
      </c>
      <c r="H7" s="33">
        <f>IF(Hours_Henderson&gt;44,44*Hourly_Henderson,Hourly_Henderson*Hours_Henderson)</f>
        <v>682</v>
      </c>
      <c r="I7" s="35">
        <f>SUM((Hourly_Henderson*1.5)*Time_Half_Henderson,(Hourly_Henderson*2)*Time_Double_Henderson)</f>
        <v>46.5</v>
      </c>
      <c r="J7" s="37">
        <f>SUM(Total_Henderson)</f>
        <v>728.5</v>
      </c>
    </row>
    <row r="8" spans="1:10" x14ac:dyDescent="0.25">
      <c r="A8" s="31" t="s">
        <v>33</v>
      </c>
      <c r="B8" s="31" t="s">
        <v>41</v>
      </c>
      <c r="C8" s="31" t="s">
        <v>50</v>
      </c>
      <c r="D8" s="33">
        <v>15</v>
      </c>
      <c r="E8" s="32">
        <v>40</v>
      </c>
      <c r="F8" s="32" t="str">
        <f>IF(Hours_Irons&gt;44,IF(Hours_Irons&gt;=50,50-44,Hours_Irons-44),"0")</f>
        <v>0</v>
      </c>
      <c r="G8" s="32" t="str">
        <f>IF(Hours_Irons&gt;50,Hours_Irons-50,"0")</f>
        <v>0</v>
      </c>
      <c r="H8" s="33">
        <f>IF(Hours_Irons&gt;44,44*Hourly_Irons,Hourly_Irons*Hours_Irons)</f>
        <v>600</v>
      </c>
      <c r="I8" s="35">
        <f>SUM((Hourly_Irons*1.5)*Time_Half_Irons,(Hourly_Irons*2)*Time_Double_Irons)</f>
        <v>0</v>
      </c>
      <c r="J8" s="37">
        <f>SUM(Total_Irons)</f>
        <v>600</v>
      </c>
    </row>
    <row r="9" spans="1:10" x14ac:dyDescent="0.25">
      <c r="A9" s="31" t="s">
        <v>34</v>
      </c>
      <c r="B9" s="31" t="s">
        <v>42</v>
      </c>
      <c r="C9" s="31" t="s">
        <v>51</v>
      </c>
      <c r="D9" s="33">
        <v>17.5</v>
      </c>
      <c r="E9" s="32">
        <v>43</v>
      </c>
      <c r="F9" s="32" t="str">
        <f>IF(Hours_Karim&gt;44,IF(Hours_Karim&gt;=50,50-44,Hours_Karim-44),"0")</f>
        <v>0</v>
      </c>
      <c r="G9" s="32" t="str">
        <f>IF(Hours_Karim&gt;50,Hours_Karim-50,"0")</f>
        <v>0</v>
      </c>
      <c r="H9" s="33">
        <f>IF(Hours_Karim&gt;44,44*Hourly_Karim,Hourly_Karim*Hours_Karim)</f>
        <v>752.5</v>
      </c>
      <c r="I9" s="35">
        <f>SUM((Hourly_Karim*1.5)*Time_Half_Karim,(Hourly_Karim*2)*Time_Double_Karim)</f>
        <v>0</v>
      </c>
      <c r="J9" s="37">
        <f>SUM(Total_Karim)</f>
        <v>752.5</v>
      </c>
    </row>
    <row r="10" spans="1:10" x14ac:dyDescent="0.25">
      <c r="A10" s="31" t="s">
        <v>35</v>
      </c>
      <c r="B10" s="31" t="s">
        <v>43</v>
      </c>
      <c r="C10" s="31" t="s">
        <v>52</v>
      </c>
      <c r="D10" s="33">
        <v>15</v>
      </c>
      <c r="E10" s="32">
        <v>38</v>
      </c>
      <c r="F10" s="32" t="str">
        <f>IF(Hours_Qiu&gt;44,IF(Hours_Qiu&gt;=50,50-44,Hours_Qiu-44),"0")</f>
        <v>0</v>
      </c>
      <c r="G10" s="32" t="str">
        <f>IF(Hours_Qiu&gt;50,Hours_Qiu-50,"0")</f>
        <v>0</v>
      </c>
      <c r="H10" s="33">
        <f>IF(Hours_Qiu&gt;44,44*Hourly_Qiu,Hourly_Qiu*Hours_Qiu)</f>
        <v>570</v>
      </c>
      <c r="I10" s="35">
        <f>SUM((Hourly_Qiu*1.5)*Time_Half_Qiu,(Hourly_Qiu*2)*Time_Double_Qiu)</f>
        <v>0</v>
      </c>
      <c r="J10" s="37">
        <f>SUM(Total_Qiu)</f>
        <v>570</v>
      </c>
    </row>
    <row r="11" spans="1:10" ht="15.75" thickBot="1" x14ac:dyDescent="0.3">
      <c r="A11" s="39" t="s">
        <v>36</v>
      </c>
      <c r="B11" s="39" t="s">
        <v>44</v>
      </c>
      <c r="C11" s="39" t="s">
        <v>53</v>
      </c>
      <c r="D11" s="40">
        <v>16.75</v>
      </c>
      <c r="E11" s="41">
        <v>39</v>
      </c>
      <c r="F11" s="41" t="str">
        <f>IF(Hours_Viegas&gt;44,IF(Hours_Viegas&gt;=50,50-44,Hours_Viegas-44),"0")</f>
        <v>0</v>
      </c>
      <c r="G11" s="41" t="str">
        <f>IF(Hours_Viegas&gt;50,Hours_Viegas-50,"0")</f>
        <v>0</v>
      </c>
      <c r="H11" s="39">
        <f>IF(Hours_Viegas&gt;44,44*Hourly_Viegas,Hourly_Viegas*Hours_Viegas)</f>
        <v>653.25</v>
      </c>
      <c r="I11" s="40">
        <f>SUM((Hourly_Viegas*1.5)*Time_Half_Viegas,(Hourly_Viegas*2)*Time_Double_Viegas)</f>
        <v>0</v>
      </c>
      <c r="J11" s="38">
        <f>SUM(Total_Viegas)</f>
        <v>653.25</v>
      </c>
    </row>
    <row r="12" spans="1:10" x14ac:dyDescent="0.25">
      <c r="H12" s="26"/>
      <c r="I12" s="26"/>
      <c r="J12" s="2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44631-3BC8-447A-A246-BF780D13D5D3}">
  <dimension ref="A1:I22"/>
  <sheetViews>
    <sheetView workbookViewId="0">
      <selection activeCell="B2" sqref="B2"/>
    </sheetView>
  </sheetViews>
  <sheetFormatPr defaultRowHeight="15" x14ac:dyDescent="0.25"/>
  <cols>
    <col min="1" max="1" width="13.85546875" customWidth="1"/>
    <col min="2" max="2" width="40.85546875" customWidth="1"/>
    <col min="4" max="4" width="30.7109375" customWidth="1"/>
    <col min="5" max="5" width="7.7109375" customWidth="1"/>
    <col min="6" max="6" width="40.140625" customWidth="1"/>
    <col min="7" max="7" width="5.85546875" customWidth="1"/>
    <col min="8" max="8" width="24.85546875" customWidth="1"/>
    <col min="9" max="9" width="21.28515625" customWidth="1"/>
  </cols>
  <sheetData>
    <row r="1" spans="1:9" ht="45.75" customHeight="1" thickBot="1" x14ac:dyDescent="0.5">
      <c r="A1" s="45" t="s">
        <v>85</v>
      </c>
      <c r="B1" s="46">
        <v>1</v>
      </c>
    </row>
    <row r="2" spans="1:9" x14ac:dyDescent="0.25">
      <c r="A2" s="47"/>
      <c r="B2" s="48"/>
    </row>
    <row r="3" spans="1:9" x14ac:dyDescent="0.25">
      <c r="A3" s="49" t="s">
        <v>54</v>
      </c>
      <c r="B3" s="50">
        <f>VLOOKUP(Rank_Number,_xlnm.Database,2,FALSE)</f>
        <v>9.3000000000000007</v>
      </c>
    </row>
    <row r="4" spans="1:9" x14ac:dyDescent="0.25">
      <c r="A4" s="49" t="s">
        <v>55</v>
      </c>
      <c r="B4" s="50" t="str">
        <f>VLOOKUP(Rank_Number,_xlnm.Database,3,FALSE)</f>
        <v>The Shawshank Redepmtion</v>
      </c>
    </row>
    <row r="5" spans="1:9" x14ac:dyDescent="0.25">
      <c r="A5" s="49" t="s">
        <v>56</v>
      </c>
      <c r="B5" s="50">
        <f>VLOOKUP(Rank_Number,_xlnm.Database,4,FALSE)</f>
        <v>1994</v>
      </c>
    </row>
    <row r="6" spans="1:9" x14ac:dyDescent="0.25">
      <c r="A6" s="49" t="s">
        <v>57</v>
      </c>
      <c r="B6" s="50" t="str">
        <f>VLOOKUP(Rank_Number,_xlnm.Database,5,FALSE)</f>
        <v>Crime,Drama</v>
      </c>
    </row>
    <row r="7" spans="1:9" ht="15.75" thickBot="1" x14ac:dyDescent="0.3">
      <c r="A7" s="51" t="s">
        <v>58</v>
      </c>
      <c r="B7" s="50" t="str">
        <f>VLOOKUP(Rank_Number,_xlnm.Database,6,FALSE)</f>
        <v xml:space="preserve">Frank Darabont </v>
      </c>
      <c r="C7" s="52"/>
    </row>
    <row r="11" spans="1:9" x14ac:dyDescent="0.25">
      <c r="D11" s="44" t="s">
        <v>60</v>
      </c>
      <c r="E11" s="44" t="s">
        <v>54</v>
      </c>
      <c r="F11" s="44" t="s">
        <v>55</v>
      </c>
      <c r="G11" s="44" t="s">
        <v>56</v>
      </c>
      <c r="H11" s="44" t="s">
        <v>57</v>
      </c>
      <c r="I11" s="44" t="s">
        <v>58</v>
      </c>
    </row>
    <row r="12" spans="1:9" x14ac:dyDescent="0.25">
      <c r="D12" s="43">
        <v>1</v>
      </c>
      <c r="E12" s="42">
        <v>9.3000000000000007</v>
      </c>
      <c r="F12" t="s">
        <v>61</v>
      </c>
      <c r="G12" s="42">
        <v>1994</v>
      </c>
      <c r="H12" t="s">
        <v>71</v>
      </c>
      <c r="I12" t="s">
        <v>76</v>
      </c>
    </row>
    <row r="13" spans="1:9" x14ac:dyDescent="0.25">
      <c r="D13" s="43">
        <v>2</v>
      </c>
      <c r="E13" s="42">
        <v>9.1999999999999993</v>
      </c>
      <c r="F13" t="s">
        <v>62</v>
      </c>
      <c r="G13" s="42">
        <v>1972</v>
      </c>
      <c r="H13" t="s">
        <v>71</v>
      </c>
      <c r="I13" t="s">
        <v>77</v>
      </c>
    </row>
    <row r="14" spans="1:9" x14ac:dyDescent="0.25">
      <c r="D14" s="43">
        <v>3</v>
      </c>
      <c r="E14" s="53">
        <v>9</v>
      </c>
      <c r="F14" t="s">
        <v>63</v>
      </c>
      <c r="G14" s="42">
        <v>1974</v>
      </c>
      <c r="H14" t="s">
        <v>71</v>
      </c>
      <c r="I14" t="s">
        <v>77</v>
      </c>
    </row>
    <row r="15" spans="1:9" x14ac:dyDescent="0.25">
      <c r="D15" s="43">
        <v>4</v>
      </c>
      <c r="E15" s="42">
        <v>8.9</v>
      </c>
      <c r="F15" t="s">
        <v>64</v>
      </c>
      <c r="G15" s="42">
        <v>1994</v>
      </c>
      <c r="H15" t="s">
        <v>71</v>
      </c>
      <c r="I15" t="s">
        <v>78</v>
      </c>
    </row>
    <row r="16" spans="1:9" x14ac:dyDescent="0.25">
      <c r="D16" s="43">
        <v>5</v>
      </c>
      <c r="E16" s="42">
        <v>8.9</v>
      </c>
      <c r="F16" t="s">
        <v>65</v>
      </c>
      <c r="G16" s="42">
        <v>1993</v>
      </c>
      <c r="H16" t="s">
        <v>72</v>
      </c>
      <c r="I16" t="s">
        <v>79</v>
      </c>
    </row>
    <row r="17" spans="4:9" x14ac:dyDescent="0.25">
      <c r="D17" s="43">
        <v>6</v>
      </c>
      <c r="E17" s="42">
        <v>8.9</v>
      </c>
      <c r="F17" t="s">
        <v>66</v>
      </c>
      <c r="G17" s="42">
        <v>2003</v>
      </c>
      <c r="H17" t="s">
        <v>73</v>
      </c>
      <c r="I17" t="s">
        <v>80</v>
      </c>
    </row>
    <row r="18" spans="4:9" x14ac:dyDescent="0.25">
      <c r="D18" s="43">
        <v>7</v>
      </c>
      <c r="E18" s="42">
        <v>8.9</v>
      </c>
      <c r="F18" t="s">
        <v>67</v>
      </c>
      <c r="G18" s="42">
        <v>1966</v>
      </c>
      <c r="H18" t="s">
        <v>74</v>
      </c>
      <c r="I18" t="s">
        <v>81</v>
      </c>
    </row>
    <row r="19" spans="4:9" x14ac:dyDescent="0.25">
      <c r="D19" s="43">
        <v>8</v>
      </c>
      <c r="E19" s="42">
        <v>8.9</v>
      </c>
      <c r="F19" t="s">
        <v>68</v>
      </c>
      <c r="G19" s="42">
        <v>1957</v>
      </c>
      <c r="H19" t="s">
        <v>71</v>
      </c>
      <c r="I19" t="s">
        <v>82</v>
      </c>
    </row>
    <row r="20" spans="4:9" x14ac:dyDescent="0.25">
      <c r="D20" s="43">
        <v>9</v>
      </c>
      <c r="E20" s="42">
        <v>8.8000000000000007</v>
      </c>
      <c r="F20" t="s">
        <v>69</v>
      </c>
      <c r="G20" s="42">
        <v>1994</v>
      </c>
      <c r="H20" t="s">
        <v>59</v>
      </c>
      <c r="I20" t="s">
        <v>83</v>
      </c>
    </row>
    <row r="21" spans="4:9" x14ac:dyDescent="0.25">
      <c r="D21" s="43">
        <v>10</v>
      </c>
      <c r="E21" s="42">
        <v>8.6999999999999993</v>
      </c>
      <c r="F21" t="s">
        <v>70</v>
      </c>
      <c r="G21" s="42">
        <v>1990</v>
      </c>
      <c r="H21" t="s">
        <v>75</v>
      </c>
      <c r="I21" t="s">
        <v>84</v>
      </c>
    </row>
    <row r="22" spans="4:9" x14ac:dyDescent="0.25">
      <c r="D22" s="43"/>
      <c r="E22" s="4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920FC-193C-447B-BEBF-4F71152BCA4A}">
  <dimension ref="A2:F29"/>
  <sheetViews>
    <sheetView workbookViewId="0">
      <selection activeCell="A2" sqref="A2"/>
    </sheetView>
  </sheetViews>
  <sheetFormatPr defaultRowHeight="15" x14ac:dyDescent="0.25"/>
  <cols>
    <col min="1" max="1" width="23.28515625" customWidth="1"/>
    <col min="2" max="2" width="11.28515625" customWidth="1"/>
    <col min="4" max="4" width="10.140625" customWidth="1"/>
    <col min="6" max="6" width="12.7109375" customWidth="1"/>
  </cols>
  <sheetData>
    <row r="2" spans="1:6" x14ac:dyDescent="0.25">
      <c r="A2" s="54" t="s">
        <v>86</v>
      </c>
      <c r="B2" s="56">
        <v>22000</v>
      </c>
    </row>
    <row r="4" spans="1:6" ht="32.25" customHeight="1" x14ac:dyDescent="0.25">
      <c r="A4" s="6" t="s">
        <v>87</v>
      </c>
      <c r="B4" s="58" t="s">
        <v>88</v>
      </c>
      <c r="C4" s="59"/>
      <c r="D4" s="58" t="s">
        <v>89</v>
      </c>
      <c r="E4" s="60"/>
      <c r="F4" s="58" t="s">
        <v>90</v>
      </c>
    </row>
    <row r="5" spans="1:6" x14ac:dyDescent="0.25">
      <c r="A5" s="6" t="s">
        <v>91</v>
      </c>
      <c r="B5" s="61">
        <v>316</v>
      </c>
      <c r="C5" s="31"/>
      <c r="D5" s="62">
        <f>ROUND(Uptown_seat/Total_Seats,3)</f>
        <v>0.45500000000000002</v>
      </c>
      <c r="E5" s="31"/>
      <c r="F5" s="63">
        <f>Total_Insurance*Percent_Uptown</f>
        <v>10010</v>
      </c>
    </row>
    <row r="6" spans="1:6" x14ac:dyDescent="0.25">
      <c r="A6" s="6" t="s">
        <v>92</v>
      </c>
      <c r="B6" s="61">
        <v>220</v>
      </c>
      <c r="C6" s="31"/>
      <c r="D6" s="62">
        <f>ROUND(Downtown_Seat/Total_Seats,3)</f>
        <v>0.317</v>
      </c>
      <c r="E6" s="31"/>
      <c r="F6" s="63">
        <f>Total_Insurance*Percent_Downtown</f>
        <v>6974</v>
      </c>
    </row>
    <row r="7" spans="1:6" x14ac:dyDescent="0.25">
      <c r="A7" s="6" t="s">
        <v>93</v>
      </c>
      <c r="B7" s="61">
        <v>158</v>
      </c>
      <c r="C7" s="31"/>
      <c r="D7" s="62">
        <f>ROUND(Lakeshore_Seat/Total_Seats,3)</f>
        <v>0.22800000000000001</v>
      </c>
      <c r="E7" s="31"/>
      <c r="F7" s="63">
        <f>Total_Insurance*Percent_Lakeshore</f>
        <v>5016</v>
      </c>
    </row>
    <row r="8" spans="1:6" x14ac:dyDescent="0.25">
      <c r="A8" s="6"/>
      <c r="B8" s="61"/>
      <c r="C8" s="31"/>
      <c r="D8" s="62"/>
      <c r="E8" s="31"/>
      <c r="F8" s="63"/>
    </row>
    <row r="9" spans="1:6" x14ac:dyDescent="0.25">
      <c r="A9" s="6" t="s">
        <v>6</v>
      </c>
      <c r="B9" s="61">
        <f>SUM(Number_Seats)</f>
        <v>694</v>
      </c>
      <c r="C9" s="31"/>
      <c r="D9" s="62">
        <f>SUM(Percent_Total)</f>
        <v>1</v>
      </c>
      <c r="E9" s="31"/>
      <c r="F9" s="63">
        <f>SUM(Premium_SUM)</f>
        <v>22000</v>
      </c>
    </row>
    <row r="10" spans="1:6" x14ac:dyDescent="0.25">
      <c r="A10" s="3"/>
      <c r="B10" s="64"/>
      <c r="C10" s="31"/>
      <c r="D10" s="31"/>
      <c r="E10" s="31"/>
      <c r="F10" s="55"/>
    </row>
    <row r="27" spans="2:2" x14ac:dyDescent="0.25">
      <c r="B27" s="57"/>
    </row>
    <row r="28" spans="2:2" x14ac:dyDescent="0.25">
      <c r="B28" s="57"/>
    </row>
    <row r="29" spans="2:2" x14ac:dyDescent="0.25">
      <c r="B29" s="57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113</vt:i4>
      </vt:variant>
    </vt:vector>
  </HeadingPairs>
  <TitlesOfParts>
    <vt:vector size="117" baseType="lpstr">
      <vt:lpstr>Invoice</vt:lpstr>
      <vt:lpstr>Payroll</vt:lpstr>
      <vt:lpstr>Movies</vt:lpstr>
      <vt:lpstr>Insurance</vt:lpstr>
      <vt:lpstr>Abner</vt:lpstr>
      <vt:lpstr>Amount_Due</vt:lpstr>
      <vt:lpstr>Bolean</vt:lpstr>
      <vt:lpstr>Movies!Database</vt:lpstr>
      <vt:lpstr>Diep</vt:lpstr>
      <vt:lpstr>Discount_File</vt:lpstr>
      <vt:lpstr>Discount_Paper</vt:lpstr>
      <vt:lpstr>Discount_Printer</vt:lpstr>
      <vt:lpstr>Discount_USB</vt:lpstr>
      <vt:lpstr>Insurance!Downtown_Seat</vt:lpstr>
      <vt:lpstr>Movies!Fields</vt:lpstr>
      <vt:lpstr>Invoice!File_Folders</vt:lpstr>
      <vt:lpstr>Forrest</vt:lpstr>
      <vt:lpstr>Henderson</vt:lpstr>
      <vt:lpstr>Payroll!Hourly_Abner</vt:lpstr>
      <vt:lpstr>Payroll!Hourly_Bolean</vt:lpstr>
      <vt:lpstr>Payroll!Hourly_Diep</vt:lpstr>
      <vt:lpstr>Hourly_Forrest</vt:lpstr>
      <vt:lpstr>Payroll!Hourly_Henderson</vt:lpstr>
      <vt:lpstr>Payroll!Hourly_Irons</vt:lpstr>
      <vt:lpstr>Payroll!Hourly_Karim</vt:lpstr>
      <vt:lpstr>Payroll!Hourly_Qiu</vt:lpstr>
      <vt:lpstr>Payroll!Hourly_Viegas</vt:lpstr>
      <vt:lpstr>Payroll!Hours_Abner</vt:lpstr>
      <vt:lpstr>Payroll!Hours_Bolean</vt:lpstr>
      <vt:lpstr>Hours_Diep</vt:lpstr>
      <vt:lpstr>Payroll!Hours_Forrest</vt:lpstr>
      <vt:lpstr>Payroll!Hours_Henderson</vt:lpstr>
      <vt:lpstr>Payroll!Hours_Iron</vt:lpstr>
      <vt:lpstr>Payroll!Hours_Irons</vt:lpstr>
      <vt:lpstr>Payroll!Hours_Karim</vt:lpstr>
      <vt:lpstr>Payroll!Hours_Qiu</vt:lpstr>
      <vt:lpstr>Payroll!Hours_Viegas</vt:lpstr>
      <vt:lpstr>Hours_Worked</vt:lpstr>
      <vt:lpstr>Irons</vt:lpstr>
      <vt:lpstr>Karim</vt:lpstr>
      <vt:lpstr>Lakeshore_Premium</vt:lpstr>
      <vt:lpstr>Lakeshore_Seat</vt:lpstr>
      <vt:lpstr>Invoice!List_Price___unit</vt:lpstr>
      <vt:lpstr>Movies!Names_Database</vt:lpstr>
      <vt:lpstr>Movies!Names_Searchbase</vt:lpstr>
      <vt:lpstr>Number_Seats</vt:lpstr>
      <vt:lpstr>Invoice!Paper_Pack</vt:lpstr>
      <vt:lpstr>Percent_Downtown</vt:lpstr>
      <vt:lpstr>Percent_Lakeshore</vt:lpstr>
      <vt:lpstr>Insurance!Percent_Total</vt:lpstr>
      <vt:lpstr>Percent_total</vt:lpstr>
      <vt:lpstr>Percent_Uptown</vt:lpstr>
      <vt:lpstr>Premium_Downtown</vt:lpstr>
      <vt:lpstr>Premium_SUM</vt:lpstr>
      <vt:lpstr>Premium_total</vt:lpstr>
      <vt:lpstr>Invoice!Printer_Ink</vt:lpstr>
      <vt:lpstr>Qiu</vt:lpstr>
      <vt:lpstr>Quantity</vt:lpstr>
      <vt:lpstr>Quantity_File</vt:lpstr>
      <vt:lpstr>Quantity_Paper</vt:lpstr>
      <vt:lpstr>Quantity_Printer</vt:lpstr>
      <vt:lpstr>Quantity_USB</vt:lpstr>
      <vt:lpstr>Movies!Rank</vt:lpstr>
      <vt:lpstr>Rank_Name</vt:lpstr>
      <vt:lpstr>Movies!Rank_Number</vt:lpstr>
      <vt:lpstr>Rating_Array</vt:lpstr>
      <vt:lpstr>Invoice!Sale_File</vt:lpstr>
      <vt:lpstr>Invoice!Sale_Paper</vt:lpstr>
      <vt:lpstr>Sale_Paper</vt:lpstr>
      <vt:lpstr>Invoice!Sale_Printer</vt:lpstr>
      <vt:lpstr>Invoice!Sale_USB</vt:lpstr>
      <vt:lpstr>Movies!Searchbase</vt:lpstr>
      <vt:lpstr>Invoice!Subtotal</vt:lpstr>
      <vt:lpstr>SUM_Allocations</vt:lpstr>
      <vt:lpstr>TAX</vt:lpstr>
      <vt:lpstr>Time_Double_Abner</vt:lpstr>
      <vt:lpstr>Time_Double_Bolean</vt:lpstr>
      <vt:lpstr>Time_Double_Diep</vt:lpstr>
      <vt:lpstr>Time_Double_Forrest</vt:lpstr>
      <vt:lpstr>Time_Double_Henderson</vt:lpstr>
      <vt:lpstr>Time_Double_Irons</vt:lpstr>
      <vt:lpstr>Time_Double_Karim</vt:lpstr>
      <vt:lpstr>Time_Double_Qiu</vt:lpstr>
      <vt:lpstr>Time_Double_Viegas</vt:lpstr>
      <vt:lpstr>Payroll!Time_Half_Abner</vt:lpstr>
      <vt:lpstr>Time_Half_Bolean</vt:lpstr>
      <vt:lpstr>Time_Half_Diep</vt:lpstr>
      <vt:lpstr>Time_Half_Forrest</vt:lpstr>
      <vt:lpstr>Time_Half_Henderson</vt:lpstr>
      <vt:lpstr>Time_Half_Irons</vt:lpstr>
      <vt:lpstr>Time_Half_Karim</vt:lpstr>
      <vt:lpstr>Time_Half_Qiu</vt:lpstr>
      <vt:lpstr>Time_Half_Viegas</vt:lpstr>
      <vt:lpstr>Total</vt:lpstr>
      <vt:lpstr>Payroll!Total_Abner</vt:lpstr>
      <vt:lpstr>Payroll!Total_Bolean</vt:lpstr>
      <vt:lpstr>Payroll!Total_Diep</vt:lpstr>
      <vt:lpstr>Payroll!Total_Forrest</vt:lpstr>
      <vt:lpstr>Payroll!Total_Henderson</vt:lpstr>
      <vt:lpstr>Total_Insurance</vt:lpstr>
      <vt:lpstr>Total_Insurance_Premium</vt:lpstr>
      <vt:lpstr>Payroll!Total_Irons</vt:lpstr>
      <vt:lpstr>Payroll!Total_Karim</vt:lpstr>
      <vt:lpstr>Payroll!Total_pay</vt:lpstr>
      <vt:lpstr>Payroll!Total_Qiu</vt:lpstr>
      <vt:lpstr>Total_Seats</vt:lpstr>
      <vt:lpstr>Payroll!Total_Viegas</vt:lpstr>
      <vt:lpstr>Unit_File</vt:lpstr>
      <vt:lpstr>Unit_Paper</vt:lpstr>
      <vt:lpstr>Unit_price</vt:lpstr>
      <vt:lpstr>Unit_Printer</vt:lpstr>
      <vt:lpstr>Unit_USB</vt:lpstr>
      <vt:lpstr>Uptown_premium</vt:lpstr>
      <vt:lpstr>Movies!Uptown_Seat</vt:lpstr>
      <vt:lpstr>Uptown_seat</vt:lpstr>
      <vt:lpstr>Invoice!USB_cables</vt:lpstr>
      <vt:lpstr>Viegas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2020-02-03T05:54:59Z</dcterms:modified>
</cp:coreProperties>
</file>