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ala.ahmed\Desktop\"/>
    </mc:Choice>
  </mc:AlternateContent>
  <xr:revisionPtr revIDLastSave="0" documentId="13_ncr:1_{25E2EDA7-7D30-4EA9-843F-94EA16E82760}" xr6:coauthVersionLast="47" xr6:coauthVersionMax="47" xr10:uidLastSave="{00000000-0000-0000-0000-000000000000}"/>
  <bookViews>
    <workbookView xWindow="-120" yWindow="-120" windowWidth="29040" windowHeight="15720" xr2:uid="{56D808B7-2BF9-47BC-AEA4-6325A47109B2}"/>
  </bookViews>
  <sheets>
    <sheet name="Flexible Payments" sheetId="4" r:id="rId1"/>
    <sheet name="Data" sheetId="5" state="hidden" r:id="rId2"/>
  </sheets>
  <definedNames>
    <definedName name="___1__123Graph_ACHART_1" hidden="1">#REF!</definedName>
    <definedName name="___2__123Graph_BCHART_1" hidden="1">#REF!</definedName>
    <definedName name="___3__123Graph_XCHART_1" hidden="1">#REF!</definedName>
    <definedName name="__1__123Graph_ACHART_1" hidden="1">#REF!</definedName>
    <definedName name="__123Graph_A" localSheetId="0" hidden="1">#REF!</definedName>
    <definedName name="__123Graph_A" hidden="1">#REF!</definedName>
    <definedName name="__123Graph_ACURRENT" hidden="1">#REF!</definedName>
    <definedName name="__123Graph_C" localSheetId="0" hidden="1">#REF!</definedName>
    <definedName name="__123Graph_C" hidden="1">#REF!</definedName>
    <definedName name="__2__123Graph_BCHART_1" hidden="1">#REF!</definedName>
    <definedName name="__3__123Graph_XCHART_1" hidden="1">#REF!</definedName>
    <definedName name="_1__123Graph_ACHART_1" hidden="1">#REF!</definedName>
    <definedName name="_10__123Graph_BCHART_1" hidden="1">#REF!</definedName>
    <definedName name="_15__123Graph_XCHART_1" hidden="1">#REF!</definedName>
    <definedName name="_2__123Graph_BCHART_1" hidden="1">#REF!</definedName>
    <definedName name="_3__123Graph_XCHART_1" hidden="1">#REF!</definedName>
    <definedName name="_5__123Graph_ACHART_1" hidden="1">#REF!</definedName>
    <definedName name="_Fill" localSheetId="0" hidden="1">#REF!</definedName>
    <definedName name="_Fill" hidden="1">#REF!</definedName>
    <definedName name="_Key1" hidden="1">#REF!</definedName>
    <definedName name="_Order1" hidden="1">0</definedName>
    <definedName name="_Sort" hidden="1">#REF!</definedName>
    <definedName name="_xlcn.WorksheetConnection_TheMatrix14MVD161204.xlsxTable11" hidden="1">#REF!</definedName>
    <definedName name="_xlcn.WorksheetConnection_TheMatrix14UTC160920.xlsxTable11" hidden="1">#REF!</definedName>
    <definedName name="aa" localSheetId="1" hidden="1">{#N/A,#N/A,FALSE,"Primary";#N/A,#N/A,FALSE,"Secondary";#N/A,#N/A,FALSE,"Latent";#N/A,#N/A,FALSE,"Demand Inputs";#N/A,#N/A,FALSE,"Supply Addn";#N/A,#N/A,FALSE,"Mkt Pen"}</definedName>
    <definedName name="aa" localSheetId="0" hidden="1">{#N/A,#N/A,FALSE,"Primary";#N/A,#N/A,FALSE,"Secondary";#N/A,#N/A,FALSE,"Latent";#N/A,#N/A,FALSE,"Demand Inputs";#N/A,#N/A,FALSE,"Supply Addn";#N/A,#N/A,FALSE,"Mkt Pen"}</definedName>
    <definedName name="aa" hidden="1">{#N/A,#N/A,FALSE,"Primary";#N/A,#N/A,FALSE,"Secondary";#N/A,#N/A,FALSE,"Latent";#N/A,#N/A,FALSE,"Demand Inputs";#N/A,#N/A,FALSE,"Supply Addn";#N/A,#N/A,FALSE,"Mkt Pen"}</definedName>
    <definedName name="AccessDatabase" hidden="1">"G:\EXCEL\PETTER\VAKANS\1996\VAK9609\VAK9609.mdb"</definedName>
    <definedName name="ghjh" hidden="1">#REF!</definedName>
    <definedName name="GROUP" hidden="1">"bissql"</definedName>
    <definedName name="h" hidden="1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Khaled" hidden="1">#REF!</definedName>
    <definedName name="kk" hidden="1">#REF!</definedName>
    <definedName name="ll" hidden="1">#REF!</definedName>
    <definedName name="NSI" localSheetId="1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NSI" localSheetId="0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NSI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perbolag" localSheetId="1" hidden="1">{#N/A,#N/A,FALSE,"intag";#N/A,#N/A,FALSE,"budg";#N/A,#N/A,FALSE,"samtl"}</definedName>
    <definedName name="perbolag" localSheetId="0" hidden="1">{#N/A,#N/A,FALSE,"intag";#N/A,#N/A,FALSE,"budg";#N/A,#N/A,FALSE,"samtl"}</definedName>
    <definedName name="perbolag" hidden="1">{#N/A,#N/A,FALSE,"intag";#N/A,#N/A,FALSE,"budg";#N/A,#N/A,FALSE,"samtl"}</definedName>
    <definedName name="perbolagneu" localSheetId="1" hidden="1">{#N/A,#N/A,FALSE,"intag";#N/A,#N/A,FALSE,"budg";#N/A,#N/A,FALSE,"samtl"}</definedName>
    <definedName name="perbolagneu" localSheetId="0" hidden="1">{#N/A,#N/A,FALSE,"intag";#N/A,#N/A,FALSE,"budg";#N/A,#N/A,FALSE,"samtl"}</definedName>
    <definedName name="perbolagneu" hidden="1">{#N/A,#N/A,FALSE,"intag";#N/A,#N/A,FALSE,"budg";#N/A,#N/A,FALSE,"samtl"}</definedName>
    <definedName name="READ" hidden="1">FALSE</definedName>
    <definedName name="SAPBEXrevision" hidden="1">3</definedName>
    <definedName name="SAPBEXsysID" hidden="1">"B01"</definedName>
    <definedName name="SAPBEXwbID" hidden="1">"1OKLBDAAGJ3NPBUSNNGRFDKQH"</definedName>
    <definedName name="sw" localSheetId="1" hidden="1">{"LTV Output",#N/A,FALSE,"Output";"DCR Output",#N/A,FALSE,"Output"}</definedName>
    <definedName name="sw" localSheetId="0" hidden="1">{"LTV Output",#N/A,FALSE,"Output";"DCR Output",#N/A,FALSE,"Output"}</definedName>
    <definedName name="sw" hidden="1">{"LTV Output",#N/A,FALSE,"Output";"DCR Output",#N/A,FALSE,"Output"}</definedName>
    <definedName name="V" hidden="1">#REF!</definedName>
    <definedName name="wrn.All._.Inputs." localSheetId="1" hidden="1">{#N/A,#N/A,FALSE,"Primary";#N/A,#N/A,FALSE,"Secondary";#N/A,#N/A,FALSE,"Latent";#N/A,#N/A,FALSE,"Demand Inputs";#N/A,#N/A,FALSE,"Supply Addn";#N/A,#N/A,FALSE,"Mkt Pen"}</definedName>
    <definedName name="wrn.All._.Inputs." localSheetId="0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Bakun._.Tender._.Evaluation." localSheetId="1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wrn.Bakun._.Tender._.Evaluation." localSheetId="0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wrn.Bakun._.Tender._.Evaluation.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wrn.BaseYearDemand." localSheetId="1" hidden="1">{"Base Year Demand",#N/A,FALSE,"Demand-Base Year"}</definedName>
    <definedName name="wrn.BaseYearDemand." localSheetId="0" hidden="1">{"Base Year Demand",#N/A,FALSE,"Demand-Base Year"}</definedName>
    <definedName name="wrn.BaseYearDemand." hidden="1">{"Base Year Demand",#N/A,FALSE,"Demand-Base Year"}</definedName>
    <definedName name="wrn.Both._.Outputs." localSheetId="1" hidden="1">{"LTV Output",#N/A,FALSE,"Output";"DCR Output",#N/A,FALSE,"Output"}</definedName>
    <definedName name="wrn.Both._.Outputs." localSheetId="0" hidden="1">{"LTV Output",#N/A,FALSE,"Output";"DCR Output",#N/A,FALSE,"Output"}</definedName>
    <definedName name="wrn.Both._.Outputs." hidden="1">{"LTV Output",#N/A,FALSE,"Output";"DCR Output",#N/A,FALSE,"Output"}</definedName>
    <definedName name="wrn.DCR._.Output." localSheetId="1" hidden="1">{"DCR Output",#N/A,FALSE,"Output"}</definedName>
    <definedName name="wrn.DCR._.Output." localSheetId="0" hidden="1">{"DCR Output",#N/A,FALSE,"Output"}</definedName>
    <definedName name="wrn.DCR._.Output." hidden="1">{"DCR Output",#N/A,FALSE,"Output"}</definedName>
    <definedName name="wrn.Demand._.Calcs." localSheetId="1" hidden="1">{#N/A,#N/A,FALSE,"Demand Calcs"}</definedName>
    <definedName name="wrn.Demand._.Calcs." localSheetId="0" hidden="1">{#N/A,#N/A,FALSE,"Demand Calcs"}</definedName>
    <definedName name="wrn.Demand._.Calcs." hidden="1">{#N/A,#N/A,FALSE,"Demand Calcs"}</definedName>
    <definedName name="wrn.Demand._.Inputs." localSheetId="1" hidden="1">{#N/A,#N/A,FALSE,"Demand Inputs"}</definedName>
    <definedName name="wrn.Demand._.Inputs." localSheetId="0" hidden="1">{#N/A,#N/A,FALSE,"Demand Inputs"}</definedName>
    <definedName name="wrn.Demand._.Inputs." hidden="1">{#N/A,#N/A,FALSE,"Demand Inputs"}</definedName>
    <definedName name="wrn.Fair._.Share._.Calcs." localSheetId="1" hidden="1">{#N/A,#N/A,FALSE,"Fair Share"}</definedName>
    <definedName name="wrn.Fair._.Share._.Calcs." localSheetId="0" hidden="1">{#N/A,#N/A,FALSE,"Fair Share"}</definedName>
    <definedName name="wrn.Fair._.Share._.Calcs." hidden="1">{#N/A,#N/A,FALSE,"Fair Share"}</definedName>
    <definedName name="wrn.Final._.Output." localSheetId="1" hidden="1">{#N/A,#N/A,FALSE,"Final Output"}</definedName>
    <definedName name="wrn.Final._.Output." localSheetId="0" hidden="1">{#N/A,#N/A,FALSE,"Final Output"}</definedName>
    <definedName name="wrn.Final._.Output." hidden="1">{#N/A,#N/A,FALSE,"Final Output"}</definedName>
    <definedName name="wrn.Inputs." localSheetId="1" hidden="1">{#N/A,#N/A,FALSE,"Input"}</definedName>
    <definedName name="wrn.Inputs." localSheetId="0" hidden="1">{#N/A,#N/A,FALSE,"Input"}</definedName>
    <definedName name="wrn.Inputs." hidden="1">{#N/A,#N/A,FALSE,"Input"}</definedName>
    <definedName name="wrn.Latent._.Demand._.Inputs." localSheetId="1" hidden="1">{#N/A,#N/A,FALSE,"Latent"}</definedName>
    <definedName name="wrn.Latent._.Demand._.Inputs." localSheetId="0" hidden="1">{#N/A,#N/A,FALSE,"Latent"}</definedName>
    <definedName name="wrn.Latent._.Demand._.Inputs." hidden="1">{#N/A,#N/A,FALSE,"Latent"}</definedName>
    <definedName name="wrn.LTV._.Output." localSheetId="1" hidden="1">{"LTV Output",#N/A,FALSE,"Output"}</definedName>
    <definedName name="wrn.LTV._.Output." localSheetId="0" hidden="1">{"LTV Output",#N/A,FALSE,"Output"}</definedName>
    <definedName name="wrn.LTV._.Output." hidden="1">{"LTV Output",#N/A,FALSE,"Output"}</definedName>
    <definedName name="wrn.Occupancy._.Calcs." localSheetId="1" hidden="1">{#N/A,#N/A,FALSE,"Occ. Calcs"}</definedName>
    <definedName name="wrn.Occupancy._.Calcs." localSheetId="0" hidden="1">{#N/A,#N/A,FALSE,"Occ. Calcs"}</definedName>
    <definedName name="wrn.Occupancy._.Calcs." hidden="1">{#N/A,#N/A,FALSE,"Occ. Calcs"}</definedName>
    <definedName name="wrn.Penetration." localSheetId="1" hidden="1">{#N/A,#N/A,FALSE,"Mkt Pen"}</definedName>
    <definedName name="wrn.Penetration." localSheetId="0" hidden="1">{#N/A,#N/A,FALSE,"Mkt Pen"}</definedName>
    <definedName name="wrn.Penetration." hidden="1">{#N/A,#N/A,FALSE,"Mkt Pen"}</definedName>
    <definedName name="wrn.pr3sty." localSheetId="1" hidden="1">{#N/A,#N/A,FALSE,"intag";#N/A,#N/A,FALSE,"budg";#N/A,#N/A,FALSE,"samtl"}</definedName>
    <definedName name="wrn.pr3sty." localSheetId="0" hidden="1">{#N/A,#N/A,FALSE,"intag";#N/A,#N/A,FALSE,"budg";#N/A,#N/A,FALSE,"samtl"}</definedName>
    <definedName name="wrn.pr3sty." hidden="1">{#N/A,#N/A,FALSE,"intag";#N/A,#N/A,FALSE,"budg";#N/A,#N/A,FALSE,"samtl"}</definedName>
    <definedName name="wrn.pr3sty.neu" localSheetId="1" hidden="1">{#N/A,#N/A,FALSE,"intag";#N/A,#N/A,FALSE,"budg";#N/A,#N/A,FALSE,"samtl"}</definedName>
    <definedName name="wrn.pr3sty.neu" localSheetId="0" hidden="1">{#N/A,#N/A,FALSE,"intag";#N/A,#N/A,FALSE,"budg";#N/A,#N/A,FALSE,"samtl"}</definedName>
    <definedName name="wrn.pr3sty.neu" hidden="1">{#N/A,#N/A,FALSE,"intag";#N/A,#N/A,FALSE,"budg";#N/A,#N/A,FALSE,"samtl"}</definedName>
    <definedName name="wrn.Primary._.Competition." localSheetId="1" hidden="1">{#N/A,#N/A,FALSE,"Primary"}</definedName>
    <definedName name="wrn.Primary._.Competition." localSheetId="0" hidden="1">{#N/A,#N/A,FALSE,"Primary"}</definedName>
    <definedName name="wrn.Primary._.Competition." hidden="1">{#N/A,#N/A,FALSE,"Primary"}</definedName>
    <definedName name="wrn.Printing." localSheetId="1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Printing." localSheetId="0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Secondary._.Competition." localSheetId="1" hidden="1">{#N/A,#N/A,FALSE,"Secondary"}</definedName>
    <definedName name="wrn.Secondary._.Competition." localSheetId="0" hidden="1">{#N/A,#N/A,FALSE,"Secondary"}</definedName>
    <definedName name="wrn.Secondary._.Competition." hidden="1">{#N/A,#N/A,FALSE,"Secondary"}</definedName>
    <definedName name="wrn.Supply._.Additions." localSheetId="1" hidden="1">{#N/A,#N/A,FALSE,"Supply Addn"}</definedName>
    <definedName name="wrn.Supply._.Additions." localSheetId="0" hidden="1">{#N/A,#N/A,FALSE,"Supply Addn"}</definedName>
    <definedName name="wrn.Supply._.Additions." hidden="1">{#N/A,#N/A,FALSE,"Supply Addn"}</definedName>
    <definedName name="Z_0E5612F1_1C5C_4147_BE42_908BDE0B1405_.wvu.FilterData" localSheetId="1" hidden="1">#REF!</definedName>
    <definedName name="Z_0E5612F1_1C5C_4147_BE42_908BDE0B1405_.wvu.FilterData" localSheetId="0" hidden="1">#REF!</definedName>
    <definedName name="Z_0E5612F1_1C5C_4147_BE42_908BDE0B1405_.wvu.FilterData" hidden="1">#REF!</definedName>
    <definedName name="Z_0E5612F1_1C5C_4147_BE42_908BDE0B1405_.wvu.PrintTitles" localSheetId="1" hidden="1">#REF!</definedName>
    <definedName name="Z_0E5612F1_1C5C_4147_BE42_908BDE0B1405_.wvu.PrintTitles" localSheetId="0" hidden="1">#REF!</definedName>
    <definedName name="Z_0E5612F1_1C5C_4147_BE42_908BDE0B1405_.wvu.PrintTitles" hidden="1">#REF!</definedName>
    <definedName name="Z_893D3CDD_E6EC_4FBE_9F4B_7C063AADDAA3_.wvu.FilterData" localSheetId="1" hidden="1">#REF!</definedName>
    <definedName name="Z_893D3CDD_E6EC_4FBE_9F4B_7C063AADDAA3_.wvu.FilterData" localSheetId="0" hidden="1">#REF!</definedName>
    <definedName name="Z_893D3CDD_E6EC_4FBE_9F4B_7C063AADDAA3_.wvu.FilterData" hidden="1">#REF!</definedName>
    <definedName name="Z_893D3CDD_E6EC_4FBE_9F4B_7C063AADDAA3_.wvu.PrintTitles" localSheetId="0" hidden="1">#REF!</definedName>
    <definedName name="Z_893D3CDD_E6EC_4FBE_9F4B_7C063AADDAA3_.wvu.PrintTitles" hidden="1">#REF!</definedName>
    <definedName name="Z_893D3CDD_E6EC_4FBE_9F4B_7C063AADDAA3_.wvu.Rows" localSheetId="0" hidden="1">#REF!</definedName>
    <definedName name="Z_893D3CDD_E6EC_4FBE_9F4B_7C063AADDAA3_.wvu.Rows" hidden="1">#REF!</definedName>
    <definedName name="Z_911FCEE4_2CBF_4A90_9E55_ED72CBEECF9A_.wvu.FilterData" localSheetId="0" hidden="1">#REF!</definedName>
    <definedName name="Z_911FCEE4_2CBF_4A90_9E55_ED72CBEECF9A_.wvu.FilterData" hidden="1">#REF!</definedName>
    <definedName name="Z_C4987C22_A4BC_4088_8093_02A2E532FBED_.wvu.FilterData" localSheetId="0" hidden="1">#REF!</definedName>
    <definedName name="Z_C4987C22_A4BC_4088_8093_02A2E532FBED_.wvu.FilterData" hidden="1">#REF!</definedName>
    <definedName name="Z_C4987C22_A4BC_4088_8093_02A2E532FBED_.wvu.PrintTitles" localSheetId="0" hidden="1">#REF!</definedName>
    <definedName name="Z_C4987C22_A4BC_4088_8093_02A2E532FBED_.wvu.PrintTitles" hidden="1">#REF!</definedName>
    <definedName name="Z_F8A287BF_980C_4986_B08C_54EAB9AA17CB_.wvu.FilterData" localSheetId="0" hidden="1">#REF!</definedName>
    <definedName name="Z_F8A287BF_980C_4986_B08C_54EAB9AA17CB_.wvu.FilterData" hidden="1">#REF!</definedName>
    <definedName name="Z_F8A287BF_980C_4986_B08C_54EAB9AA17CB_.wvu.PrintTitles" localSheetId="0" hidden="1">#REF!</definedName>
    <definedName name="Z_F8A287BF_980C_4986_B08C_54EAB9AA17CB_.wvu.PrintTitles" hidden="1">#REF!</definedName>
    <definedName name="ZZZZZZZZZZZZZZ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Q4" i="4"/>
  <c r="CZ6" i="5" l="1"/>
  <c r="CZ7" i="5"/>
  <c r="CZ8" i="5"/>
  <c r="CZ9" i="5"/>
  <c r="CZ10" i="5"/>
  <c r="CZ11" i="5"/>
  <c r="CZ12" i="5"/>
  <c r="CZ13" i="5"/>
  <c r="CZ14" i="5"/>
  <c r="CZ15" i="5"/>
  <c r="CZ16" i="5"/>
  <c r="CZ17" i="5"/>
  <c r="CZ18" i="5"/>
  <c r="CZ19" i="5"/>
  <c r="CZ20" i="5"/>
  <c r="CZ21" i="5"/>
  <c r="CZ22" i="5"/>
  <c r="CZ23" i="5"/>
  <c r="CZ24" i="5"/>
  <c r="CZ25" i="5"/>
  <c r="CZ26" i="5"/>
  <c r="CZ27" i="5"/>
  <c r="CZ28" i="5"/>
  <c r="CZ29" i="5"/>
  <c r="CZ30" i="5"/>
  <c r="CZ31" i="5"/>
  <c r="CZ32" i="5"/>
  <c r="CZ33" i="5"/>
  <c r="CZ34" i="5"/>
  <c r="CZ35" i="5"/>
  <c r="P13" i="4"/>
  <c r="P12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C21" i="4"/>
  <c r="C11" i="4"/>
  <c r="C10" i="4"/>
  <c r="C9" i="4"/>
  <c r="C6" i="4"/>
  <c r="C15" i="4" l="1"/>
  <c r="C8" i="4"/>
  <c r="C5" i="4"/>
  <c r="B17" i="4"/>
  <c r="C17" i="4"/>
  <c r="C4" i="4"/>
  <c r="I3" i="4"/>
  <c r="DM35" i="5"/>
  <c r="DL35" i="5"/>
  <c r="DK35" i="5"/>
  <c r="DH35" i="5"/>
  <c r="CG35" i="5"/>
  <c r="AM35" i="5"/>
  <c r="DM34" i="5"/>
  <c r="DL34" i="5"/>
  <c r="DK34" i="5"/>
  <c r="DH34" i="5"/>
  <c r="CG34" i="5"/>
  <c r="AM34" i="5"/>
  <c r="DM33" i="5"/>
  <c r="DL33" i="5"/>
  <c r="DK33" i="5"/>
  <c r="DH33" i="5"/>
  <c r="CG33" i="5"/>
  <c r="AM33" i="5"/>
  <c r="DM32" i="5"/>
  <c r="DL32" i="5"/>
  <c r="DK32" i="5"/>
  <c r="DH32" i="5"/>
  <c r="CG32" i="5"/>
  <c r="AM32" i="5"/>
  <c r="DM31" i="5"/>
  <c r="DL31" i="5"/>
  <c r="DK31" i="5"/>
  <c r="DH31" i="5"/>
  <c r="CG31" i="5"/>
  <c r="AM31" i="5"/>
  <c r="DM30" i="5"/>
  <c r="DL30" i="5"/>
  <c r="DK30" i="5"/>
  <c r="DH30" i="5"/>
  <c r="CG30" i="5"/>
  <c r="AM30" i="5"/>
  <c r="DM29" i="5"/>
  <c r="DL29" i="5"/>
  <c r="DK29" i="5"/>
  <c r="DH29" i="5"/>
  <c r="CG29" i="5"/>
  <c r="AM29" i="5"/>
  <c r="DM28" i="5"/>
  <c r="DL28" i="5"/>
  <c r="DK28" i="5"/>
  <c r="DH28" i="5"/>
  <c r="CG28" i="5"/>
  <c r="AM28" i="5"/>
  <c r="DM27" i="5"/>
  <c r="DL27" i="5"/>
  <c r="DK27" i="5"/>
  <c r="DH27" i="5"/>
  <c r="CG27" i="5"/>
  <c r="AM27" i="5"/>
  <c r="DM26" i="5"/>
  <c r="DL26" i="5"/>
  <c r="DK26" i="5"/>
  <c r="DH26" i="5"/>
  <c r="CG26" i="5"/>
  <c r="AM26" i="5"/>
  <c r="DM25" i="5"/>
  <c r="DL25" i="5"/>
  <c r="DK25" i="5"/>
  <c r="DH25" i="5"/>
  <c r="CG25" i="5"/>
  <c r="AM25" i="5"/>
  <c r="DM24" i="5"/>
  <c r="DL24" i="5"/>
  <c r="DK24" i="5"/>
  <c r="DH24" i="5"/>
  <c r="CG24" i="5"/>
  <c r="AM24" i="5"/>
  <c r="DM23" i="5"/>
  <c r="DL23" i="5"/>
  <c r="DK23" i="5"/>
  <c r="DH23" i="5"/>
  <c r="CG23" i="5"/>
  <c r="AM23" i="5"/>
  <c r="DM22" i="5"/>
  <c r="DL22" i="5"/>
  <c r="DK22" i="5"/>
  <c r="DH22" i="5"/>
  <c r="CG22" i="5"/>
  <c r="AM22" i="5"/>
  <c r="DM21" i="5"/>
  <c r="DL21" i="5"/>
  <c r="DK21" i="5"/>
  <c r="DH21" i="5"/>
  <c r="CG21" i="5"/>
  <c r="AM21" i="5"/>
  <c r="DM20" i="5"/>
  <c r="DL20" i="5"/>
  <c r="DK20" i="5"/>
  <c r="DH20" i="5"/>
  <c r="CG20" i="5"/>
  <c r="AM20" i="5"/>
  <c r="DM19" i="5"/>
  <c r="DL19" i="5"/>
  <c r="DK19" i="5"/>
  <c r="DH19" i="5"/>
  <c r="CG19" i="5"/>
  <c r="AM19" i="5"/>
  <c r="DM18" i="5"/>
  <c r="DL18" i="5"/>
  <c r="DK18" i="5"/>
  <c r="DH18" i="5"/>
  <c r="CG18" i="5"/>
  <c r="AM18" i="5"/>
  <c r="DM17" i="5"/>
  <c r="DL17" i="5"/>
  <c r="DK17" i="5"/>
  <c r="DH17" i="5"/>
  <c r="CG17" i="5"/>
  <c r="AM17" i="5"/>
  <c r="DM16" i="5"/>
  <c r="DL16" i="5"/>
  <c r="DK16" i="5"/>
  <c r="DH16" i="5"/>
  <c r="CG16" i="5"/>
  <c r="AM16" i="5"/>
  <c r="DM15" i="5"/>
  <c r="DL15" i="5"/>
  <c r="DK15" i="5"/>
  <c r="DH15" i="5"/>
  <c r="CG15" i="5"/>
  <c r="AM15" i="5"/>
  <c r="DM14" i="5"/>
  <c r="DL14" i="5"/>
  <c r="DK14" i="5"/>
  <c r="DH14" i="5"/>
  <c r="CG14" i="5"/>
  <c r="AM14" i="5"/>
  <c r="DM13" i="5"/>
  <c r="DL13" i="5"/>
  <c r="DK13" i="5"/>
  <c r="DH13" i="5"/>
  <c r="CG13" i="5"/>
  <c r="AM13" i="5"/>
  <c r="DM12" i="5"/>
  <c r="DL12" i="5"/>
  <c r="DK12" i="5"/>
  <c r="DH12" i="5"/>
  <c r="CG12" i="5"/>
  <c r="AM12" i="5"/>
  <c r="DM11" i="5"/>
  <c r="DL11" i="5"/>
  <c r="DK11" i="5"/>
  <c r="DH11" i="5"/>
  <c r="CG11" i="5"/>
  <c r="AM11" i="5"/>
  <c r="DM10" i="5"/>
  <c r="DL10" i="5"/>
  <c r="DK10" i="5"/>
  <c r="DH10" i="5"/>
  <c r="CG10" i="5"/>
  <c r="AM10" i="5"/>
  <c r="DM9" i="5"/>
  <c r="DL9" i="5"/>
  <c r="DK9" i="5"/>
  <c r="DH9" i="5"/>
  <c r="CG9" i="5"/>
  <c r="AM9" i="5"/>
  <c r="DM8" i="5"/>
  <c r="DL8" i="5"/>
  <c r="DK8" i="5"/>
  <c r="DH8" i="5"/>
  <c r="CG8" i="5"/>
  <c r="AM8" i="5"/>
  <c r="DM7" i="5"/>
  <c r="DL7" i="5"/>
  <c r="DK7" i="5"/>
  <c r="DH7" i="5"/>
  <c r="CG7" i="5"/>
  <c r="AM7" i="5"/>
  <c r="DM6" i="5"/>
  <c r="DL6" i="5"/>
  <c r="DK6" i="5"/>
  <c r="DH6" i="5"/>
  <c r="CG6" i="5"/>
  <c r="AM6" i="5"/>
  <c r="DN4" i="5"/>
  <c r="DI4" i="5"/>
  <c r="DK2" i="5"/>
  <c r="BK2" i="5"/>
  <c r="DJ1" i="5"/>
  <c r="DH1" i="5"/>
  <c r="BK1" i="5"/>
  <c r="S11" i="4" l="1"/>
  <c r="DK1" i="5"/>
  <c r="DJ2" i="5" s="1"/>
  <c r="R11" i="4"/>
  <c r="DI1" i="5"/>
  <c r="DH2" i="5" s="1"/>
  <c r="DN6" i="5"/>
  <c r="DI6" i="5"/>
  <c r="DN7" i="5"/>
  <c r="DI7" i="5"/>
  <c r="DN8" i="5"/>
  <c r="DI8" i="5"/>
  <c r="DN9" i="5"/>
  <c r="DI9" i="5"/>
  <c r="DN10" i="5"/>
  <c r="DI10" i="5"/>
  <c r="DN11" i="5"/>
  <c r="DI11" i="5"/>
  <c r="DN12" i="5"/>
  <c r="DI12" i="5"/>
  <c r="DN13" i="5"/>
  <c r="DI13" i="5"/>
  <c r="DN14" i="5"/>
  <c r="DI14" i="5"/>
  <c r="DN15" i="5"/>
  <c r="DI15" i="5"/>
  <c r="DN16" i="5"/>
  <c r="DI16" i="5"/>
  <c r="DN17" i="5"/>
  <c r="DI17" i="5"/>
  <c r="DN18" i="5"/>
  <c r="DI18" i="5"/>
  <c r="DN19" i="5"/>
  <c r="DI19" i="5"/>
  <c r="DN20" i="5"/>
  <c r="DI20" i="5"/>
  <c r="DN21" i="5"/>
  <c r="DI21" i="5"/>
  <c r="DN22" i="5"/>
  <c r="DI22" i="5"/>
  <c r="DN23" i="5"/>
  <c r="DI23" i="5"/>
  <c r="DN24" i="5"/>
  <c r="DI24" i="5"/>
  <c r="DN25" i="5"/>
  <c r="DI25" i="5"/>
  <c r="DN26" i="5"/>
  <c r="DI26" i="5"/>
  <c r="DN27" i="5"/>
  <c r="DI27" i="5"/>
  <c r="DN28" i="5"/>
  <c r="DI28" i="5"/>
  <c r="DN29" i="5"/>
  <c r="DI29" i="5"/>
  <c r="DN30" i="5"/>
  <c r="DI30" i="5"/>
  <c r="DN31" i="5"/>
  <c r="DI31" i="5"/>
  <c r="DN32" i="5"/>
  <c r="DI32" i="5"/>
  <c r="DN33" i="5"/>
  <c r="DI33" i="5"/>
  <c r="DN34" i="5"/>
  <c r="DI34" i="5"/>
  <c r="DN35" i="5"/>
  <c r="DI35" i="5"/>
  <c r="DJ31" i="5" l="1"/>
  <c r="DJ30" i="5"/>
  <c r="DJ27" i="5"/>
  <c r="DJ26" i="5"/>
  <c r="DJ24" i="5"/>
  <c r="DI2" i="5"/>
  <c r="DH3" i="5" s="1"/>
  <c r="DI3" i="5" l="1"/>
  <c r="DH4" i="5" s="1"/>
  <c r="DJ35" i="5"/>
  <c r="DJ34" i="5"/>
  <c r="DJ33" i="5"/>
  <c r="DJ32" i="5"/>
  <c r="DJ29" i="5"/>
  <c r="DJ28" i="5"/>
  <c r="DJ25" i="5"/>
  <c r="DJ23" i="5"/>
  <c r="DJ22" i="5"/>
  <c r="DJ21" i="5"/>
  <c r="DJ20" i="5"/>
  <c r="DJ19" i="5"/>
  <c r="DJ18" i="5"/>
  <c r="DJ17" i="5"/>
  <c r="DJ16" i="5"/>
  <c r="DJ15" i="5"/>
  <c r="DJ14" i="5"/>
  <c r="DJ13" i="5"/>
  <c r="DJ12" i="5"/>
  <c r="DJ11" i="5"/>
  <c r="DJ10" i="5"/>
  <c r="DJ9" i="5"/>
  <c r="DJ8" i="5"/>
  <c r="DJ7" i="5"/>
  <c r="DJ6" i="5"/>
  <c r="J3" i="4" l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E5" i="4"/>
  <c r="M3" i="4" l="1"/>
  <c r="L3" i="4"/>
  <c r="E6" i="4"/>
  <c r="M6" i="4" l="1"/>
  <c r="L6" i="4"/>
  <c r="M5" i="4"/>
  <c r="L5" i="4"/>
  <c r="M4" i="4"/>
  <c r="L4" i="4"/>
  <c r="I4" i="4"/>
  <c r="I5" i="4" s="1"/>
  <c r="E7" i="4"/>
  <c r="I6" i="4" l="1"/>
  <c r="E8" i="4"/>
  <c r="M7" i="4" l="1"/>
  <c r="L7" i="4"/>
  <c r="I7" i="4"/>
  <c r="E9" i="4"/>
  <c r="M8" i="4" l="1"/>
  <c r="L8" i="4"/>
  <c r="I8" i="4"/>
  <c r="E10" i="4"/>
  <c r="M9" i="4"/>
  <c r="I9" i="4" l="1"/>
  <c r="E11" i="4"/>
  <c r="M10" i="4"/>
  <c r="I10" i="4" l="1"/>
  <c r="E12" i="4"/>
  <c r="M11" i="4"/>
  <c r="I11" i="4" l="1"/>
  <c r="E13" i="4"/>
  <c r="M12" i="4" l="1"/>
  <c r="I12" i="4"/>
  <c r="E14" i="4"/>
  <c r="M13" i="4" l="1"/>
  <c r="L13" i="4"/>
  <c r="I13" i="4"/>
  <c r="E15" i="4"/>
  <c r="M14" i="4" l="1"/>
  <c r="L14" i="4"/>
  <c r="I14" i="4"/>
  <c r="E16" i="4"/>
  <c r="M15" i="4" l="1"/>
  <c r="L15" i="4"/>
  <c r="I15" i="4"/>
  <c r="E17" i="4"/>
  <c r="M16" i="4" l="1"/>
  <c r="L16" i="4"/>
  <c r="I16" i="4"/>
  <c r="E18" i="4"/>
  <c r="M17" i="4" l="1"/>
  <c r="L17" i="4"/>
  <c r="I17" i="4"/>
  <c r="E19" i="4"/>
  <c r="M18" i="4" l="1"/>
  <c r="L18" i="4"/>
  <c r="I18" i="4"/>
  <c r="E20" i="4"/>
  <c r="M19" i="4" l="1"/>
  <c r="L19" i="4"/>
  <c r="I19" i="4"/>
  <c r="E21" i="4"/>
  <c r="M20" i="4" l="1"/>
  <c r="L20" i="4"/>
  <c r="I20" i="4"/>
  <c r="E22" i="4"/>
  <c r="M21" i="4" l="1"/>
  <c r="L21" i="4"/>
  <c r="I21" i="4"/>
  <c r="E23" i="4"/>
  <c r="M22" i="4" l="1"/>
  <c r="L22" i="4"/>
  <c r="I22" i="4"/>
  <c r="E24" i="4"/>
  <c r="M23" i="4" l="1"/>
  <c r="L23" i="4"/>
  <c r="I23" i="4"/>
  <c r="E25" i="4"/>
  <c r="M24" i="4" l="1"/>
  <c r="L24" i="4"/>
  <c r="I24" i="4"/>
  <c r="E26" i="4"/>
  <c r="M25" i="4" l="1"/>
  <c r="L25" i="4"/>
  <c r="I25" i="4"/>
  <c r="E27" i="4"/>
  <c r="M26" i="4" l="1"/>
  <c r="L26" i="4"/>
  <c r="I26" i="4"/>
  <c r="E28" i="4"/>
  <c r="M27" i="4" l="1"/>
  <c r="L27" i="4"/>
  <c r="I27" i="4"/>
  <c r="E29" i="4"/>
  <c r="M28" i="4" l="1"/>
  <c r="L28" i="4"/>
  <c r="I28" i="4"/>
  <c r="E30" i="4"/>
  <c r="M29" i="4" l="1"/>
  <c r="L29" i="4"/>
  <c r="I29" i="4"/>
  <c r="E31" i="4"/>
  <c r="M30" i="4" l="1"/>
  <c r="L30" i="4"/>
  <c r="I30" i="4"/>
  <c r="E32" i="4"/>
  <c r="M31" i="4" l="1"/>
  <c r="L31" i="4"/>
  <c r="I31" i="4"/>
  <c r="E33" i="4"/>
  <c r="M32" i="4" l="1"/>
  <c r="L32" i="4"/>
  <c r="I32" i="4"/>
  <c r="E34" i="4"/>
  <c r="M33" i="4" l="1"/>
  <c r="L33" i="4"/>
  <c r="I33" i="4"/>
  <c r="E35" i="4"/>
  <c r="M34" i="4" l="1"/>
  <c r="L34" i="4"/>
  <c r="I34" i="4"/>
  <c r="M35" i="4" l="1"/>
  <c r="L35" i="4"/>
  <c r="I35" i="4"/>
  <c r="J4" i="4"/>
  <c r="J5" i="4" l="1"/>
  <c r="J7" i="4"/>
  <c r="J6" i="4"/>
  <c r="J8" i="4" l="1"/>
  <c r="J9" i="4"/>
  <c r="J10" i="4" l="1"/>
  <c r="J11" i="4" l="1"/>
  <c r="J15" i="4" l="1"/>
  <c r="J14" i="4"/>
  <c r="J13" i="4"/>
  <c r="J16" i="4"/>
  <c r="J12" i="4"/>
  <c r="J17" i="4" l="1"/>
  <c r="J18" i="4" l="1"/>
  <c r="J19" i="4" l="1"/>
  <c r="J20" i="4" l="1"/>
  <c r="J22" i="4" l="1"/>
  <c r="J21" i="4"/>
  <c r="J23" i="4"/>
  <c r="J24" i="4" l="1"/>
  <c r="J26" i="4" l="1"/>
  <c r="J25" i="4"/>
  <c r="J27" i="4" l="1"/>
  <c r="J29" i="4" l="1"/>
  <c r="J28" i="4"/>
  <c r="J30" i="4" l="1"/>
  <c r="J32" i="4" l="1"/>
  <c r="J31" i="4"/>
  <c r="J33" i="4" l="1"/>
  <c r="R4" i="4"/>
  <c r="C19" i="4" s="1"/>
  <c r="C18" i="4" l="1"/>
  <c r="C22" i="4" s="1"/>
  <c r="L12" i="4" s="1"/>
  <c r="J35" i="4"/>
  <c r="J34" i="4"/>
  <c r="L11" i="4" l="1"/>
  <c r="L10" i="4"/>
  <c r="L9" i="4"/>
  <c r="H15" i="4"/>
  <c r="H31" i="4"/>
  <c r="H34" i="4"/>
  <c r="H30" i="4"/>
  <c r="H27" i="4"/>
  <c r="H8" i="4"/>
  <c r="H24" i="4"/>
  <c r="H9" i="4"/>
  <c r="H13" i="4"/>
  <c r="H17" i="4"/>
  <c r="H22" i="4"/>
  <c r="H14" i="4"/>
  <c r="H4" i="4"/>
  <c r="H7" i="4"/>
  <c r="H28" i="4"/>
  <c r="H20" i="4"/>
  <c r="H16" i="4"/>
  <c r="H29" i="4"/>
  <c r="H33" i="4"/>
  <c r="H32" i="4"/>
  <c r="H6" i="4"/>
  <c r="H25" i="4"/>
  <c r="H3" i="4"/>
  <c r="H23" i="4"/>
  <c r="H19" i="4"/>
  <c r="H35" i="4"/>
  <c r="H21" i="4"/>
  <c r="H26" i="4"/>
  <c r="H10" i="4"/>
  <c r="H18" i="4"/>
  <c r="H5" i="4"/>
  <c r="H11" i="4"/>
  <c r="H12" i="4"/>
  <c r="Q5" i="4" l="1"/>
  <c r="C24" i="4"/>
</calcChain>
</file>

<file path=xl/sharedStrings.xml><?xml version="1.0" encoding="utf-8"?>
<sst xmlns="http://schemas.openxmlformats.org/spreadsheetml/2006/main" count="853" uniqueCount="231">
  <si>
    <t>NPV</t>
  </si>
  <si>
    <t xml:space="preserve"> </t>
  </si>
  <si>
    <t>D.P</t>
  </si>
  <si>
    <t>Tenor yrs.</t>
  </si>
  <si>
    <t>Delivery Payment</t>
  </si>
  <si>
    <t>Interest Rate</t>
  </si>
  <si>
    <t>Contract Date</t>
  </si>
  <si>
    <t>Delivery Date</t>
  </si>
  <si>
    <t>NPV% (Increase)</t>
  </si>
  <si>
    <t>Color Key ---&gt;</t>
  </si>
  <si>
    <t>Input</t>
  </si>
  <si>
    <t>Calculation</t>
  </si>
  <si>
    <t>System Generated</t>
  </si>
  <si>
    <t>Groups ---&gt;</t>
  </si>
  <si>
    <t>Unit Specs</t>
  </si>
  <si>
    <t>Unit Specifications</t>
  </si>
  <si>
    <t>Area Sepcs</t>
  </si>
  <si>
    <t>Pricing</t>
  </si>
  <si>
    <t>Payment Plan</t>
  </si>
  <si>
    <t>Status</t>
  </si>
  <si>
    <t>Column Format ---&gt;</t>
  </si>
  <si>
    <t>Drop-Down List</t>
  </si>
  <si>
    <t>Text</t>
  </si>
  <si>
    <t>sqm</t>
  </si>
  <si>
    <t>Numbers</t>
  </si>
  <si>
    <t>%</t>
  </si>
  <si>
    <t>Dates</t>
  </si>
  <si>
    <t>Number</t>
  </si>
  <si>
    <t>City</t>
  </si>
  <si>
    <t>Project</t>
  </si>
  <si>
    <t>Sales Phasing</t>
  </si>
  <si>
    <t>Construction Phasing</t>
  </si>
  <si>
    <t>Handover Phasing</t>
  </si>
  <si>
    <t>Plot Type</t>
  </si>
  <si>
    <t>Bld. Style</t>
  </si>
  <si>
    <t>Bld. Type</t>
  </si>
  <si>
    <t>Unit Type</t>
  </si>
  <si>
    <t>Unit Model</t>
  </si>
  <si>
    <t>Mirror</t>
  </si>
  <si>
    <t>Unit Position</t>
  </si>
  <si>
    <t>Building Number</t>
  </si>
  <si>
    <t>Unit Number</t>
  </si>
  <si>
    <t>Floor</t>
  </si>
  <si>
    <t>Unit Code</t>
  </si>
  <si>
    <t>SAP Code</t>
  </si>
  <si>
    <t>Finishing Specs.</t>
  </si>
  <si>
    <t>No. of Bed Rooms</t>
  </si>
  <si>
    <t>No. of Bathrooms</t>
  </si>
  <si>
    <t>No. of Parking Slots</t>
  </si>
  <si>
    <t>Foot print</t>
  </si>
  <si>
    <t>Internal Area</t>
  </si>
  <si>
    <t>Covered Terraces</t>
  </si>
  <si>
    <t>Uncovered Terraces</t>
  </si>
  <si>
    <t>Penthouse Area</t>
  </si>
  <si>
    <t>Garage Area</t>
  </si>
  <si>
    <t>Basement Area</t>
  </si>
  <si>
    <t>Unit Area
(Net Area)</t>
  </si>
  <si>
    <t>Common Area</t>
  </si>
  <si>
    <t>Sellable Area without Roof (Gross Area)</t>
  </si>
  <si>
    <t>Roof Pergola Area</t>
  </si>
  <si>
    <t>Roof Terraces Area</t>
  </si>
  <si>
    <t>BUA</t>
  </si>
  <si>
    <t>Land Area</t>
  </si>
  <si>
    <t>Garden Area</t>
  </si>
  <si>
    <t>Total Area</t>
  </si>
  <si>
    <t>Net Area PSM</t>
  </si>
  <si>
    <t>Covered Terraces PSM</t>
  </si>
  <si>
    <t>Uncovered Terraces PSM</t>
  </si>
  <si>
    <t>Penthouse PSM</t>
  </si>
  <si>
    <t>Garage PSM</t>
  </si>
  <si>
    <t>Basement PSM</t>
  </si>
  <si>
    <t>Common Area PSM</t>
  </si>
  <si>
    <t>Roof Pergola PSM</t>
  </si>
  <si>
    <t>Roof Terraces PSM</t>
  </si>
  <si>
    <t>Land PSM</t>
  </si>
  <si>
    <t>Garden PSM</t>
  </si>
  <si>
    <t>Unit Base Price</t>
  </si>
  <si>
    <t>Base PSM</t>
  </si>
  <si>
    <t xml:space="preserve"> Main View </t>
  </si>
  <si>
    <t xml:space="preserve"> Secondary Views </t>
  </si>
  <si>
    <t>Levels</t>
  </si>
  <si>
    <t xml:space="preserve"> North Breeze </t>
  </si>
  <si>
    <t xml:space="preserve"> Corners </t>
  </si>
  <si>
    <t>Accessibility</t>
  </si>
  <si>
    <t xml:space="preserve"> Special Premiums &amp; Discounts </t>
  </si>
  <si>
    <t>Total Premium %</t>
  </si>
  <si>
    <t>Total Premium Value</t>
  </si>
  <si>
    <t>Interest Free Unit Price
include club</t>
  </si>
  <si>
    <t>Interest Free PSM</t>
  </si>
  <si>
    <t>Interest Free Yrs.</t>
  </si>
  <si>
    <t>Down Payment %</t>
  </si>
  <si>
    <t xml:space="preserve">Down Payment </t>
  </si>
  <si>
    <t>Contract %</t>
  </si>
  <si>
    <t>Contract Payment</t>
  </si>
  <si>
    <t>Delivery %</t>
  </si>
  <si>
    <t>Cash Price</t>
  </si>
  <si>
    <t>1 Yr. Price</t>
  </si>
  <si>
    <t>2 Yrs. Price</t>
  </si>
  <si>
    <t>3 Yrs. Price</t>
  </si>
  <si>
    <t>4 Yrs. Price</t>
  </si>
  <si>
    <t>5 Yrs. Price include club</t>
  </si>
  <si>
    <t>6 Yrs. Price</t>
  </si>
  <si>
    <t>7 Yrs. Price</t>
  </si>
  <si>
    <t>7 Yrs. Price Equal</t>
  </si>
  <si>
    <t>8 Yrs. Price</t>
  </si>
  <si>
    <t>8 Yrs. Price Equal</t>
  </si>
  <si>
    <t>9 Yrs. Price</t>
  </si>
  <si>
    <t>10 Yrs. Price</t>
  </si>
  <si>
    <t>Maintenance %</t>
  </si>
  <si>
    <t>Maintenance Value</t>
  </si>
  <si>
    <t>Club</t>
  </si>
  <si>
    <t>Gas</t>
  </si>
  <si>
    <t>Parking Price / slot</t>
  </si>
  <si>
    <t>Parking Price</t>
  </si>
  <si>
    <t>Blocking Reason</t>
  </si>
  <si>
    <t>Creation Date</t>
  </si>
  <si>
    <t>Release Date</t>
  </si>
  <si>
    <t>Blocking Date</t>
  </si>
  <si>
    <t>Reservation Date</t>
  </si>
  <si>
    <t>Contract Payment Plan</t>
  </si>
  <si>
    <t>Contract Value</t>
  </si>
  <si>
    <t>Collected Amount</t>
  </si>
  <si>
    <t>Collected %</t>
  </si>
  <si>
    <t>Contract Delivery Date</t>
  </si>
  <si>
    <t>Grace Period (months)</t>
  </si>
  <si>
    <t>Construction Delivery Date</t>
  </si>
  <si>
    <t>Development Delivery Date</t>
  </si>
  <si>
    <t>Client Handover Date</t>
  </si>
  <si>
    <t>Contractor / Type</t>
  </si>
  <si>
    <t>Contractor</t>
  </si>
  <si>
    <t>Customer</t>
  </si>
  <si>
    <t>Broker</t>
  </si>
  <si>
    <t>Bulks</t>
  </si>
  <si>
    <t>Direct / Indirect Sales</t>
  </si>
  <si>
    <t xml:space="preserve">Sales Value </t>
  </si>
  <si>
    <t>PSM</t>
  </si>
  <si>
    <t>Area Range</t>
  </si>
  <si>
    <t>Release Year</t>
  </si>
  <si>
    <t>Sales Year</t>
  </si>
  <si>
    <t>Adj. Status 2</t>
  </si>
  <si>
    <t>AMS</t>
  </si>
  <si>
    <t>6th of October</t>
  </si>
  <si>
    <t>Ashgar Heights (Skyla)</t>
  </si>
  <si>
    <t>Phase 2</t>
  </si>
  <si>
    <t>Multi Family</t>
  </si>
  <si>
    <t>Z(H)</t>
  </si>
  <si>
    <t>Typical</t>
  </si>
  <si>
    <t>2 B.</t>
  </si>
  <si>
    <t>04</t>
  </si>
  <si>
    <t>3A</t>
  </si>
  <si>
    <t>A-001-104</t>
  </si>
  <si>
    <t>3A-001-104</t>
  </si>
  <si>
    <t>Semi-Finished</t>
  </si>
  <si>
    <t>5Y</t>
  </si>
  <si>
    <t xml:space="preserve">Available </t>
  </si>
  <si>
    <t>Ginza</t>
  </si>
  <si>
    <t>Unsold</t>
  </si>
  <si>
    <t>3 B. + nanny</t>
  </si>
  <si>
    <t>01</t>
  </si>
  <si>
    <t>A-004-401</t>
  </si>
  <si>
    <t>3A-004-401</t>
  </si>
  <si>
    <t>02</t>
  </si>
  <si>
    <t>A-004-402</t>
  </si>
  <si>
    <t>3A-004-402</t>
  </si>
  <si>
    <t>03</t>
  </si>
  <si>
    <t>A-004-403</t>
  </si>
  <si>
    <t>3A-004-403</t>
  </si>
  <si>
    <t>Garden</t>
  </si>
  <si>
    <t>3B</t>
  </si>
  <si>
    <t>B-000-002</t>
  </si>
  <si>
    <t>G</t>
  </si>
  <si>
    <t>3B-000-002</t>
  </si>
  <si>
    <t>B-000-003</t>
  </si>
  <si>
    <t>3B-000-003</t>
  </si>
  <si>
    <t>B-001-101</t>
  </si>
  <si>
    <t>3B-001-101</t>
  </si>
  <si>
    <t>B-004-402</t>
  </si>
  <si>
    <t>3B-004-402</t>
  </si>
  <si>
    <t>B-004-403</t>
  </si>
  <si>
    <t>3B-004-403</t>
  </si>
  <si>
    <t>B-004-404</t>
  </si>
  <si>
    <t>3B-004-404</t>
  </si>
  <si>
    <t>5A</t>
  </si>
  <si>
    <t>5A-001-104</t>
  </si>
  <si>
    <t>A-002-204</t>
  </si>
  <si>
    <t>5A-002-204</t>
  </si>
  <si>
    <t>5A-004-402</t>
  </si>
  <si>
    <t>5A-004-403</t>
  </si>
  <si>
    <t>5B</t>
  </si>
  <si>
    <t>5B-000-003</t>
  </si>
  <si>
    <t>5B-001-101</t>
  </si>
  <si>
    <t>5B-004-402</t>
  </si>
  <si>
    <t>5B-004-403</t>
  </si>
  <si>
    <t>X (C)</t>
  </si>
  <si>
    <t>1 B.</t>
  </si>
  <si>
    <t>6A</t>
  </si>
  <si>
    <t>A-000-002</t>
  </si>
  <si>
    <t>6A-000-002</t>
  </si>
  <si>
    <t>A-001-103</t>
  </si>
  <si>
    <t>6A-001-103</t>
  </si>
  <si>
    <t>A-002-202</t>
  </si>
  <si>
    <t>6A-002-202</t>
  </si>
  <si>
    <t>A-003-302</t>
  </si>
  <si>
    <t>6A-003-302</t>
  </si>
  <si>
    <t>A-003-303</t>
  </si>
  <si>
    <t>6A-003-303</t>
  </si>
  <si>
    <t>6A-004-401</t>
  </si>
  <si>
    <t>6A-004-402</t>
  </si>
  <si>
    <t>6B</t>
  </si>
  <si>
    <t>B-000-001</t>
  </si>
  <si>
    <t>6B-000-001</t>
  </si>
  <si>
    <t>6B-001-101</t>
  </si>
  <si>
    <t>B-001-103</t>
  </si>
  <si>
    <t>6B-001-103</t>
  </si>
  <si>
    <t>B-003-301</t>
  </si>
  <si>
    <t>6B-003-301</t>
  </si>
  <si>
    <t>6B-004-403</t>
  </si>
  <si>
    <t>Project Name</t>
  </si>
  <si>
    <t>Gross Area (sqm)</t>
  </si>
  <si>
    <t>Max Discount</t>
  </si>
  <si>
    <t>Price with Interest</t>
  </si>
  <si>
    <t>% of Increase</t>
  </si>
  <si>
    <t>Maintenance</t>
  </si>
  <si>
    <t>Finishing Type</t>
  </si>
  <si>
    <t>Gas Fees</t>
  </si>
  <si>
    <t>Installments</t>
  </si>
  <si>
    <t>CTD</t>
  </si>
  <si>
    <t>Open Terrace / Roof Area</t>
  </si>
  <si>
    <t>Maintenance Fee</t>
  </si>
  <si>
    <t>Gas Fee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</si>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</sst>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#,##0;\(#,##0\);\-"/>
    <numFmt numFmtId="165" formatCode="0.0%"/>
    <numFmt numFmtId="166" formatCode="&quot;PMT&quot;\ 0"/>
    <numFmt numFmtId="167" formatCode="0%;\(0%\);\-"/>
    <numFmt numFmtId="168" formatCode="0.0%;\(0.0%\);\-"/>
    <numFmt numFmtId="169" formatCode="0.0%;\(0.0%\);"/>
    <numFmt numFmtId="170" formatCode="#,##0;\(#,##0\);"/>
    <numFmt numFmtId="171" formatCode="[$-409]d/mmm/yyyy;@"/>
    <numFmt numFmtId="172" formatCode="#,##0;\(#,##0\);&quot;-&quot;"/>
    <numFmt numFmtId="173" formatCode="_(* #,##0_);_(* \(#,##0\);_(* &quot;-&quot;??_);_(@_)"/>
    <numFmt numFmtId="174" formatCode="00"/>
    <numFmt numFmtId="175" formatCode="_*\ #,##0_);_*\ \(#,##0\);_*\ &quot;-&quot;??_);_(@_)"/>
    <numFmt numFmtId="176" formatCode="0%;\(0%\);"/>
    <numFmt numFmtId="177" formatCode="[$-409]mmm/yy;@"/>
    <numFmt numFmtId="178" formatCode="0.0"/>
    <numFmt numFmtId="179" formatCode="0.00%;\(0.00%\);\-"/>
    <numFmt numFmtId="180" formatCode="0.000%"/>
    <numFmt numFmtId="181" formatCode="#.00\ &quot;Yrs.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rgb="FF0070C0"/>
      <name val="Times New Roman"/>
      <family val="1"/>
    </font>
    <font>
      <sz val="10"/>
      <name val="Times New Roman"/>
      <family val="1"/>
    </font>
    <font>
      <sz val="10"/>
      <color theme="0" tint="-0.34998626667073579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2"/>
    </font>
    <font>
      <sz val="10"/>
      <color rgb="FF000000"/>
      <name val="Times New Roman"/>
      <family val="1"/>
    </font>
    <font>
      <sz val="10"/>
      <color theme="0" tint="-0.14999847407452621"/>
      <name val="Times New Roman"/>
      <family val="1"/>
    </font>
    <font>
      <b/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1" fillId="0" borderId="0"/>
    <xf numFmtId="176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center" vertical="center"/>
    </xf>
    <xf numFmtId="164" fontId="7" fillId="0" borderId="9" xfId="1" applyFont="1" applyBorder="1" applyAlignment="1" applyProtection="1">
      <alignment horizontal="center" vertical="center"/>
    </xf>
    <xf numFmtId="170" fontId="7" fillId="0" borderId="3" xfId="1" applyNumberFormat="1" applyFont="1" applyBorder="1" applyAlignment="1" applyProtection="1">
      <alignment horizontal="center" vertical="center"/>
    </xf>
    <xf numFmtId="164" fontId="2" fillId="0" borderId="0" xfId="1" applyFont="1" applyAlignment="1" applyProtection="1">
      <alignment vertical="center"/>
    </xf>
    <xf numFmtId="170" fontId="7" fillId="0" borderId="12" xfId="1" applyNumberFormat="1" applyFont="1" applyBorder="1" applyAlignment="1" applyProtection="1">
      <alignment horizontal="center" vertical="center"/>
    </xf>
    <xf numFmtId="167" fontId="6" fillId="4" borderId="0" xfId="2" applyFont="1" applyFill="1" applyBorder="1" applyAlignment="1" applyProtection="1">
      <alignment horizontal="center" vertical="center"/>
      <protection locked="0"/>
    </xf>
    <xf numFmtId="167" fontId="6" fillId="4" borderId="11" xfId="2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2" fontId="2" fillId="0" borderId="0" xfId="3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172" fontId="2" fillId="0" borderId="0" xfId="3" applyFont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173" fontId="4" fillId="5" borderId="0" xfId="3" applyNumberFormat="1" applyFont="1" applyFill="1" applyBorder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172" fontId="4" fillId="5" borderId="0" xfId="3" applyFont="1" applyFill="1" applyBorder="1" applyAlignment="1">
      <alignment horizontal="center" vertical="top" wrapText="1"/>
    </xf>
    <xf numFmtId="172" fontId="4" fillId="5" borderId="0" xfId="3" applyFont="1" applyFill="1" applyAlignment="1">
      <alignment horizontal="center" vertical="top" wrapText="1"/>
    </xf>
    <xf numFmtId="172" fontId="4" fillId="2" borderId="0" xfId="3" applyFont="1" applyFill="1" applyBorder="1" applyAlignment="1">
      <alignment horizontal="center" vertical="top" wrapText="1"/>
    </xf>
    <xf numFmtId="0" fontId="4" fillId="6" borderId="0" xfId="0" applyFont="1" applyFill="1" applyAlignment="1">
      <alignment horizontal="center" vertical="top" wrapText="1"/>
    </xf>
    <xf numFmtId="0" fontId="4" fillId="14" borderId="0" xfId="0" applyFont="1" applyFill="1" applyAlignment="1">
      <alignment horizontal="center" vertical="top" wrapText="1"/>
    </xf>
    <xf numFmtId="0" fontId="4" fillId="11" borderId="13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172" fontId="7" fillId="0" borderId="0" xfId="3" applyFont="1" applyFill="1" applyAlignment="1">
      <alignment horizontal="center" vertical="center"/>
    </xf>
    <xf numFmtId="174" fontId="7" fillId="0" borderId="0" xfId="3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4" fontId="7" fillId="0" borderId="0" xfId="3" applyNumberFormat="1" applyFont="1" applyFill="1" applyBorder="1" applyAlignment="1">
      <alignment horizontal="center" vertical="center"/>
    </xf>
    <xf numFmtId="175" fontId="7" fillId="0" borderId="0" xfId="3" applyNumberFormat="1" applyFont="1" applyFill="1" applyAlignment="1">
      <alignment horizontal="center" vertical="center"/>
    </xf>
    <xf numFmtId="0" fontId="2" fillId="0" borderId="0" xfId="4" applyFont="1" applyAlignment="1">
      <alignment horizontal="center" vertical="center"/>
    </xf>
    <xf numFmtId="172" fontId="12" fillId="0" borderId="0" xfId="3" applyFont="1" applyFill="1" applyBorder="1" applyAlignment="1">
      <alignment horizontal="center" vertical="center" wrapText="1"/>
    </xf>
    <xf numFmtId="172" fontId="7" fillId="15" borderId="0" xfId="3" applyFont="1" applyFill="1" applyBorder="1" applyAlignment="1">
      <alignment horizontal="center" vertical="center"/>
    </xf>
    <xf numFmtId="172" fontId="7" fillId="0" borderId="0" xfId="3" applyFont="1" applyFill="1" applyBorder="1" applyAlignment="1">
      <alignment horizontal="center" vertical="center" wrapText="1"/>
    </xf>
    <xf numFmtId="172" fontId="2" fillId="0" borderId="0" xfId="3" applyFont="1" applyFill="1" applyBorder="1" applyAlignment="1">
      <alignment horizontal="center" vertical="center"/>
    </xf>
    <xf numFmtId="172" fontId="2" fillId="0" borderId="0" xfId="3" applyFont="1" applyBorder="1" applyAlignment="1">
      <alignment horizontal="center" vertical="center"/>
    </xf>
    <xf numFmtId="176" fontId="2" fillId="0" borderId="0" xfId="5" applyFont="1" applyBorder="1" applyAlignment="1">
      <alignment horizontal="center" vertical="center"/>
    </xf>
    <xf numFmtId="176" fontId="2" fillId="0" borderId="0" xfId="5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3" applyNumberFormat="1" applyFont="1" applyFill="1" applyBorder="1" applyAlignment="1">
      <alignment horizontal="center" vertical="center"/>
    </xf>
    <xf numFmtId="172" fontId="2" fillId="0" borderId="0" xfId="3" applyFont="1" applyFill="1" applyAlignment="1">
      <alignment horizontal="center" vertical="center"/>
    </xf>
    <xf numFmtId="172" fontId="7" fillId="0" borderId="0" xfId="3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178" fontId="12" fillId="0" borderId="0" xfId="0" applyNumberFormat="1" applyFont="1" applyAlignment="1">
      <alignment horizontal="center" vertical="center" wrapText="1"/>
    </xf>
    <xf numFmtId="172" fontId="12" fillId="0" borderId="0" xfId="3" applyFont="1" applyAlignment="1">
      <alignment horizontal="center" vertical="center" wrapText="1"/>
    </xf>
    <xf numFmtId="172" fontId="7" fillId="0" borderId="0" xfId="3" applyFont="1" applyAlignment="1">
      <alignment horizontal="center" vertical="center" wrapText="1"/>
    </xf>
    <xf numFmtId="172" fontId="12" fillId="0" borderId="0" xfId="3" applyFont="1" applyFill="1" applyAlignment="1">
      <alignment horizontal="center" vertical="center" wrapText="1"/>
    </xf>
    <xf numFmtId="9" fontId="2" fillId="0" borderId="0" xfId="3" applyNumberFormat="1" applyFont="1" applyFill="1" applyAlignment="1">
      <alignment horizontal="center" vertical="center"/>
    </xf>
    <xf numFmtId="176" fontId="2" fillId="0" borderId="0" xfId="5" applyFont="1" applyFill="1" applyAlignment="1">
      <alignment horizontal="center" vertical="center"/>
    </xf>
    <xf numFmtId="0" fontId="2" fillId="0" borderId="0" xfId="3" applyNumberFormat="1" applyFont="1" applyFill="1" applyAlignment="1">
      <alignment horizontal="center" vertical="center"/>
    </xf>
    <xf numFmtId="167" fontId="3" fillId="3" borderId="0" xfId="2" applyFont="1" applyFill="1" applyAlignment="1" applyProtection="1">
      <alignment horizontal="center" vertical="center"/>
      <protection locked="0"/>
    </xf>
    <xf numFmtId="10" fontId="3" fillId="3" borderId="0" xfId="0" applyNumberFormat="1" applyFont="1" applyFill="1" applyAlignment="1" applyProtection="1">
      <alignment horizontal="center" vertical="center"/>
      <protection locked="0"/>
    </xf>
    <xf numFmtId="168" fontId="3" fillId="2" borderId="0" xfId="2" applyNumberFormat="1" applyFont="1" applyFill="1" applyBorder="1" applyAlignment="1" applyProtection="1">
      <alignment horizontal="center" vertical="center"/>
    </xf>
    <xf numFmtId="164" fontId="3" fillId="2" borderId="1" xfId="1" applyFont="1" applyFill="1" applyBorder="1" applyAlignment="1" applyProtection="1">
      <alignment horizontal="center" vertical="center"/>
    </xf>
    <xf numFmtId="164" fontId="2" fillId="15" borderId="0" xfId="1" applyFont="1" applyFill="1" applyBorder="1" applyAlignment="1" applyProtection="1">
      <alignment horizontal="left" vertical="center"/>
    </xf>
    <xf numFmtId="0" fontId="6" fillId="15" borderId="0" xfId="1" applyNumberFormat="1" applyFont="1" applyFill="1" applyBorder="1" applyAlignment="1" applyProtection="1">
      <alignment horizontal="right" vertical="center"/>
      <protection locked="0"/>
    </xf>
    <xf numFmtId="164" fontId="2" fillId="15" borderId="0" xfId="1" applyFont="1" applyFill="1" applyBorder="1" applyAlignment="1" applyProtection="1">
      <alignment horizontal="right" vertical="center" indent="1"/>
    </xf>
    <xf numFmtId="168" fontId="7" fillId="15" borderId="0" xfId="2" applyNumberFormat="1" applyFont="1" applyFill="1" applyBorder="1" applyAlignment="1" applyProtection="1">
      <alignment horizontal="right" vertical="center"/>
    </xf>
    <xf numFmtId="171" fontId="6" fillId="15" borderId="0" xfId="0" applyNumberFormat="1" applyFont="1" applyFill="1" applyAlignment="1" applyProtection="1">
      <alignment horizontal="right" vertical="center"/>
      <protection locked="0"/>
    </xf>
    <xf numFmtId="164" fontId="7" fillId="15" borderId="0" xfId="1" applyFont="1" applyFill="1" applyBorder="1" applyAlignment="1" applyProtection="1">
      <alignment horizontal="right" vertical="center"/>
    </xf>
    <xf numFmtId="167" fontId="6" fillId="4" borderId="8" xfId="2" applyFont="1" applyFill="1" applyBorder="1" applyAlignment="1" applyProtection="1">
      <alignment horizontal="center" vertical="center"/>
      <protection locked="0"/>
    </xf>
    <xf numFmtId="170" fontId="7" fillId="0" borderId="13" xfId="1" applyNumberFormat="1" applyFont="1" applyBorder="1" applyAlignment="1" applyProtection="1">
      <alignment horizontal="center" vertical="center"/>
    </xf>
    <xf numFmtId="170" fontId="7" fillId="0" borderId="17" xfId="1" applyNumberFormat="1" applyFont="1" applyBorder="1" applyAlignment="1" applyProtection="1">
      <alignment horizontal="center" vertical="center"/>
    </xf>
    <xf numFmtId="170" fontId="7" fillId="0" borderId="16" xfId="1" applyNumberFormat="1" applyFont="1" applyBorder="1" applyAlignment="1" applyProtection="1">
      <alignment horizontal="center" vertical="center"/>
    </xf>
    <xf numFmtId="164" fontId="3" fillId="2" borderId="15" xfId="1" applyFont="1" applyFill="1" applyBorder="1" applyAlignment="1" applyProtection="1">
      <alignment horizontal="center" vertical="center"/>
    </xf>
    <xf numFmtId="164" fontId="6" fillId="0" borderId="15" xfId="1" applyFont="1" applyBorder="1" applyAlignment="1" applyProtection="1">
      <alignment horizontal="center" vertical="center"/>
      <protection locked="0"/>
    </xf>
    <xf numFmtId="164" fontId="6" fillId="0" borderId="3" xfId="1" applyFont="1" applyBorder="1" applyAlignment="1" applyProtection="1">
      <alignment horizontal="center" vertical="center"/>
      <protection locked="0"/>
    </xf>
    <xf numFmtId="164" fontId="6" fillId="0" borderId="5" xfId="1" applyFont="1" applyBorder="1" applyAlignment="1" applyProtection="1">
      <alignment horizontal="center" vertical="center"/>
      <protection locked="0"/>
    </xf>
    <xf numFmtId="10" fontId="6" fillId="0" borderId="15" xfId="0" applyNumberFormat="1" applyFont="1" applyBorder="1" applyAlignment="1" applyProtection="1">
      <alignment horizontal="center" vertical="center"/>
      <protection locked="0"/>
    </xf>
    <xf numFmtId="10" fontId="6" fillId="0" borderId="3" xfId="0" applyNumberFormat="1" applyFont="1" applyBorder="1" applyAlignment="1" applyProtection="1">
      <alignment horizontal="center" vertical="center"/>
      <protection locked="0"/>
    </xf>
    <xf numFmtId="10" fontId="6" fillId="0" borderId="5" xfId="0" applyNumberFormat="1" applyFont="1" applyBorder="1" applyAlignment="1" applyProtection="1">
      <alignment horizontal="center" vertical="center"/>
      <protection locked="0"/>
    </xf>
    <xf numFmtId="179" fontId="3" fillId="2" borderId="15" xfId="2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 indent="2"/>
    </xf>
    <xf numFmtId="0" fontId="8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 indent="2"/>
    </xf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171" fontId="2" fillId="0" borderId="8" xfId="0" applyNumberFormat="1" applyFont="1" applyBorder="1" applyAlignment="1">
      <alignment horizontal="right" vertical="center" indent="2"/>
    </xf>
    <xf numFmtId="165" fontId="7" fillId="0" borderId="7" xfId="0" applyNumberFormat="1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right" vertical="center"/>
    </xf>
    <xf numFmtId="166" fontId="2" fillId="0" borderId="2" xfId="0" applyNumberFormat="1" applyFont="1" applyBorder="1" applyAlignment="1">
      <alignment horizontal="center" vertical="center"/>
    </xf>
    <xf numFmtId="171" fontId="2" fillId="0" borderId="0" xfId="0" applyNumberFormat="1" applyFont="1" applyAlignment="1">
      <alignment horizontal="right" vertical="center" indent="2"/>
    </xf>
    <xf numFmtId="169" fontId="7" fillId="0" borderId="2" xfId="0" applyNumberFormat="1" applyFont="1" applyBorder="1" applyAlignment="1">
      <alignment horizontal="center" vertical="center"/>
    </xf>
    <xf numFmtId="169" fontId="8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166" fontId="2" fillId="0" borderId="10" xfId="0" applyNumberFormat="1" applyFont="1" applyBorder="1" applyAlignment="1">
      <alignment horizontal="center" vertical="center"/>
    </xf>
    <xf numFmtId="171" fontId="2" fillId="0" borderId="11" xfId="0" applyNumberFormat="1" applyFont="1" applyBorder="1" applyAlignment="1">
      <alignment horizontal="right" vertical="center" indent="2"/>
    </xf>
    <xf numFmtId="169" fontId="7" fillId="0" borderId="10" xfId="0" applyNumberFormat="1" applyFont="1" applyBorder="1" applyAlignment="1">
      <alignment horizontal="center" vertical="center"/>
    </xf>
    <xf numFmtId="169" fontId="8" fillId="0" borderId="17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 indent="1"/>
    </xf>
    <xf numFmtId="171" fontId="7" fillId="0" borderId="18" xfId="0" applyNumberFormat="1" applyFont="1" applyBorder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71" fontId="7" fillId="15" borderId="0" xfId="0" applyNumberFormat="1" applyFont="1" applyFill="1" applyAlignment="1">
      <alignment horizontal="right" vertical="center"/>
    </xf>
    <xf numFmtId="171" fontId="7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2"/>
    </xf>
    <xf numFmtId="14" fontId="6" fillId="0" borderId="0" xfId="2" applyNumberFormat="1" applyFont="1" applyBorder="1" applyAlignment="1" applyProtection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1" fontId="6" fillId="15" borderId="0" xfId="1" applyNumberFormat="1" applyFont="1" applyFill="1" applyBorder="1" applyAlignment="1" applyProtection="1">
      <alignment horizontal="right" vertical="center"/>
      <protection locked="0"/>
    </xf>
    <xf numFmtId="0" fontId="13" fillId="15" borderId="0" xfId="1" applyNumberFormat="1" applyFont="1" applyFill="1" applyBorder="1" applyAlignment="1" applyProtection="1">
      <alignment horizontal="left" vertical="center"/>
    </xf>
    <xf numFmtId="164" fontId="13" fillId="15" borderId="0" xfId="1" applyFont="1" applyFill="1" applyBorder="1" applyAlignment="1" applyProtection="1">
      <alignment horizontal="right" vertical="center"/>
    </xf>
    <xf numFmtId="0" fontId="13" fillId="15" borderId="0" xfId="0" applyFont="1" applyFill="1" applyAlignment="1">
      <alignment horizontal="left" vertical="center"/>
    </xf>
    <xf numFmtId="168" fontId="13" fillId="15" borderId="0" xfId="2" applyNumberFormat="1" applyFont="1" applyFill="1" applyBorder="1" applyAlignment="1" applyProtection="1">
      <alignment horizontal="right" vertical="center"/>
    </xf>
    <xf numFmtId="0" fontId="4" fillId="15" borderId="19" xfId="0" applyFont="1" applyFill="1" applyBorder="1" applyAlignment="1">
      <alignment horizontal="left" vertical="center"/>
    </xf>
    <xf numFmtId="164" fontId="14" fillId="15" borderId="20" xfId="1" applyFont="1" applyFill="1" applyBorder="1" applyAlignment="1" applyProtection="1">
      <alignment horizontal="right" vertical="center"/>
    </xf>
    <xf numFmtId="0" fontId="2" fillId="15" borderId="0" xfId="0" applyFont="1" applyFill="1" applyAlignment="1">
      <alignment horizontal="left" vertical="center"/>
    </xf>
  </cellXfs>
  <cellStyles count="6">
    <cellStyle name="Comma" xfId="1" builtinId="3"/>
    <cellStyle name="Comma 2" xfId="3" xr:uid="{922685CA-58C2-4C9B-A055-6E9449BA3EE4}"/>
    <cellStyle name="Normal" xfId="0" builtinId="0"/>
    <cellStyle name="Normal 14" xfId="4" xr:uid="{FE9516A4-12EF-479E-84E7-835A43D5EDB1}"/>
    <cellStyle name="Percent" xfId="2" builtinId="5" customBuiltin="1"/>
    <cellStyle name="Percent 2" xfId="5" xr:uid="{2F30BC3B-567D-46D5-B2C4-9B69DF6ACC92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bottom/>
        <vertical/>
        <horizontal/>
      </border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  <border>
        <left/>
        <right/>
        <bottom/>
        <vertical/>
        <horizontal/>
      </border>
    </dxf>
    <dxf>
      <font>
        <color theme="0"/>
      </font>
      <fill>
        <patternFill>
          <bgColor theme="0" tint="-0.499984740745262"/>
        </patternFill>
      </fill>
      <border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2" formatCode="#,##0;\(#,##0\);&quot;-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2" formatCode="#,##0;\(#,##0\);&quot;-&quot;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7" formatCode="[$-409]mmm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2" formatCode="#,##0;\(#,##0\);&quot;-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2" formatCode="#,##0;\(#,##0\);&quot;-&quot;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2" formatCode="#,##0;\(#,##0\);&quot;-&quot;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72" formatCode="#,##0;\(#,##0\);&quot;-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72" formatCode="#,##0;\(#,##0\);&quot;-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78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B23D5D-D030-4D8D-9E61-7CD7C6413C53}" name="Table.Source" displayName="Table.Source" ref="C5:DN35" totalsRowShown="0" headerRowDxfId="128" dataDxfId="127">
  <autoFilter ref="C5:DN35" xr:uid="{00000000-0009-0000-0100-000001000000}"/>
  <tableColumns count="116">
    <tableColumn id="1" xr3:uid="{463490C6-F408-43D4-995C-9BCE2ADF1816}" name="City" dataDxfId="126"/>
    <tableColumn id="2" xr3:uid="{C727BB0E-C86A-47D9-B56E-A28FD3E7D120}" name="Project" dataDxfId="125"/>
    <tableColumn id="3" xr3:uid="{C0BFE290-9D7E-4AEB-843E-1BB1CA2829CE}" name="Sales Phasing" dataDxfId="124"/>
    <tableColumn id="4" xr3:uid="{2A0219A5-8641-49C5-AED3-CEDCD901371A}" name="Construction Phasing" dataDxfId="123"/>
    <tableColumn id="5" xr3:uid="{81003C4A-36C7-4499-B649-BD3542967B46}" name="Handover Phasing" dataDxfId="122"/>
    <tableColumn id="6" xr3:uid="{D7F6D126-AFBF-4686-BA1F-67A2EA1DE285}" name="Plot Type" dataDxfId="121"/>
    <tableColumn id="7" xr3:uid="{919F99AE-1173-40DE-A7AF-362A950AD06D}" name="Bld. Style" dataDxfId="120"/>
    <tableColumn id="8" xr3:uid="{44661E8A-EDA6-4F3D-B30C-F10424FED393}" name="Bld. Type" dataDxfId="119"/>
    <tableColumn id="9" xr3:uid="{3B982F4C-4FE6-468A-9FB5-0138D9E77B1E}" name="Unit Type" dataDxfId="118"/>
    <tableColumn id="106" xr3:uid="{22CB4964-A301-4834-936C-30FB3EBDFC58}" name="Unit Model" dataDxfId="117"/>
    <tableColumn id="107" xr3:uid="{ACCFE1DF-1859-48F7-81DB-7FDAD7F62138}" name="Mirror" dataDxfId="116"/>
    <tableColumn id="108" xr3:uid="{619D6C45-63C5-4D74-A0B6-D7D9D55007F0}" name="Unit Position" dataDxfId="115"/>
    <tableColumn id="10" xr3:uid="{3A79D0A3-F380-442F-AE93-FA405689CB1D}" name="Building Number" dataDxfId="114"/>
    <tableColumn id="12" xr3:uid="{AE2637AF-E4B4-4FE4-AB3C-C424AB59C9ED}" name="Unit Number" dataDxfId="113"/>
    <tableColumn id="11" xr3:uid="{4809F48F-211E-4745-89FC-B871FE1BEFA9}" name="Floor" dataDxfId="112"/>
    <tableColumn id="13" xr3:uid="{D611B366-659E-4F69-A026-321991BEE93A}" name="Unit Code" dataDxfId="111"/>
    <tableColumn id="113" xr3:uid="{2A74A3BD-F8B4-4C7E-BF79-B8C9A44BA1F7}" name="SAP Code" dataDxfId="110"/>
    <tableColumn id="14" xr3:uid="{A765D061-2B08-4DD2-94AC-A662AB988B69}" name="Finishing Specs." dataDxfId="109"/>
    <tableColumn id="17" xr3:uid="{D460FD33-EE43-41AF-8462-924241F4FEC3}" name="No. of Bed Rooms" dataDxfId="108"/>
    <tableColumn id="18" xr3:uid="{4CC6383A-2488-411D-8AC5-60815EAE6BDA}" name="No. of Bathrooms" dataDxfId="107"/>
    <tableColumn id="19" xr3:uid="{8D51E8C8-B6B2-4EFA-9587-2BE6064D2147}" name="No. of Parking Slots" dataDxfId="106"/>
    <tableColumn id="20" xr3:uid="{BC91C5F8-A2E9-4F5E-91CC-3BD0B55BD047}" name="Foot print" dataDxfId="105"/>
    <tableColumn id="21" xr3:uid="{5649D637-2FF0-444C-B799-0EBA8EBB3E71}" name="Internal Area" dataDxfId="104" dataCellStyle="Comma"/>
    <tableColumn id="22" xr3:uid="{CD293400-20A4-4F67-B514-B6EE6A28CCE5}" name="Covered Terraces" dataDxfId="103" dataCellStyle="Comma"/>
    <tableColumn id="23" xr3:uid="{ADC86E85-B99A-43E8-9A60-E255426C67F1}" name="Uncovered Terraces" dataDxfId="102" dataCellStyle="Comma"/>
    <tableColumn id="24" xr3:uid="{6CA3E033-D1AA-4447-ACEA-5EFA25027386}" name="Penthouse Area" dataDxfId="101"/>
    <tableColumn id="25" xr3:uid="{C49C2038-5C30-4279-85DB-11752E2B246B}" name="Garage Area" dataDxfId="100"/>
    <tableColumn id="26" xr3:uid="{80FE6BA5-765F-4A5E-9ED6-D5846DA54C21}" name="Basement Area" dataDxfId="99"/>
    <tableColumn id="117" xr3:uid="{31AD59A6-23E6-449F-A83A-AB878F62F0D3}" name="Unit Area_x000a_(Net Area)" dataDxfId="98" dataCellStyle="Comma"/>
    <tableColumn id="97" xr3:uid="{D7B216C2-5C56-4074-A71A-E3B61E3686E1}" name="Common Area" dataDxfId="97" dataCellStyle="Comma"/>
    <tableColumn id="27" xr3:uid="{1AE90F38-B99D-4FD4-9CA6-18D5EDF78092}" name="Sellable Area without Roof (Gross Area)" dataDxfId="96" dataCellStyle="Comma"/>
    <tableColumn id="28" xr3:uid="{DC35769D-1A02-4BFA-8AC5-2DFEA7ACA6E5}" name="Roof Pergola Area" dataDxfId="95"/>
    <tableColumn id="29" xr3:uid="{47C66B74-E525-4B89-AB2E-DC51CD0B700D}" name="Roof Terraces Area" dataDxfId="94"/>
    <tableColumn id="30" xr3:uid="{F049E902-1C92-4A79-BC80-C915F3A19FC6}" name="BUA" dataDxfId="93" dataCellStyle="Comma"/>
    <tableColumn id="31" xr3:uid="{249074E9-F997-406A-AF4F-C04DD9D95153}" name="Land Area" dataDxfId="92" dataCellStyle="Comma"/>
    <tableColumn id="32" xr3:uid="{5B72F8BF-99AE-4F3E-83A5-23403DC9E181}" name="Garden Area" dataDxfId="91"/>
    <tableColumn id="33" xr3:uid="{FBBD26A5-07C9-4D36-9F98-AAC3B50D12DA}" name="Total Area" dataDxfId="90" dataCellStyle="Comma">
      <calculatedColumnFormula>SUM(Table.Source[[#This Row],[BUA]:[Garden Area]])</calculatedColumnFormula>
    </tableColumn>
    <tableColumn id="44" xr3:uid="{5750C5BD-8E14-4AE4-A2E4-7B9A62AA14EF}" name="Net Area PSM" dataDxfId="89" dataCellStyle="Comma"/>
    <tableColumn id="45" xr3:uid="{5536CAE0-B777-47DE-A201-E5C92E263406}" name="Covered Terraces PSM" dataDxfId="88" dataCellStyle="Comma"/>
    <tableColumn id="46" xr3:uid="{A3817B07-4A4D-4089-BEC6-C55A64F619C5}" name="Uncovered Terraces PSM" dataDxfId="87" dataCellStyle="Comma"/>
    <tableColumn id="47" xr3:uid="{D1D222A6-E8A5-4C35-95CF-EE4ADA98991F}" name="Penthouse PSM" dataDxfId="86" dataCellStyle="Comma"/>
    <tableColumn id="48" xr3:uid="{8887D0FA-6B6B-40DB-AAAC-4B1677BF4BAC}" name="Garage PSM" dataDxfId="85" dataCellStyle="Comma"/>
    <tableColumn id="49" xr3:uid="{5EC74F81-D8DC-4C28-9A1D-FC6A1094242B}" name="Basement PSM" dataDxfId="84" dataCellStyle="Comma"/>
    <tableColumn id="55" xr3:uid="{67809651-CCD3-4E95-9DA2-173D6A869BEF}" name="Common Area PSM" dataDxfId="83" dataCellStyle="Comma"/>
    <tableColumn id="50" xr3:uid="{D380C8DA-6249-4621-BE2E-1F0AD1E21316}" name="Roof Pergola PSM" dataDxfId="82" dataCellStyle="Comma"/>
    <tableColumn id="51" xr3:uid="{D41AC3C4-6941-4932-9817-CC4E8A43D78E}" name="Roof Terraces PSM" dataDxfId="81" dataCellStyle="Comma"/>
    <tableColumn id="52" xr3:uid="{8A829BE3-079A-40B3-A2C5-C3DE789F640C}" name="Land PSM" dataDxfId="80" dataCellStyle="Comma"/>
    <tableColumn id="53" xr3:uid="{44F6B461-AAD9-4805-B559-FF0111DD3E5E}" name="Garden PSM" dataDxfId="79" dataCellStyle="Comma"/>
    <tableColumn id="56" xr3:uid="{FD6E1B52-F724-4BAC-A27A-8CB3CF328434}" name="Unit Base Price" dataDxfId="78" dataCellStyle="Comma"/>
    <tableColumn id="96" xr3:uid="{536553CE-E1B7-497E-8C42-74B3148E4158}" name="Base PSM" dataDxfId="77" dataCellStyle="Comma"/>
    <tableColumn id="34" xr3:uid="{7370DE57-E688-4030-8245-E237B200172F}" name=" Main View " dataDxfId="76" dataCellStyle="Comma"/>
    <tableColumn id="35" xr3:uid="{57A6C422-DC47-4220-BF09-796F961BF5AA}" name=" Secondary Views " dataDxfId="75" dataCellStyle="Comma"/>
    <tableColumn id="36" xr3:uid="{F614C214-A856-4D13-983E-E567D3A11E70}" name="Levels" dataDxfId="74" dataCellStyle="Comma"/>
    <tableColumn id="37" xr3:uid="{B5CCAC45-E916-4183-8B62-FA7AA9F7888D}" name=" North Breeze " dataDxfId="73" dataCellStyle="Comma"/>
    <tableColumn id="38" xr3:uid="{01FC4503-3D25-4041-B027-87FC404BFF86}" name=" Corners " dataDxfId="72" dataCellStyle="Comma"/>
    <tableColumn id="94" xr3:uid="{B2652E82-9DF0-4D1D-B7B5-E07305BE2BE8}" name="Accessibility" dataDxfId="71" dataCellStyle="Comma"/>
    <tableColumn id="39" xr3:uid="{2E4F3A11-82B9-44BE-BA9D-E62BCD31B484}" name=" Special Premiums &amp; Discounts " dataDxfId="70" dataCellStyle="Comma"/>
    <tableColumn id="41" xr3:uid="{0E46A582-35E8-4D1E-A2EB-B4327C31DA3B}" name="Total Premium %" dataDxfId="69" dataCellStyle="Comma"/>
    <tableColumn id="95" xr3:uid="{EB39A701-AA7F-488B-B30D-8BFD92B78EB4}" name="Total Premium Value" dataDxfId="68" dataCellStyle="Comma"/>
    <tableColumn id="57" xr3:uid="{C14D3360-D408-4349-9172-6B55C8A65B06}" name="Interest Free Unit Price_x000a_include club" dataDxfId="67" dataCellStyle="Comma"/>
    <tableColumn id="98" xr3:uid="{A7CD0810-D09E-4805-80DC-2BBFAA6A5FC9}" name="Interest Free PSM" dataDxfId="66" dataCellStyle="Comma"/>
    <tableColumn id="58" xr3:uid="{C9B00958-CEF6-4CF1-88D1-2264132DCF17}" name="Interest Free Yrs." dataDxfId="65" dataCellStyle="Comma"/>
    <tableColumn id="59" xr3:uid="{33C1F0E6-F6C3-4F48-8353-B44C5B6F3FDB}" name="Down Payment %" dataDxfId="64"/>
    <tableColumn id="60" xr3:uid="{022D03DC-65F9-4673-AE24-1E9B523A2537}" name="Down Payment " dataDxfId="63" dataCellStyle="Comma"/>
    <tableColumn id="61" xr3:uid="{06725F9A-B767-49B3-8E5D-4CCA72D17875}" name="Contract %" dataDxfId="62"/>
    <tableColumn id="62" xr3:uid="{86FCBA24-3565-4BEF-A2D6-2EC17B93B53D}" name="Contract Payment" dataDxfId="61" dataCellStyle="Comma"/>
    <tableColumn id="63" xr3:uid="{74995DFE-DD32-4376-87B4-FD630DF18C11}" name="Delivery %" dataDxfId="60"/>
    <tableColumn id="64" xr3:uid="{1BEE3BFE-4925-41DA-8AA4-D80FA1449472}" name="Delivery Payment" dataDxfId="59" dataCellStyle="Comma"/>
    <tableColumn id="65" xr3:uid="{7F8767F5-BAF5-425E-AD95-3DC164AAD2D2}" name="Cash Price" dataDxfId="58" dataCellStyle="Comma"/>
    <tableColumn id="66" xr3:uid="{DF88DD89-BFA6-47CF-8F87-6058E850E9A0}" name="1 Yr. Price" dataDxfId="57" dataCellStyle="Comma"/>
    <tableColumn id="67" xr3:uid="{720E8F17-1601-444B-94E7-4606A8579369}" name="2 Yrs. Price" dataDxfId="56" dataCellStyle="Comma"/>
    <tableColumn id="68" xr3:uid="{81CA796D-5F7E-47CB-B044-CC10A6030E55}" name="3 Yrs. Price" dataDxfId="55" dataCellStyle="Comma"/>
    <tableColumn id="69" xr3:uid="{024C51C1-A0DD-42C2-8B9D-50FBA0702E96}" name="4 Yrs. Price" dataDxfId="54" dataCellStyle="Comma"/>
    <tableColumn id="70" xr3:uid="{89BAF2E8-5513-4142-B659-A33B92EEAE3E}" name="5 Yrs. Price include club" dataDxfId="53" dataCellStyle="Comma">
      <calculatedColumnFormula>Table.Source[[#This Row],[Interest Free Unit Price
include club]]+Table.Source[[#This Row],[Club]]</calculatedColumnFormula>
    </tableColumn>
    <tableColumn id="71" xr3:uid="{8B9C2596-8206-4088-A24B-643E6AD9BC8B}" name="6 Yrs. Price" dataDxfId="52" dataCellStyle="Comma"/>
    <tableColumn id="72" xr3:uid="{EC154658-BB1E-4B0D-B858-510D260DD028}" name="7 Yrs. Price" dataDxfId="51" dataCellStyle="Comma"/>
    <tableColumn id="16" xr3:uid="{963916CC-C76D-49D3-B2FE-D30D050A8D47}" name="7 Yrs. Price Equal" dataDxfId="50" dataCellStyle="Comma"/>
    <tableColumn id="73" xr3:uid="{67A58B11-C2BE-485F-AC0B-0C1A6972CF4F}" name="8 Yrs. Price" dataDxfId="49" dataCellStyle="Comma"/>
    <tableColumn id="40" xr3:uid="{5ED71588-DCC4-4587-B1E8-6741917C98E8}" name="8 Yrs. Price Equal" dataDxfId="48" dataCellStyle="Comma"/>
    <tableColumn id="74" xr3:uid="{A0453DA1-1897-43EA-89A6-2E1FB299C9BF}" name="9 Yrs. Price" dataDxfId="47" dataCellStyle="Comma"/>
    <tableColumn id="75" xr3:uid="{92D5B657-48AA-411B-9D4A-7881DD2F62D4}" name="10 Yrs. Price" dataDxfId="46" dataCellStyle="Comma"/>
    <tableColumn id="76" xr3:uid="{214E9DB4-67B2-4CDA-86C7-6B46226D777B}" name="Maintenance %" dataDxfId="45"/>
    <tableColumn id="15" xr3:uid="{00348497-A774-4236-9439-0CF14EF30AC4}" name="Maintenance Value" dataDxfId="44" dataCellStyle="Comma">
      <calculatedColumnFormula>Table.Source[[#This Row],[5 Yrs. Price include club]]*Table.Source[[#This Row],[Maintenance %]]</calculatedColumnFormula>
    </tableColumn>
    <tableColumn id="77" xr3:uid="{8C553E31-3C85-46B1-9973-18288F6CBC0C}" name="Club" dataDxfId="43" dataCellStyle="Comma"/>
    <tableColumn id="99" xr3:uid="{19891BD6-2C78-4AD2-A127-06AF63C285E2}" name="Gas" dataDxfId="42" dataCellStyle="Comma"/>
    <tableColumn id="109" xr3:uid="{B185A0BF-E887-40FB-97F4-D8FF3C2F3673}" name="Parking Price / slot" dataDxfId="41" dataCellStyle="Comma"/>
    <tableColumn id="78" xr3:uid="{EBE87503-6F8C-4D3B-9555-C45A141BFB96}" name="Parking Price" dataDxfId="40" dataCellStyle="Comma"/>
    <tableColumn id="79" xr3:uid="{56CF59A9-259F-4F33-A5B2-49926DA3E508}" name="Status" dataDxfId="39"/>
    <tableColumn id="81" xr3:uid="{FEB798AB-FB09-4F4A-BE1A-577EB42D4BE6}" name="Blocking Reason" dataDxfId="38"/>
    <tableColumn id="111" xr3:uid="{F031134A-3080-424F-AA18-1D3A17B51C43}" name="Creation Date" dataDxfId="37"/>
    <tableColumn id="82" xr3:uid="{F3667AB2-1FE1-447E-8308-CEAADA85234D}" name="Release Date" dataDxfId="36"/>
    <tableColumn id="83" xr3:uid="{B8905FD4-8AE6-4061-900A-32ADEF7ED14F}" name="Blocking Date" dataDxfId="35"/>
    <tableColumn id="84" xr3:uid="{DB89C0E7-65E0-4CE2-8CCF-1086CEA5C6B8}" name="Reservation Date" dataDxfId="34"/>
    <tableColumn id="85" xr3:uid="{7E239F38-9D53-4619-B763-ED3A44FFCD1B}" name="Contract Date" dataDxfId="33"/>
    <tableColumn id="86" xr3:uid="{3E070F24-5B6A-471D-8B8C-774D538CAD8C}" name="Contract Payment Plan" dataDxfId="32"/>
    <tableColumn id="87" xr3:uid="{85A052FE-B510-4852-B023-5365D5596615}" name="Contract Value" dataDxfId="31" dataCellStyle="Comma"/>
    <tableColumn id="88" xr3:uid="{4B7EE242-BFA2-4D2C-830D-3375A56CF22B}" name="Collected Amount" dataDxfId="30" dataCellStyle="Comma"/>
    <tableColumn id="42" xr3:uid="{866DD441-47AA-4FA7-9CE8-CF21C3025E5D}" name="Collected %" dataDxfId="29" dataCellStyle="Percent"/>
    <tableColumn id="89" xr3:uid="{7524637A-EEFF-4F4C-AC82-E95FCF3E53F3}" name="Contract Delivery Date" dataDxfId="28"/>
    <tableColumn id="90" xr3:uid="{AFB30B07-C401-4162-98DA-FA18C7B34AAA}" name="Grace Period (months)" dataDxfId="27"/>
    <tableColumn id="91" xr3:uid="{A737B633-6346-442A-9011-8A5D83739A48}" name="Construction Delivery Date" dataDxfId="26"/>
    <tableColumn id="92" xr3:uid="{B0B94415-B703-4D0C-B3FA-EF0200966B7B}" name="Development Delivery Date" dataDxfId="25">
      <calculatedColumnFormula>TODAY()+(2*365)+100</calculatedColumnFormula>
    </tableColumn>
    <tableColumn id="93" xr3:uid="{7377183B-E207-4DAB-A230-569A0DB11709}" name="Client Handover Date" dataDxfId="24"/>
    <tableColumn id="100" xr3:uid="{ABBD880D-5A4D-4BD2-AEEC-3A0004F86B9A}" name="Contractor / Type" dataDxfId="23"/>
    <tableColumn id="101" xr3:uid="{8A476DFB-B3DD-478C-A094-97C471774822}" name="Contractor" dataDxfId="22"/>
    <tableColumn id="102" xr3:uid="{D9024A23-C281-4F85-837E-06744E47533A}" name="Customer" dataDxfId="21" dataCellStyle="Comma"/>
    <tableColumn id="103" xr3:uid="{A6AE5A8A-20D6-4B4A-B4B6-302482BE83CC}" name="Broker" dataDxfId="20"/>
    <tableColumn id="104" xr3:uid="{2FB942F4-BAC1-457C-B850-EB0C4CBE6E2F}" name="Bulks" dataDxfId="19"/>
    <tableColumn id="105" xr3:uid="{3058868C-DC17-4708-B2CA-00F2CC79B4B3}" name="Direct / Indirect Sales" dataDxfId="18"/>
    <tableColumn id="110" xr3:uid="{31DB1C53-AE9F-4708-8EAF-AC9B3EC90ABE}" name="Sales Value " dataDxfId="17" dataCellStyle="Comma">
      <calculatedColumnFormula>IF(Table.Source[[#This Row],[Contract Value]]&lt;&gt;0,Table.Source[[#This Row],[Contract Value]],Table.Source[[#This Row],[Interest Free Unit Price
include club]])</calculatedColumnFormula>
    </tableColumn>
    <tableColumn id="112" xr3:uid="{11A9DABE-EC85-430D-A013-BDFAFC4D624F}" name="PSM" dataDxfId="16" dataCellStyle="Comma">
      <calculatedColumnFormula>Table.Source[[#This Row],[Sales Value ]]/Table.Source[[#This Row],[Sellable Area without Roof (Gross Area)]]</calculatedColumnFormula>
    </tableColumn>
    <tableColumn id="115" xr3:uid="{6DA12533-C117-488A-B2A3-8C5AEC8B47B5}" name="Area Range" dataDxfId="15" dataCellStyle="Comma">
      <calculatedColumnFormula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calculatedColumnFormula>
    </tableColumn>
    <tableColumn id="114" xr3:uid="{00610F2E-2249-4478-BE2A-F9CFA722AF24}" name="Release Year" dataDxfId="14" dataCellStyle="Comma">
      <calculatedColumnFormula>IF(Table.Source[[#This Row],[Release Date]]&lt;&gt;0,YEAR(Table.Source[[#This Row],[Release Date]]),IF(ISNUMBER(Table.Source[[#This Row],[Contract Date]]),YEAR(Table.Source[[#This Row],[Contract Date]]),"Unreleased"))</calculatedColumnFormula>
    </tableColumn>
    <tableColumn id="43" xr3:uid="{18687443-E7B8-47D6-B1F8-EF6CB64A3D2E}" name="Sales Year" dataDxfId="13" dataCellStyle="Comma">
      <calculatedColumnFormula>IF(Table.Source[[#This Row],[Reservation Date]]=0,"Inventory",YEAR(Table.Source[[#This Row],[Reservation Date]]))</calculatedColumnFormula>
    </tableColumn>
    <tableColumn id="118" xr3:uid="{029545BD-619B-4A12-8200-DF080531CD36}" name="Adj. Status 2" dataDxfId="12">
      <calculatedColumnFormula>IF(Table.Source[[#This Row],[Status]]="Contracted","Sold","Unsold")</calculatedColumnFormula>
    </tableColumn>
    <tableColumn id="54" xr3:uid="{5B7D9593-1A55-4061-A4C6-33318E663FDD}" name="AMS" dataDxfId="11" dataCellStyle="Comma">
      <calculatedColumnFormula>Table.Source[[#This Row],[Sales Value ]]/IF(YEAR(Table.Source[[#This Row],[Reservation Date]])=$DN$4,MONTH(MAX(Table.Source[Reservation Date])),12)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F86-18A4-4235-B320-FEDEDE8E6C24}">
  <dimension ref="B1:X37"/>
  <sheetViews>
    <sheetView showGridLines="0" tabSelected="1" zoomScale="90" zoomScaleNormal="90" workbookViewId="0">
      <selection activeCell="C15" sqref="C15"/>
    </sheetView>
  </sheetViews>
  <sheetFormatPr defaultColWidth="8.7109375" defaultRowHeight="15" zeroHeight="1" x14ac:dyDescent="0.25"/>
  <cols>
    <col min="1" max="1" width="1.42578125" style="89" bestFit="1" customWidth="1"/>
    <col min="2" max="2" width="21.28515625" style="17" bestFit="1" customWidth="1"/>
    <col min="3" max="3" width="20.85546875" style="88" customWidth="1"/>
    <col min="4" max="4" width="1.42578125" style="89" bestFit="1" customWidth="1"/>
    <col min="5" max="5" width="8.42578125" style="118" customWidth="1"/>
    <col min="6" max="6" width="15.7109375" style="119" customWidth="1"/>
    <col min="7" max="7" width="7.5703125" style="89" customWidth="1"/>
    <col min="8" max="8" width="11.7109375" style="89" customWidth="1"/>
    <col min="9" max="9" width="9.28515625" style="89" customWidth="1"/>
    <col min="10" max="10" width="8" style="91" customWidth="1"/>
    <col min="11" max="11" width="1.42578125" style="89" bestFit="1" customWidth="1"/>
    <col min="12" max="13" width="12" style="1" customWidth="1"/>
    <col min="14" max="14" width="1.42578125" style="89" customWidth="1"/>
    <col min="15" max="15" width="13.28515625" style="89" hidden="1" customWidth="1"/>
    <col min="16" max="16" width="15.42578125" style="89" hidden="1" customWidth="1"/>
    <col min="17" max="17" width="12.5703125" style="89" hidden="1" customWidth="1"/>
    <col min="18" max="18" width="8.7109375" style="89" hidden="1" customWidth="1"/>
    <col min="19" max="19" width="9.5703125" style="89" hidden="1" customWidth="1"/>
    <col min="20" max="22" width="8.7109375" style="89" hidden="1" customWidth="1"/>
    <col min="23" max="23" width="8.7109375" style="89" customWidth="1"/>
    <col min="24" max="24" width="8.7109375" style="89" hidden="1" customWidth="1"/>
    <col min="25" max="25" width="7.7109375" style="89" customWidth="1"/>
    <col min="26" max="16384" width="8.7109375" style="89"/>
  </cols>
  <sheetData>
    <row r="1" spans="2:24" ht="12.75" x14ac:dyDescent="0.25">
      <c r="D1" s="89" t="s">
        <v>1</v>
      </c>
      <c r="E1" s="89"/>
      <c r="F1" s="90"/>
      <c r="K1" s="89" t="s">
        <v>1</v>
      </c>
    </row>
    <row r="2" spans="2:24" ht="12.75" x14ac:dyDescent="0.25">
      <c r="E2" s="92"/>
      <c r="F2" s="93"/>
      <c r="G2" s="92"/>
      <c r="H2" s="92" t="s">
        <v>225</v>
      </c>
      <c r="I2" s="92"/>
      <c r="J2" s="92"/>
      <c r="K2" s="89" t="s">
        <v>1</v>
      </c>
      <c r="L2" s="94" t="s">
        <v>222</v>
      </c>
      <c r="M2" s="9" t="s">
        <v>229</v>
      </c>
      <c r="N2" s="95"/>
    </row>
    <row r="3" spans="2:24" s="1" customFormat="1" ht="12.75" x14ac:dyDescent="0.25">
      <c r="B3" s="67" t="s">
        <v>43</v>
      </c>
      <c r="C3" s="68" t="s">
        <v>151</v>
      </c>
      <c r="E3" s="96" t="s">
        <v>2</v>
      </c>
      <c r="F3" s="97">
        <f ca="1">C14</f>
        <v>45424</v>
      </c>
      <c r="G3" s="73">
        <v>0.1</v>
      </c>
      <c r="H3" s="2">
        <f t="shared" ref="H3:H35" ca="1" si="0">I3*C$18</f>
        <v>456943.8849290387</v>
      </c>
      <c r="I3" s="98">
        <f>MAX(G3,5%)</f>
        <v>0.1</v>
      </c>
      <c r="J3" s="99">
        <f>SUM(I$3:I3)</f>
        <v>0.1</v>
      </c>
      <c r="K3" s="89" t="s">
        <v>1</v>
      </c>
      <c r="L3" s="74">
        <f t="shared" ref="L3:L8" ca="1" si="1">IF(AND($F3=$C$14,$C$15-$C$14&lt;=0),$C$22,IF($C$15-$C$14&lt;=(366+91),IF(AND($C$15-$F3&gt;91,$C$15-$F3&lt;=(366+91)/4),$C$22,0),IF(AND($C$15-$F3&gt;91,$C$15-$F3&lt;(366+91)/4*3),$C$22/3,0)))</f>
        <v>0</v>
      </c>
      <c r="M3" s="76">
        <f t="shared" ref="M3:M35" ca="1" si="2">IF(AND($F3=$C$14,$C$15-$C$14&lt;=0),$S$11,IF(AND($C$15-$F3&gt;366*3/4,$C$15-$F3&lt;366),$S$11,0))</f>
        <v>0</v>
      </c>
      <c r="N3" s="89"/>
      <c r="O3" s="89"/>
      <c r="P3" s="100" t="s">
        <v>5</v>
      </c>
      <c r="Q3" s="64">
        <v>0.29399999999999998</v>
      </c>
      <c r="R3" s="89"/>
      <c r="S3" s="89"/>
      <c r="U3" s="1">
        <v>5</v>
      </c>
      <c r="V3" s="121">
        <v>0.56800793211844003</v>
      </c>
    </row>
    <row r="4" spans="2:24" s="1" customFormat="1" ht="12.75" x14ac:dyDescent="0.25">
      <c r="B4" s="101" t="s">
        <v>217</v>
      </c>
      <c r="C4" s="102" t="str">
        <f>_xlfn.XLOOKUP(C$3,Table.Source[Unit Code],Table.Source[Project])</f>
        <v>Ashgar Heights (Skyla)</v>
      </c>
      <c r="E4" s="103">
        <v>1</v>
      </c>
      <c r="F4" s="104">
        <f ca="1">DATE(YEAR(EOMONTH(F3,3)),MONTH(EOMONTH(F3,3)),DAY(F3))</f>
        <v>45516</v>
      </c>
      <c r="G4" s="6"/>
      <c r="H4" s="3">
        <f t="shared" ca="1" si="0"/>
        <v>128515.46763629213</v>
      </c>
      <c r="I4" s="105">
        <f ca="1">MAX(0,MIN(1-SUM(I$3:I3),MAX((ROUNDDOWN(E4/4,0)+1)*10%-SUM(I$3:I3),IF($C$15-$F4&lt;91.3,$R$11-SUM(I$3:I3),0),IF($I$3=1,0,IF($E4&gt;$C$13*4,0,IF($G4&lt;&gt;"",$G4,(1-SUM(I$3:I3)-SUM($G4:$G$35))/($C$13*4-COUNT(E$4:E4)+1-COUNTIFS($G4:$G$35,"&lt;&gt;"))))))))</f>
        <v>2.8125000000000001E-2</v>
      </c>
      <c r="J4" s="106">
        <f ca="1">SUM(I$3:I4)</f>
        <v>0.12812500000000002</v>
      </c>
      <c r="K4" s="89" t="s">
        <v>1</v>
      </c>
      <c r="L4" s="74">
        <f t="shared" ca="1" si="1"/>
        <v>0</v>
      </c>
      <c r="M4" s="74">
        <f t="shared" ca="1" si="2"/>
        <v>0</v>
      </c>
      <c r="N4" s="89"/>
      <c r="O4" s="89"/>
      <c r="P4" s="100" t="s">
        <v>8</v>
      </c>
      <c r="Q4" s="64">
        <f>IF(C13&lt;=5,V3,IF(C13=U4,V4,IF(C13=U5,V5,IF(C13=U6,V6,IF(C13=U7,V7,IF(C13=U8,V8,IF(C13=U9,V9,IF(C13=U10,V10,IF(C13=U11,V11,IF(C13=U12,V12,IF(C13=U13,V13,IF(C13=U14,V14,IF(C13=U15,V15,"ERROR")))))))))))))</f>
        <v>0.55000000000000004</v>
      </c>
      <c r="R4" s="65">
        <f ca="1">NPV((1+$Q$3)^(1/4)-1,I4:I35)+I3</f>
        <v>0.46882124275121484</v>
      </c>
      <c r="S4" s="107"/>
      <c r="U4" s="1">
        <v>5.25</v>
      </c>
      <c r="V4" s="121">
        <v>0.56499999999999995</v>
      </c>
    </row>
    <row r="5" spans="2:24" s="1" customFormat="1" ht="13.5" thickBot="1" x14ac:dyDescent="0.3">
      <c r="B5" s="101" t="s">
        <v>46</v>
      </c>
      <c r="C5" s="102" t="str">
        <f>_xlfn.XLOOKUP(C$3,Table.Source[Unit Code],Table.Source[No. of Bed Rooms])</f>
        <v>2 B.</v>
      </c>
      <c r="E5" s="103">
        <f>E4+1</f>
        <v>2</v>
      </c>
      <c r="F5" s="104">
        <f t="shared" ref="F5:F35" ca="1" si="3">DATE(YEAR(EOMONTH(F4,3)),MONTH(EOMONTH(F4,3)),DAY(F4))</f>
        <v>45608</v>
      </c>
      <c r="G5" s="6"/>
      <c r="H5" s="3">
        <f t="shared" ca="1" si="0"/>
        <v>128515.46763629212</v>
      </c>
      <c r="I5" s="105">
        <f ca="1">MAX(0,MIN(1-SUM(I$3:I4),MAX((ROUNDDOWN(E5/4,0)+1)*10%-SUM(I$3:I4),IF($C$15-$F5&lt;91.3,$R$11-SUM(I$3:I4),0),IF($I$3=1,0,IF($E5&gt;$C$13*4,0,IF($G5&lt;&gt;"",$G5,(1-SUM(I$3:I4)-SUM($G5:$G$35))/($C$13*4-COUNT(E$4:E5)+1-COUNTIFS($G5:$G$35,"&lt;&gt;"))))))))</f>
        <v>2.8124999999999997E-2</v>
      </c>
      <c r="J5" s="106">
        <f ca="1">SUM(I$3:I5)</f>
        <v>0.15625</v>
      </c>
      <c r="K5" s="89" t="s">
        <v>1</v>
      </c>
      <c r="L5" s="74">
        <f t="shared" ca="1" si="1"/>
        <v>0</v>
      </c>
      <c r="M5" s="74">
        <f t="shared" ca="1" si="2"/>
        <v>0</v>
      </c>
      <c r="N5" s="89"/>
      <c r="O5" s="4"/>
      <c r="P5" s="108" t="s">
        <v>0</v>
      </c>
      <c r="Q5" s="66">
        <f ca="1">NPV((1+$Q$3)^(1/4)-1,H4:H35)+H3</f>
        <v>2142250.0000000005</v>
      </c>
      <c r="S5" s="107"/>
      <c r="U5" s="1">
        <v>5.5</v>
      </c>
      <c r="V5" s="121">
        <v>0.5625</v>
      </c>
    </row>
    <row r="6" spans="2:24" s="1" customFormat="1" ht="13.5" thickTop="1" x14ac:dyDescent="0.25">
      <c r="B6" s="101" t="s">
        <v>223</v>
      </c>
      <c r="C6" s="69" t="str">
        <f>_xlfn.XLOOKUP(C$3,Table.Source[Unit Code],Table.Source[Finishing Specs.])</f>
        <v>Semi-Finished</v>
      </c>
      <c r="E6" s="103">
        <f t="shared" ref="E6:E35" si="4">E5+1</f>
        <v>3</v>
      </c>
      <c r="F6" s="104">
        <f t="shared" ca="1" si="3"/>
        <v>45700</v>
      </c>
      <c r="G6" s="6"/>
      <c r="H6" s="3">
        <f t="shared" ca="1" si="0"/>
        <v>128515.46763629213</v>
      </c>
      <c r="I6" s="105">
        <f ca="1">MAX(0,MIN(1-SUM(I$3:I5),MAX((ROUNDDOWN(E6/4,0)+1)*10%-SUM(I$3:I5),IF($C$15-$F6&lt;91.3,$R$11-SUM(I$3:I5),0),IF($I$3=1,0,IF($E6&gt;$C$13*4,0,IF($G6&lt;&gt;"",$G6,(1-SUM(I$3:I5)-SUM($G6:$G$35))/($C$13*4-COUNT(E$4:E6)+1-COUNTIFS($G6:$G$35,"&lt;&gt;"))))))))</f>
        <v>2.8125000000000001E-2</v>
      </c>
      <c r="J6" s="106">
        <f ca="1">SUM(I$3:I6)</f>
        <v>0.18437500000000001</v>
      </c>
      <c r="K6" s="89" t="s">
        <v>1</v>
      </c>
      <c r="L6" s="74">
        <f t="shared" ca="1" si="1"/>
        <v>0</v>
      </c>
      <c r="M6" s="74">
        <f t="shared" ca="1" si="2"/>
        <v>0</v>
      </c>
      <c r="N6" s="89"/>
      <c r="O6" s="89"/>
      <c r="R6" s="89"/>
      <c r="S6" s="89"/>
      <c r="U6" s="1">
        <v>5.75</v>
      </c>
      <c r="V6" s="121">
        <v>0.5615</v>
      </c>
      <c r="X6" s="1" t="s">
        <v>230</v>
      </c>
    </row>
    <row r="7" spans="2:24" s="1" customFormat="1" ht="12.75" x14ac:dyDescent="0.25">
      <c r="B7" s="101"/>
      <c r="C7" s="102"/>
      <c r="E7" s="109">
        <f t="shared" si="4"/>
        <v>4</v>
      </c>
      <c r="F7" s="110">
        <f t="shared" ca="1" si="3"/>
        <v>45789</v>
      </c>
      <c r="G7" s="7"/>
      <c r="H7" s="5">
        <f t="shared" ca="1" si="0"/>
        <v>128515.46763629213</v>
      </c>
      <c r="I7" s="111">
        <f ca="1">MAX(0,MIN(1-SUM(I$3:I6),MAX((ROUNDDOWN(E7/4,0)+1)*10%-SUM(I$3:I6),IF($C$15-$F7&lt;91.3,$R$11-SUM(I$3:I6),0),IF($I$3=1,0,IF($E7&gt;$C$13*4,0,IF($G7&lt;&gt;"",$G7,(1-SUM(I$3:I6)-SUM($G7:$G$35))/($C$13*4-COUNT(E$4:E7)+1-COUNTIFS($G7:$G$35,"&lt;&gt;"))))))))</f>
        <v>2.8125000000000001E-2</v>
      </c>
      <c r="J7" s="112">
        <f ca="1">SUM(I$3:I7)</f>
        <v>0.21250000000000002</v>
      </c>
      <c r="K7" s="89" t="s">
        <v>1</v>
      </c>
      <c r="L7" s="74">
        <f t="shared" ca="1" si="1"/>
        <v>0</v>
      </c>
      <c r="M7" s="75">
        <f t="shared" ca="1" si="2"/>
        <v>0</v>
      </c>
      <c r="N7" s="89"/>
      <c r="O7" s="89"/>
      <c r="P7" s="100" t="s">
        <v>219</v>
      </c>
      <c r="Q7" s="63">
        <v>0.25</v>
      </c>
      <c r="R7" s="89"/>
      <c r="S7" s="89"/>
      <c r="U7" s="1">
        <v>6</v>
      </c>
      <c r="V7" s="121">
        <v>0.5575</v>
      </c>
    </row>
    <row r="8" spans="2:24" s="1" customFormat="1" ht="12.75" x14ac:dyDescent="0.25">
      <c r="B8" s="101" t="s">
        <v>218</v>
      </c>
      <c r="C8" s="69">
        <f>_xlfn.XLOOKUP(C$3,Table.Source[Unit Code],Table.Source[Sellable Area without Roof (Gross Area)])</f>
        <v>125.46910755148741</v>
      </c>
      <c r="E8" s="103">
        <f t="shared" si="4"/>
        <v>5</v>
      </c>
      <c r="F8" s="104">
        <f t="shared" ca="1" si="3"/>
        <v>45881</v>
      </c>
      <c r="G8" s="6"/>
      <c r="H8" s="3">
        <f t="shared" ca="1" si="0"/>
        <v>128515.46763629213</v>
      </c>
      <c r="I8" s="105">
        <f ca="1">MAX(0,MIN(1-SUM(I$3:I7),MAX((ROUNDDOWN(E8/4,0)+1)*10%-SUM(I$3:I7),IF($C$15-$F8&lt;91.3,$R$11-SUM(I$3:I7),0),IF($I$3=1,0,IF($E8&gt;$C$13*4,0,IF($G8&lt;&gt;"",$G8,(1-SUM(I$3:I7)-SUM($G8:$G$35))/($C$13*4-COUNT(E$4:E8)+1-COUNTIFS($G8:$G$35,"&lt;&gt;"))))))))</f>
        <v>2.8125000000000001E-2</v>
      </c>
      <c r="J8" s="106">
        <f ca="1">SUM(I$3:I8)</f>
        <v>0.24062500000000003</v>
      </c>
      <c r="K8" s="89" t="s">
        <v>1</v>
      </c>
      <c r="L8" s="74">
        <f t="shared" ca="1" si="1"/>
        <v>0</v>
      </c>
      <c r="M8" s="74">
        <f t="shared" ca="1" si="2"/>
        <v>0</v>
      </c>
      <c r="N8" s="89"/>
      <c r="O8" s="89"/>
      <c r="P8" s="89"/>
      <c r="Q8" s="89"/>
      <c r="R8" s="89"/>
      <c r="S8" s="89"/>
      <c r="U8" s="1">
        <v>6.25</v>
      </c>
      <c r="V8" s="121">
        <v>0.55500000000000005</v>
      </c>
    </row>
    <row r="9" spans="2:24" s="1" customFormat="1" ht="12.75" x14ac:dyDescent="0.25">
      <c r="B9" s="101" t="s">
        <v>63</v>
      </c>
      <c r="C9" s="69">
        <f>_xlfn.XLOOKUP(C$3,Table.Source[Unit Code],Table.Source[Garden Area])</f>
        <v>0</v>
      </c>
      <c r="E9" s="103">
        <f t="shared" si="4"/>
        <v>6</v>
      </c>
      <c r="F9" s="104">
        <f t="shared" ca="1" si="3"/>
        <v>45973</v>
      </c>
      <c r="G9" s="6"/>
      <c r="H9" s="3">
        <f t="shared" ca="1" si="0"/>
        <v>128515.46763629212</v>
      </c>
      <c r="I9" s="105">
        <f ca="1">MAX(0,MIN(1-SUM(I$3:I8),MAX((ROUNDDOWN(E9/4,0)+1)*10%-SUM(I$3:I8),IF($C$15-$F9&lt;91.3,$R$11-SUM(I$3:I8),0),IF($I$3=1,0,IF($E9&gt;$C$13*4,0,IF($G9&lt;&gt;"",$G9,(1-SUM(I$3:I8)-SUM($G9:$G$35))/($C$13*4-COUNT(E$4:E9)+1-COUNTIFS($G9:$G$35,"&lt;&gt;"))))))))</f>
        <v>2.8124999999999997E-2</v>
      </c>
      <c r="J9" s="106">
        <f ca="1">SUM(I$3:I9)</f>
        <v>0.26875000000000004</v>
      </c>
      <c r="K9" s="89" t="s">
        <v>1</v>
      </c>
      <c r="L9" s="74">
        <f ca="1">IF(AND($F9=$C$14,$C$15-$C$14&lt;=0),$C$22,IF($C$15-$C$14&lt;=(366+91),IF(AND($C$15-$F9&gt;91,$C$15-$F9&lt;=(366+91)/4),$C$22,0),IF(AND($C$15-$F9&gt;91,$C$15-$F9&lt;(366+91)/4*3),$C$22/3,0)))</f>
        <v>137083.1654787116</v>
      </c>
      <c r="M9" s="74">
        <f t="shared" ca="1" si="2"/>
        <v>0</v>
      </c>
      <c r="N9" s="89"/>
      <c r="O9" s="89"/>
      <c r="R9" s="89"/>
      <c r="U9" s="1">
        <v>6.5</v>
      </c>
      <c r="V9" s="121">
        <v>0.55249999999999999</v>
      </c>
    </row>
    <row r="10" spans="2:24" s="1" customFormat="1" ht="12.75" x14ac:dyDescent="0.25">
      <c r="B10" s="101" t="s">
        <v>53</v>
      </c>
      <c r="C10" s="69">
        <f>_xlfn.XLOOKUP(C$3,Table.Source[Unit Code],Table.Source[Penthouse Area])</f>
        <v>0</v>
      </c>
      <c r="E10" s="103">
        <f t="shared" si="4"/>
        <v>7</v>
      </c>
      <c r="F10" s="104">
        <f t="shared" ca="1" si="3"/>
        <v>46065</v>
      </c>
      <c r="G10" s="6"/>
      <c r="H10" s="3">
        <f t="shared" ca="1" si="0"/>
        <v>128515.46763629212</v>
      </c>
      <c r="I10" s="105">
        <f ca="1">MAX(0,MIN(1-SUM(I$3:I9),MAX((ROUNDDOWN(E10/4,0)+1)*10%-SUM(I$3:I9),IF($C$15-$F10&lt;91.3,$R$11-SUM(I$3:I9),0),IF($I$3=1,0,IF($E10&gt;$C$13*4,0,IF($G10&lt;&gt;"",$G10,(1-SUM(I$3:I9)-SUM($G10:$G$35))/($C$13*4-COUNT(E$4:E10)+1-COUNTIFS($G10:$G$35,"&lt;&gt;"))))))))</f>
        <v>2.8124999999999997E-2</v>
      </c>
      <c r="J10" s="106">
        <f ca="1">SUM(I$3:I10)</f>
        <v>0.29687500000000006</v>
      </c>
      <c r="K10" s="89" t="s">
        <v>1</v>
      </c>
      <c r="L10" s="74">
        <f t="shared" ref="L10:L35" ca="1" si="5">IF(AND($F10=$C$14,$C$15-$C$14&lt;=0),$C$22,IF($C$15-$C$14&lt;=(366+91),IF(AND($C$15-$F10&gt;91,$C$15-$F10&lt;=(366+91)/4),$C$22,0),IF(AND($C$15-$F10&gt;91,$C$15-$F10&lt;(366+91)/4*3),$C$22/3,0)))</f>
        <v>137083.1654787116</v>
      </c>
      <c r="M10" s="74">
        <f t="shared" ca="1" si="2"/>
        <v>0</v>
      </c>
      <c r="N10" s="89"/>
      <c r="O10" s="89"/>
      <c r="P10" s="120"/>
      <c r="R10" s="113" t="s">
        <v>226</v>
      </c>
      <c r="S10" s="113" t="s">
        <v>224</v>
      </c>
      <c r="U10" s="1">
        <v>6.75</v>
      </c>
      <c r="V10" s="121">
        <v>0.55149999999999999</v>
      </c>
    </row>
    <row r="11" spans="2:24" s="1" customFormat="1" ht="12.75" x14ac:dyDescent="0.25">
      <c r="B11" s="101" t="s">
        <v>227</v>
      </c>
      <c r="C11" s="69">
        <f>_xlfn.XLOOKUP(C$3,Table.Source[Unit Code],Table.Source[Penthouse Area])+_xlfn.XLOOKUP(C$3,Table.Source[Unit Code],Table.Source[Roof Terraces Area])</f>
        <v>0</v>
      </c>
      <c r="E11" s="109">
        <f t="shared" si="4"/>
        <v>8</v>
      </c>
      <c r="F11" s="110">
        <f t="shared" ca="1" si="3"/>
        <v>46154</v>
      </c>
      <c r="G11" s="7"/>
      <c r="H11" s="5">
        <f t="shared" ca="1" si="0"/>
        <v>128515.46763629213</v>
      </c>
      <c r="I11" s="111">
        <f ca="1">MAX(0,MIN(1-SUM(I$3:I10),MAX((ROUNDDOWN(E11/4,0)+1)*10%-SUM(I$3:I10),IF($C$15-$F11&lt;91.3,$R$11-SUM(I$3:I10),0),IF($I$3=1,0,IF($E11&gt;$C$13*4,0,IF($G11&lt;&gt;"",$G11,(1-SUM(I$3:I10)-SUM($G11:$G$35))/($C$13*4-COUNT(E$4:E11)+1-COUNTIFS($G11:$G$35,"&lt;&gt;"))))))))</f>
        <v>2.8125000000000001E-2</v>
      </c>
      <c r="J11" s="112">
        <f ca="1">SUM(I$3:I11)</f>
        <v>0.32500000000000007</v>
      </c>
      <c r="K11" s="89" t="s">
        <v>1</v>
      </c>
      <c r="L11" s="75">
        <f t="shared" ca="1" si="5"/>
        <v>137083.1654787116</v>
      </c>
      <c r="M11" s="75">
        <f t="shared" ca="1" si="2"/>
        <v>0</v>
      </c>
      <c r="N11" s="89"/>
      <c r="O11" s="89"/>
      <c r="R11" s="84">
        <f ca="1">IFERROR(_xlfn.XLOOKUP($C$15,Q12:Q30,R12:R30,,1),_xlfn.XLOOKUP(MAX(Q12:Q30),Q12:Q30,R12:R30,,1))</f>
        <v>0.35</v>
      </c>
      <c r="S11" s="77">
        <f ca="1">MAX(IFERROR(_xlfn.XLOOKUP($C$15,Q12:Q30,S12:S30,,1),_xlfn.XLOOKUP(MAX(Q12:Q30),Q12:Q30,S12:S30,,1)),_xlfn.XLOOKUP(_xlfn.MINIFS(Q12:Q30,Q12:Q30,"&lt;&gt;0",S12:S30,"&lt;&gt;0"),Q12:Q30,S12:S30,,1))</f>
        <v>0</v>
      </c>
      <c r="U11" s="1">
        <v>7</v>
      </c>
      <c r="V11" s="121">
        <v>0.55000000000000004</v>
      </c>
    </row>
    <row r="12" spans="2:24" s="1" customFormat="1" ht="12.75" x14ac:dyDescent="0.25">
      <c r="B12" s="101"/>
      <c r="C12" s="69"/>
      <c r="E12" s="103">
        <f t="shared" si="4"/>
        <v>9</v>
      </c>
      <c r="F12" s="104">
        <f t="shared" ca="1" si="3"/>
        <v>46246</v>
      </c>
      <c r="G12" s="6"/>
      <c r="H12" s="3">
        <f t="shared" ca="1" si="0"/>
        <v>128515.46763629212</v>
      </c>
      <c r="I12" s="105">
        <f ca="1">MAX(0,MIN(1-SUM(I$3:I11),MAX((ROUNDDOWN(E12/4,0)+1)*10%-SUM(I$3:I11),IF($C$15-$F12&lt;91.3,$R$11-SUM(I$3:I11),0),IF($I$3=1,0,IF($E12&gt;$C$13*4,0,IF($G12&lt;&gt;"",$G12,(1-SUM(I$3:I11)-SUM($G12:$G$35))/($C$13*4-COUNT(E$4:E12)+1-COUNTIFS($G12:$G$35,"&lt;&gt;"))))))))</f>
        <v>2.8124999999999997E-2</v>
      </c>
      <c r="J12" s="106">
        <f ca="1">SUM(I$3:I12)</f>
        <v>0.35312500000000008</v>
      </c>
      <c r="K12" s="89" t="s">
        <v>1</v>
      </c>
      <c r="L12" s="74">
        <f t="shared" ca="1" si="5"/>
        <v>0</v>
      </c>
      <c r="M12" s="74">
        <f t="shared" ca="1" si="2"/>
        <v>0</v>
      </c>
      <c r="N12" s="89"/>
      <c r="O12" s="89"/>
      <c r="P12" s="85">
        <f>1/4</f>
        <v>0.25</v>
      </c>
      <c r="Q12" s="114">
        <f t="shared" ref="Q12:Q30" ca="1" si="6">IF(P12=0,0,$C$14+P12*365.25)</f>
        <v>45515.3125</v>
      </c>
      <c r="R12" s="81">
        <v>0.35</v>
      </c>
      <c r="S12" s="78"/>
      <c r="U12" s="1">
        <v>7.25</v>
      </c>
      <c r="V12" s="121">
        <v>0.55000000000000004</v>
      </c>
    </row>
    <row r="13" spans="2:24" s="1" customFormat="1" ht="12.75" x14ac:dyDescent="0.25">
      <c r="B13" s="67" t="s">
        <v>3</v>
      </c>
      <c r="C13" s="122">
        <v>8</v>
      </c>
      <c r="E13" s="103">
        <f t="shared" si="4"/>
        <v>10</v>
      </c>
      <c r="F13" s="104">
        <f t="shared" ca="1" si="3"/>
        <v>46338</v>
      </c>
      <c r="G13" s="6"/>
      <c r="H13" s="3">
        <f t="shared" ca="1" si="0"/>
        <v>128515.4676362921</v>
      </c>
      <c r="I13" s="105">
        <f ca="1">MAX(0,MIN(1-SUM(I$3:I12),MAX((ROUNDDOWN(E13/4,0)+1)*10%-SUM(I$3:I12),IF($C$15-$F13&lt;91.3,$R$11-SUM(I$3:I12),0),IF($I$3=1,0,IF($E13&gt;$C$13*4,0,IF($G13&lt;&gt;"",$G13,(1-SUM(I$3:I12)-SUM($G13:$G$35))/($C$13*4-COUNT(E$4:E13)+1-COUNTIFS($G13:$G$35,"&lt;&gt;"))))))))</f>
        <v>2.8124999999999994E-2</v>
      </c>
      <c r="J13" s="106">
        <f ca="1">SUM(I$3:I13)</f>
        <v>0.38125000000000009</v>
      </c>
      <c r="K13" s="89" t="s">
        <v>1</v>
      </c>
      <c r="L13" s="74">
        <f t="shared" ca="1" si="5"/>
        <v>0</v>
      </c>
      <c r="M13" s="74">
        <f t="shared" ca="1" si="2"/>
        <v>0</v>
      </c>
      <c r="N13" s="89"/>
      <c r="O13" s="89"/>
      <c r="P13" s="86">
        <f>1/2</f>
        <v>0.5</v>
      </c>
      <c r="Q13" s="115">
        <f t="shared" ca="1" si="6"/>
        <v>45606.625</v>
      </c>
      <c r="R13" s="82">
        <v>0.35</v>
      </c>
      <c r="S13" s="79"/>
      <c r="U13" s="1">
        <v>7.5</v>
      </c>
      <c r="V13" s="121">
        <v>0.55000000000000004</v>
      </c>
    </row>
    <row r="14" spans="2:24" s="1" customFormat="1" ht="12.75" x14ac:dyDescent="0.25">
      <c r="B14" s="101" t="s">
        <v>6</v>
      </c>
      <c r="C14" s="71">
        <f ca="1">TODAY()</f>
        <v>45424</v>
      </c>
      <c r="E14" s="103">
        <f t="shared" si="4"/>
        <v>11</v>
      </c>
      <c r="F14" s="104">
        <f t="shared" ca="1" si="3"/>
        <v>46430</v>
      </c>
      <c r="G14" s="6"/>
      <c r="H14" s="3">
        <f t="shared" ca="1" si="0"/>
        <v>128515.46763629212</v>
      </c>
      <c r="I14" s="105">
        <f ca="1">MAX(0,MIN(1-SUM(I$3:I13),MAX((ROUNDDOWN(E14/4,0)+1)*10%-SUM(I$3:I13),IF($C$15-$F14&lt;91.3,$R$11-SUM(I$3:I13),0),IF($I$3=1,0,IF($E14&gt;$C$13*4,0,IF($G14&lt;&gt;"",$G14,(1-SUM(I$3:I13)-SUM($G14:$G$35))/($C$13*4-COUNT(E$4:E14)+1-COUNTIFS($G14:$G$35,"&lt;&gt;"))))))))</f>
        <v>2.8124999999999997E-2</v>
      </c>
      <c r="J14" s="106">
        <f ca="1">SUM(I$3:I14)</f>
        <v>0.4093750000000001</v>
      </c>
      <c r="K14" s="89" t="s">
        <v>1</v>
      </c>
      <c r="L14" s="74">
        <f t="shared" ca="1" si="5"/>
        <v>0</v>
      </c>
      <c r="M14" s="74">
        <f t="shared" ca="1" si="2"/>
        <v>0</v>
      </c>
      <c r="N14" s="89"/>
      <c r="O14" s="89"/>
      <c r="P14" s="86">
        <v>1</v>
      </c>
      <c r="Q14" s="115">
        <f t="shared" ca="1" si="6"/>
        <v>45789.25</v>
      </c>
      <c r="R14" s="82">
        <v>0.35</v>
      </c>
      <c r="S14" s="79"/>
      <c r="U14" s="1">
        <v>7.75</v>
      </c>
      <c r="V14" s="121">
        <v>0.55000000000000004</v>
      </c>
    </row>
    <row r="15" spans="2:24" s="1" customFormat="1" ht="12.75" x14ac:dyDescent="0.25">
      <c r="B15" s="67" t="s">
        <v>7</v>
      </c>
      <c r="C15" s="116">
        <f ca="1">_xlfn.XLOOKUP(C$3,Table.Source[Unit Code],Table.Source[Development Delivery Date])</f>
        <v>46254</v>
      </c>
      <c r="E15" s="109">
        <f t="shared" si="4"/>
        <v>12</v>
      </c>
      <c r="F15" s="110">
        <f t="shared" ca="1" si="3"/>
        <v>46519</v>
      </c>
      <c r="G15" s="7"/>
      <c r="H15" s="5">
        <f t="shared" ca="1" si="0"/>
        <v>128515.46763629212</v>
      </c>
      <c r="I15" s="111">
        <f ca="1">MAX(0,MIN(1-SUM(I$3:I14),MAX((ROUNDDOWN(E15/4,0)+1)*10%-SUM(I$3:I14),IF($C$15-$F15&lt;91.3,$R$11-SUM(I$3:I14),0),IF($I$3=1,0,IF($E15&gt;$C$13*4,0,IF($G15&lt;&gt;"",$G15,(1-SUM(I$3:I14)-SUM($G15:$G$35))/($C$13*4-COUNT(E$4:E15)+1-COUNTIFS($G15:$G$35,"&lt;&gt;"))))))))</f>
        <v>2.8124999999999997E-2</v>
      </c>
      <c r="J15" s="112">
        <f ca="1">SUM(I$3:I15)</f>
        <v>0.43750000000000011</v>
      </c>
      <c r="K15" s="89" t="s">
        <v>1</v>
      </c>
      <c r="L15" s="75">
        <f t="shared" ca="1" si="5"/>
        <v>0</v>
      </c>
      <c r="M15" s="75">
        <f t="shared" ca="1" si="2"/>
        <v>0</v>
      </c>
      <c r="N15" s="89"/>
      <c r="O15" s="89"/>
      <c r="P15" s="86">
        <v>1.5</v>
      </c>
      <c r="Q15" s="115">
        <f t="shared" ca="1" si="6"/>
        <v>45971.875</v>
      </c>
      <c r="R15" s="82">
        <v>0.35</v>
      </c>
      <c r="S15" s="79"/>
      <c r="U15" s="1">
        <v>8</v>
      </c>
      <c r="V15" s="121">
        <v>0.55000000000000004</v>
      </c>
    </row>
    <row r="16" spans="2:24" s="1" customFormat="1" ht="12.75" x14ac:dyDescent="0.25">
      <c r="B16" s="101"/>
      <c r="C16" s="102"/>
      <c r="E16" s="103">
        <f t="shared" si="4"/>
        <v>13</v>
      </c>
      <c r="F16" s="104">
        <f t="shared" ca="1" si="3"/>
        <v>46611</v>
      </c>
      <c r="G16" s="6"/>
      <c r="H16" s="3">
        <f t="shared" ca="1" si="0"/>
        <v>128515.4676362921</v>
      </c>
      <c r="I16" s="105">
        <f ca="1">MAX(0,MIN(1-SUM(I$3:I15),MAX((ROUNDDOWN(E16/4,0)+1)*10%-SUM(I$3:I15),IF($C$15-$F16&lt;91.3,$R$11-SUM(I$3:I15),0),IF($I$3=1,0,IF($E16&gt;$C$13*4,0,IF($G16&lt;&gt;"",$G16,(1-SUM(I$3:I15)-SUM($G16:$G$35))/($C$13*4-COUNT(E$4:E16)+1-COUNTIFS($G16:$G$35,"&lt;&gt;"))))))))</f>
        <v>2.8124999999999994E-2</v>
      </c>
      <c r="J16" s="106">
        <f ca="1">SUM(I$3:I16)</f>
        <v>0.46562500000000012</v>
      </c>
      <c r="K16" s="89" t="s">
        <v>1</v>
      </c>
      <c r="L16" s="74">
        <f t="shared" ca="1" si="5"/>
        <v>0</v>
      </c>
      <c r="M16" s="74">
        <f t="shared" ca="1" si="2"/>
        <v>0</v>
      </c>
      <c r="N16" s="89"/>
      <c r="O16" s="89"/>
      <c r="P16" s="86">
        <v>2</v>
      </c>
      <c r="Q16" s="115">
        <f t="shared" ca="1" si="6"/>
        <v>46154.5</v>
      </c>
      <c r="R16" s="82">
        <v>0.35</v>
      </c>
      <c r="S16" s="79"/>
    </row>
    <row r="17" spans="2:19" s="1" customFormat="1" ht="12.75" x14ac:dyDescent="0.25">
      <c r="B17" s="123" t="str">
        <f>"Interest Free Price @ "&amp;_xlfn.XLOOKUP(C$3,Table.Source[Unit Code],Table.Source[Interest Free Yrs.])</f>
        <v>Interest Free Price @ 5Y</v>
      </c>
      <c r="C17" s="124">
        <f>_xlfn.XLOOKUP(C$3,Table.Source[Unit Code],Table.Source[Interest Free Unit Price
include club])</f>
        <v>3895000</v>
      </c>
      <c r="E17" s="103">
        <f t="shared" si="4"/>
        <v>14</v>
      </c>
      <c r="F17" s="104">
        <f t="shared" ca="1" si="3"/>
        <v>46703</v>
      </c>
      <c r="G17" s="6"/>
      <c r="H17" s="3">
        <f t="shared" ca="1" si="0"/>
        <v>128515.46763629209</v>
      </c>
      <c r="I17" s="105">
        <f ca="1">MAX(0,MIN(1-SUM(I$3:I16),MAX((ROUNDDOWN(E17/4,0)+1)*10%-SUM(I$3:I16),IF($C$15-$F17&lt;91.3,$R$11-SUM(I$3:I16),0),IF($I$3=1,0,IF($E17&gt;$C$13*4,0,IF($G17&lt;&gt;"",$G17,(1-SUM(I$3:I16)-SUM($G17:$G$35))/($C$13*4-COUNT(E$4:E17)+1-COUNTIFS($G17:$G$35,"&lt;&gt;"))))))))</f>
        <v>2.812499999999999E-2</v>
      </c>
      <c r="J17" s="106">
        <f ca="1">SUM(I$3:I17)</f>
        <v>0.49375000000000013</v>
      </c>
      <c r="K17" s="89" t="s">
        <v>1</v>
      </c>
      <c r="L17" s="74">
        <f t="shared" ca="1" si="5"/>
        <v>0</v>
      </c>
      <c r="M17" s="74">
        <f t="shared" ca="1" si="2"/>
        <v>0</v>
      </c>
      <c r="N17" s="89"/>
      <c r="O17" s="89"/>
      <c r="P17" s="86">
        <v>2.5</v>
      </c>
      <c r="Q17" s="115">
        <f t="shared" ca="1" si="6"/>
        <v>46337.125</v>
      </c>
      <c r="R17" s="82">
        <v>0.35</v>
      </c>
      <c r="S17" s="79"/>
    </row>
    <row r="18" spans="2:19" s="1" customFormat="1" ht="12.75" x14ac:dyDescent="0.25">
      <c r="B18" s="127" t="s">
        <v>220</v>
      </c>
      <c r="C18" s="128">
        <f ca="1">C17*(1+C19)</f>
        <v>4569438.8492903868</v>
      </c>
      <c r="E18" s="103">
        <f t="shared" si="4"/>
        <v>15</v>
      </c>
      <c r="F18" s="104">
        <f t="shared" ca="1" si="3"/>
        <v>46795</v>
      </c>
      <c r="G18" s="6"/>
      <c r="H18" s="3">
        <f t="shared" ca="1" si="0"/>
        <v>128515.4676362921</v>
      </c>
      <c r="I18" s="105">
        <f ca="1">MAX(0,MIN(1-SUM(I$3:I17),MAX((ROUNDDOWN(E18/4,0)+1)*10%-SUM(I$3:I17),IF($C$15-$F18&lt;91.3,$R$11-SUM(I$3:I17),0),IF($I$3=1,0,IF($E18&gt;$C$13*4,0,IF($G18&lt;&gt;"",$G18,(1-SUM(I$3:I17)-SUM($G18:$G$35))/($C$13*4-COUNT(E$4:E18)+1-COUNTIFS($G18:$G$35,"&lt;&gt;"))))))))</f>
        <v>2.8124999999999994E-2</v>
      </c>
      <c r="J18" s="106">
        <f ca="1">SUM(I$3:I18)</f>
        <v>0.52187500000000009</v>
      </c>
      <c r="K18" s="89" t="s">
        <v>1</v>
      </c>
      <c r="L18" s="74">
        <f t="shared" ca="1" si="5"/>
        <v>0</v>
      </c>
      <c r="M18" s="74">
        <f t="shared" ca="1" si="2"/>
        <v>0</v>
      </c>
      <c r="N18" s="89"/>
      <c r="O18" s="89"/>
      <c r="P18" s="86">
        <v>3</v>
      </c>
      <c r="Q18" s="115">
        <f t="shared" ca="1" si="6"/>
        <v>46519.75</v>
      </c>
      <c r="R18" s="82">
        <v>0.35</v>
      </c>
      <c r="S18" s="79"/>
    </row>
    <row r="19" spans="2:19" s="1" customFormat="1" ht="12.75" x14ac:dyDescent="0.25">
      <c r="B19" s="125" t="s">
        <v>221</v>
      </c>
      <c r="C19" s="126">
        <f ca="1">IF($Q$4/R4-1&gt;=0,$Q$4/R4-1,($Q$4/R4-1)*Q7/(1-Q4))</f>
        <v>0.1731550319102404</v>
      </c>
      <c r="E19" s="109">
        <f t="shared" si="4"/>
        <v>16</v>
      </c>
      <c r="F19" s="110">
        <f t="shared" ca="1" si="3"/>
        <v>46885</v>
      </c>
      <c r="G19" s="7"/>
      <c r="H19" s="5">
        <f t="shared" ca="1" si="0"/>
        <v>128515.4676362921</v>
      </c>
      <c r="I19" s="111">
        <f ca="1">MAX(0,MIN(1-SUM(I$3:I18),MAX((ROUNDDOWN(E19/4,0)+1)*10%-SUM(I$3:I18),IF($C$15-$F19&lt;91.3,$R$11-SUM(I$3:I18),0),IF($I$3=1,0,IF($E19&gt;$C$13*4,0,IF($G19&lt;&gt;"",$G19,(1-SUM(I$3:I18)-SUM($G19:$G$35))/($C$13*4-COUNT(E$4:E19)+1-COUNTIFS($G19:$G$35,"&lt;&gt;"))))))))</f>
        <v>2.8124999999999994E-2</v>
      </c>
      <c r="J19" s="112">
        <f ca="1">SUM(I$3:I19)</f>
        <v>0.55000000000000004</v>
      </c>
      <c r="K19" s="89" t="s">
        <v>1</v>
      </c>
      <c r="L19" s="75">
        <f t="shared" ca="1" si="5"/>
        <v>0</v>
      </c>
      <c r="M19" s="75">
        <f t="shared" ca="1" si="2"/>
        <v>0</v>
      </c>
      <c r="N19" s="89"/>
      <c r="O19" s="89"/>
      <c r="P19" s="86">
        <v>3.5</v>
      </c>
      <c r="Q19" s="115">
        <f t="shared" ca="1" si="6"/>
        <v>46702.375</v>
      </c>
      <c r="R19" s="82">
        <v>0.35</v>
      </c>
      <c r="S19" s="79"/>
    </row>
    <row r="20" spans="2:19" s="1" customFormat="1" ht="12.75" x14ac:dyDescent="0.25">
      <c r="B20" s="101"/>
      <c r="C20" s="70"/>
      <c r="E20" s="103">
        <f t="shared" si="4"/>
        <v>17</v>
      </c>
      <c r="F20" s="104">
        <f t="shared" ca="1" si="3"/>
        <v>46977</v>
      </c>
      <c r="G20" s="6"/>
      <c r="H20" s="3">
        <f t="shared" ca="1" si="0"/>
        <v>128515.46763629212</v>
      </c>
      <c r="I20" s="105">
        <f ca="1">MAX(0,MIN(1-SUM(I$3:I19),MAX((ROUNDDOWN(E20/4,0)+1)*10%-SUM(I$3:I19),IF($C$15-$F20&lt;91.3,$R$11-SUM(I$3:I19),0),IF($I$3=1,0,IF($E20&gt;$C$13*4,0,IF($G20&lt;&gt;"",$G20,(1-SUM(I$3:I19)-SUM($G20:$G$35))/($C$13*4-COUNT(E$4:E20)+1-COUNTIFS($G20:$G$35,"&lt;&gt;"))))))))</f>
        <v>2.8124999999999997E-2</v>
      </c>
      <c r="J20" s="106">
        <f ca="1">SUM(I$3:I20)</f>
        <v>0.578125</v>
      </c>
      <c r="K20" s="89" t="s">
        <v>1</v>
      </c>
      <c r="L20" s="74">
        <f t="shared" ca="1" si="5"/>
        <v>0</v>
      </c>
      <c r="M20" s="74">
        <f t="shared" ca="1" si="2"/>
        <v>0</v>
      </c>
      <c r="N20" s="89"/>
      <c r="O20" s="89"/>
      <c r="P20" s="86"/>
      <c r="Q20" s="115">
        <f t="shared" si="6"/>
        <v>0</v>
      </c>
      <c r="R20" s="82"/>
      <c r="S20" s="79"/>
    </row>
    <row r="21" spans="2:19" s="1" customFormat="1" ht="12.75" x14ac:dyDescent="0.25">
      <c r="B21" s="129" t="s">
        <v>228</v>
      </c>
      <c r="C21" s="70">
        <f>_xlfn.XLOOKUP(C$3,Table.Source[Unit Code],Table.Source[Maintenance %])</f>
        <v>0.09</v>
      </c>
      <c r="E21" s="103">
        <f t="shared" si="4"/>
        <v>18</v>
      </c>
      <c r="F21" s="104">
        <f t="shared" ca="1" si="3"/>
        <v>47069</v>
      </c>
      <c r="G21" s="6"/>
      <c r="H21" s="3">
        <f t="shared" ca="1" si="0"/>
        <v>128515.46763629213</v>
      </c>
      <c r="I21" s="105">
        <f ca="1">MAX(0,MIN(1-SUM(I$3:I20),MAX((ROUNDDOWN(E21/4,0)+1)*10%-SUM(I$3:I20),IF($C$15-$F21&lt;91.3,$R$11-SUM(I$3:I20),0),IF($I$3=1,0,IF($E21&gt;$C$13*4,0,IF($G21&lt;&gt;"",$G21,(1-SUM(I$3:I20)-SUM($G21:$G$35))/($C$13*4-COUNT(E$4:E21)+1-COUNTIFS($G21:$G$35,"&lt;&gt;"))))))))</f>
        <v>2.8125000000000001E-2</v>
      </c>
      <c r="J21" s="106">
        <f ca="1">SUM(I$3:I21)</f>
        <v>0.60624999999999996</v>
      </c>
      <c r="K21" s="89" t="s">
        <v>1</v>
      </c>
      <c r="L21" s="74">
        <f t="shared" ca="1" si="5"/>
        <v>0</v>
      </c>
      <c r="M21" s="74">
        <f t="shared" ca="1" si="2"/>
        <v>0</v>
      </c>
      <c r="N21" s="89"/>
      <c r="O21" s="89"/>
      <c r="P21" s="86"/>
      <c r="Q21" s="115">
        <f t="shared" si="6"/>
        <v>0</v>
      </c>
      <c r="R21" s="82"/>
      <c r="S21" s="79"/>
    </row>
    <row r="22" spans="2:19" s="1" customFormat="1" ht="12.75" x14ac:dyDescent="0.25">
      <c r="B22" s="129"/>
      <c r="C22" s="72">
        <f ca="1">C21*C18</f>
        <v>411249.4964361348</v>
      </c>
      <c r="E22" s="103">
        <f t="shared" si="4"/>
        <v>19</v>
      </c>
      <c r="F22" s="104">
        <f t="shared" ca="1" si="3"/>
        <v>47161</v>
      </c>
      <c r="G22" s="6"/>
      <c r="H22" s="3">
        <f t="shared" ca="1" si="0"/>
        <v>128515.46763629215</v>
      </c>
      <c r="I22" s="105">
        <f ca="1">MAX(0,MIN(1-SUM(I$3:I21),MAX((ROUNDDOWN(E22/4,0)+1)*10%-SUM(I$3:I21),IF($C$15-$F22&lt;91.3,$R$11-SUM(I$3:I21),0),IF($I$3=1,0,IF($E22&gt;$C$13*4,0,IF($G22&lt;&gt;"",$G22,(1-SUM(I$3:I21)-SUM($G22:$G$35))/($C$13*4-COUNT(E$4:E22)+1-COUNTIFS($G22:$G$35,"&lt;&gt;"))))))))</f>
        <v>2.8125000000000004E-2</v>
      </c>
      <c r="J22" s="106">
        <f ca="1">SUM(I$3:I22)</f>
        <v>0.63437499999999991</v>
      </c>
      <c r="K22" s="89" t="s">
        <v>1</v>
      </c>
      <c r="L22" s="74">
        <f t="shared" ca="1" si="5"/>
        <v>0</v>
      </c>
      <c r="M22" s="74">
        <f t="shared" ca="1" si="2"/>
        <v>0</v>
      </c>
      <c r="N22" s="89"/>
      <c r="O22" s="89"/>
      <c r="P22" s="86"/>
      <c r="Q22" s="115">
        <f t="shared" si="6"/>
        <v>0</v>
      </c>
      <c r="R22" s="82"/>
      <c r="S22" s="79"/>
    </row>
    <row r="23" spans="2:19" s="1" customFormat="1" ht="12.75" x14ac:dyDescent="0.25">
      <c r="B23" s="101"/>
      <c r="C23" s="70"/>
      <c r="E23" s="109">
        <f t="shared" si="4"/>
        <v>20</v>
      </c>
      <c r="F23" s="110">
        <f t="shared" ca="1" si="3"/>
        <v>47250</v>
      </c>
      <c r="G23" s="7"/>
      <c r="H23" s="5">
        <f t="shared" ca="1" si="0"/>
        <v>128515.46763629216</v>
      </c>
      <c r="I23" s="111">
        <f ca="1">MAX(0,MIN(1-SUM(I$3:I22),MAX((ROUNDDOWN(E23/4,0)+1)*10%-SUM(I$3:I22),IF($C$15-$F23&lt;91.3,$R$11-SUM(I$3:I22),0),IF($I$3=1,0,IF($E23&gt;$C$13*4,0,IF($G23&lt;&gt;"",$G23,(1-SUM(I$3:I22)-SUM($G23:$G$35))/($C$13*4-COUNT(E$4:E23)+1-COUNTIFS($G23:$G$35,"&lt;&gt;"))))))))</f>
        <v>2.8125000000000008E-2</v>
      </c>
      <c r="J23" s="112">
        <f ca="1">SUM(I$3:I23)</f>
        <v>0.66249999999999987</v>
      </c>
      <c r="K23" s="89" t="s">
        <v>1</v>
      </c>
      <c r="L23" s="75">
        <f t="shared" ca="1" si="5"/>
        <v>0</v>
      </c>
      <c r="M23" s="75">
        <f t="shared" ca="1" si="2"/>
        <v>0</v>
      </c>
      <c r="N23" s="89"/>
      <c r="O23" s="89"/>
      <c r="P23" s="86"/>
      <c r="Q23" s="115">
        <f t="shared" si="6"/>
        <v>0</v>
      </c>
      <c r="R23" s="82"/>
      <c r="S23" s="79"/>
    </row>
    <row r="24" spans="2:19" s="1" customFormat="1" ht="12.75" x14ac:dyDescent="0.25">
      <c r="B24" s="101" t="s">
        <v>229</v>
      </c>
      <c r="C24" s="72">
        <f ca="1">SUM(M3:M35)</f>
        <v>0</v>
      </c>
      <c r="E24" s="103">
        <f t="shared" si="4"/>
        <v>21</v>
      </c>
      <c r="F24" s="104">
        <f t="shared" ca="1" si="3"/>
        <v>47342</v>
      </c>
      <c r="G24" s="6"/>
      <c r="H24" s="3">
        <f t="shared" ca="1" si="0"/>
        <v>128515.46763629217</v>
      </c>
      <c r="I24" s="105">
        <f ca="1">MAX(0,MIN(1-SUM(I$3:I23),MAX((ROUNDDOWN(E24/4,0)+1)*10%-SUM(I$3:I23),IF($C$15-$F24&lt;91.3,$R$11-SUM(I$3:I23),0),IF($I$3=1,0,IF($E24&gt;$C$13*4,0,IF($G24&lt;&gt;"",$G24,(1-SUM(I$3:I23)-SUM($G24:$G$35))/($C$13*4-COUNT(E$4:E24)+1-COUNTIFS($G24:$G$35,"&lt;&gt;"))))))))</f>
        <v>2.8125000000000011E-2</v>
      </c>
      <c r="J24" s="106">
        <f ca="1">SUM(I$3:I24)</f>
        <v>0.69062499999999982</v>
      </c>
      <c r="K24" s="89" t="s">
        <v>1</v>
      </c>
      <c r="L24" s="74">
        <f t="shared" ca="1" si="5"/>
        <v>0</v>
      </c>
      <c r="M24" s="74">
        <f t="shared" ca="1" si="2"/>
        <v>0</v>
      </c>
      <c r="N24" s="89"/>
      <c r="O24" s="89"/>
      <c r="P24" s="86"/>
      <c r="Q24" s="115">
        <f t="shared" si="6"/>
        <v>0</v>
      </c>
      <c r="R24" s="82"/>
      <c r="S24" s="79"/>
    </row>
    <row r="25" spans="2:19" s="1" customFormat="1" ht="12.75" x14ac:dyDescent="0.25">
      <c r="B25" s="17"/>
      <c r="C25" s="88"/>
      <c r="E25" s="103">
        <f t="shared" si="4"/>
        <v>22</v>
      </c>
      <c r="F25" s="104">
        <f t="shared" ca="1" si="3"/>
        <v>47434</v>
      </c>
      <c r="G25" s="6"/>
      <c r="H25" s="3">
        <f t="shared" ca="1" si="0"/>
        <v>128515.46763629219</v>
      </c>
      <c r="I25" s="105">
        <f ca="1">MAX(0,MIN(1-SUM(I$3:I24),MAX((ROUNDDOWN(E25/4,0)+1)*10%-SUM(I$3:I24),IF($C$15-$F25&lt;91.3,$R$11-SUM(I$3:I24),0),IF($I$3=1,0,IF($E25&gt;$C$13*4,0,IF($G25&lt;&gt;"",$G25,(1-SUM(I$3:I24)-SUM($G25:$G$35))/($C$13*4-COUNT(E$4:E25)+1-COUNTIFS($G25:$G$35,"&lt;&gt;"))))))))</f>
        <v>2.8125000000000015E-2</v>
      </c>
      <c r="J25" s="106">
        <f ca="1">SUM(I$3:I25)</f>
        <v>0.71874999999999989</v>
      </c>
      <c r="K25" s="89" t="s">
        <v>1</v>
      </c>
      <c r="L25" s="74">
        <f t="shared" ca="1" si="5"/>
        <v>0</v>
      </c>
      <c r="M25" s="74">
        <f t="shared" ca="1" si="2"/>
        <v>0</v>
      </c>
      <c r="N25" s="89"/>
      <c r="O25" s="89"/>
      <c r="P25" s="86"/>
      <c r="Q25" s="115">
        <f t="shared" si="6"/>
        <v>0</v>
      </c>
      <c r="R25" s="82"/>
      <c r="S25" s="79"/>
    </row>
    <row r="26" spans="2:19" s="1" customFormat="1" ht="12.75" x14ac:dyDescent="0.25">
      <c r="B26" s="17"/>
      <c r="C26" s="88"/>
      <c r="E26" s="103">
        <f t="shared" si="4"/>
        <v>23</v>
      </c>
      <c r="F26" s="104">
        <f t="shared" ca="1" si="3"/>
        <v>47526</v>
      </c>
      <c r="G26" s="6"/>
      <c r="H26" s="3">
        <f t="shared" ca="1" si="0"/>
        <v>128515.46763629217</v>
      </c>
      <c r="I26" s="105">
        <f ca="1">MAX(0,MIN(1-SUM(I$3:I25),MAX((ROUNDDOWN(E26/4,0)+1)*10%-SUM(I$3:I25),IF($C$15-$F26&lt;91.3,$R$11-SUM(I$3:I25),0),IF($I$3=1,0,IF($E26&gt;$C$13*4,0,IF($G26&lt;&gt;"",$G26,(1-SUM(I$3:I25)-SUM($G26:$G$35))/($C$13*4-COUNT(E$4:E26)+1-COUNTIFS($G26:$G$35,"&lt;&gt;"))))))))</f>
        <v>2.8125000000000011E-2</v>
      </c>
      <c r="J26" s="106">
        <f ca="1">SUM(I$3:I26)</f>
        <v>0.74687499999999996</v>
      </c>
      <c r="K26" s="89" t="s">
        <v>1</v>
      </c>
      <c r="L26" s="74">
        <f t="shared" ca="1" si="5"/>
        <v>0</v>
      </c>
      <c r="M26" s="74">
        <f t="shared" ca="1" si="2"/>
        <v>0</v>
      </c>
      <c r="N26" s="89"/>
      <c r="O26" s="89"/>
      <c r="P26" s="86"/>
      <c r="Q26" s="115">
        <f t="shared" si="6"/>
        <v>0</v>
      </c>
      <c r="R26" s="82"/>
      <c r="S26" s="79"/>
    </row>
    <row r="27" spans="2:19" s="1" customFormat="1" ht="12.75" x14ac:dyDescent="0.25">
      <c r="B27" s="17"/>
      <c r="C27" s="88"/>
      <c r="E27" s="109">
        <f t="shared" si="4"/>
        <v>24</v>
      </c>
      <c r="F27" s="110">
        <f t="shared" ca="1" si="3"/>
        <v>47615</v>
      </c>
      <c r="G27" s="7"/>
      <c r="H27" s="5">
        <f t="shared" ca="1" si="0"/>
        <v>128515.46763629215</v>
      </c>
      <c r="I27" s="111">
        <f ca="1">MAX(0,MIN(1-SUM(I$3:I26),MAX((ROUNDDOWN(E27/4,0)+1)*10%-SUM(I$3:I26),IF($C$15-$F27&lt;91.3,$R$11-SUM(I$3:I26),0),IF($I$3=1,0,IF($E27&gt;$C$13*4,0,IF($G27&lt;&gt;"",$G27,(1-SUM(I$3:I26)-SUM($G27:$G$35))/($C$13*4-COUNT(E$4:E27)+1-COUNTIFS($G27:$G$35,"&lt;&gt;"))))))))</f>
        <v>2.8125000000000004E-2</v>
      </c>
      <c r="J27" s="112">
        <f ca="1">SUM(I$3:I27)</f>
        <v>0.77499999999999991</v>
      </c>
      <c r="K27" s="89" t="s">
        <v>1</v>
      </c>
      <c r="L27" s="75">
        <f t="shared" ca="1" si="5"/>
        <v>0</v>
      </c>
      <c r="M27" s="75">
        <f t="shared" ca="1" si="2"/>
        <v>0</v>
      </c>
      <c r="N27" s="89"/>
      <c r="O27" s="89"/>
      <c r="P27" s="86"/>
      <c r="Q27" s="115">
        <f t="shared" si="6"/>
        <v>0</v>
      </c>
      <c r="R27" s="82"/>
      <c r="S27" s="79"/>
    </row>
    <row r="28" spans="2:19" s="1" customFormat="1" ht="12.75" x14ac:dyDescent="0.25">
      <c r="B28" s="17"/>
      <c r="C28" s="88"/>
      <c r="E28" s="103">
        <f t="shared" si="4"/>
        <v>25</v>
      </c>
      <c r="F28" s="104">
        <f t="shared" ca="1" si="3"/>
        <v>47707</v>
      </c>
      <c r="G28" s="6"/>
      <c r="H28" s="3">
        <f t="shared" ca="1" si="0"/>
        <v>128515.46763629217</v>
      </c>
      <c r="I28" s="105">
        <f ca="1">MAX(0,MIN(1-SUM(I$3:I27),MAX((ROUNDDOWN(E28/4,0)+1)*10%-SUM(I$3:I27),IF($C$15-$F28&lt;91.3,$R$11-SUM(I$3:I27),0),IF($I$3=1,0,IF($E28&gt;$C$13*4,0,IF($G28&lt;&gt;"",$G28,(1-SUM(I$3:I27)-SUM($G28:$G$35))/($C$13*4-COUNT(E$4:E28)+1-COUNTIFS($G28:$G$35,"&lt;&gt;"))))))))</f>
        <v>2.8125000000000011E-2</v>
      </c>
      <c r="J28" s="106">
        <f ca="1">SUM(I$3:I28)</f>
        <v>0.80312499999999987</v>
      </c>
      <c r="K28" s="89" t="s">
        <v>1</v>
      </c>
      <c r="L28" s="74">
        <f t="shared" ca="1" si="5"/>
        <v>0</v>
      </c>
      <c r="M28" s="74">
        <f t="shared" ca="1" si="2"/>
        <v>0</v>
      </c>
      <c r="N28" s="89"/>
      <c r="O28" s="89"/>
      <c r="P28" s="86"/>
      <c r="Q28" s="115">
        <f t="shared" si="6"/>
        <v>0</v>
      </c>
      <c r="R28" s="82"/>
      <c r="S28" s="79"/>
    </row>
    <row r="29" spans="2:19" s="1" customFormat="1" ht="12.75" x14ac:dyDescent="0.25">
      <c r="B29" s="17"/>
      <c r="C29" s="88"/>
      <c r="E29" s="103">
        <f t="shared" si="4"/>
        <v>26</v>
      </c>
      <c r="F29" s="104">
        <f t="shared" ca="1" si="3"/>
        <v>47799</v>
      </c>
      <c r="G29" s="6"/>
      <c r="H29" s="3">
        <f t="shared" ca="1" si="0"/>
        <v>128515.4676362922</v>
      </c>
      <c r="I29" s="105">
        <f ca="1">MAX(0,MIN(1-SUM(I$3:I28),MAX((ROUNDDOWN(E29/4,0)+1)*10%-SUM(I$3:I28),IF($C$15-$F29&lt;91.3,$R$11-SUM(I$3:I28),0),IF($I$3=1,0,IF($E29&gt;$C$13*4,0,IF($G29&lt;&gt;"",$G29,(1-SUM(I$3:I28)-SUM($G29:$G$35))/($C$13*4-COUNT(E$4:E29)+1-COUNTIFS($G29:$G$35,"&lt;&gt;"))))))))</f>
        <v>2.8125000000000018E-2</v>
      </c>
      <c r="J29" s="106">
        <f ca="1">SUM(I$3:I29)</f>
        <v>0.83124999999999993</v>
      </c>
      <c r="K29" s="89" t="s">
        <v>1</v>
      </c>
      <c r="L29" s="74">
        <f t="shared" ca="1" si="5"/>
        <v>0</v>
      </c>
      <c r="M29" s="74">
        <f t="shared" ca="1" si="2"/>
        <v>0</v>
      </c>
      <c r="N29" s="89"/>
      <c r="O29" s="89"/>
      <c r="P29" s="86"/>
      <c r="Q29" s="115">
        <f t="shared" si="6"/>
        <v>0</v>
      </c>
      <c r="R29" s="82"/>
      <c r="S29" s="79"/>
    </row>
    <row r="30" spans="2:19" s="1" customFormat="1" ht="12.75" x14ac:dyDescent="0.25">
      <c r="B30" s="17"/>
      <c r="C30" s="88"/>
      <c r="E30" s="103">
        <f t="shared" si="4"/>
        <v>27</v>
      </c>
      <c r="F30" s="104">
        <f t="shared" ca="1" si="3"/>
        <v>47891</v>
      </c>
      <c r="G30" s="6"/>
      <c r="H30" s="3">
        <f t="shared" ca="1" si="0"/>
        <v>128515.46763629217</v>
      </c>
      <c r="I30" s="105">
        <f ca="1">MAX(0,MIN(1-SUM(I$3:I29),MAX((ROUNDDOWN(E30/4,0)+1)*10%-SUM(I$3:I29),IF($C$15-$F30&lt;91.3,$R$11-SUM(I$3:I29),0),IF($I$3=1,0,IF($E30&gt;$C$13*4,0,IF($G30&lt;&gt;"",$G30,(1-SUM(I$3:I29)-SUM($G30:$G$35))/($C$13*4-COUNT(E$4:E30)+1-COUNTIFS($G30:$G$35,"&lt;&gt;"))))))))</f>
        <v>2.8125000000000011E-2</v>
      </c>
      <c r="J30" s="106">
        <f ca="1">SUM(I$3:I30)</f>
        <v>0.859375</v>
      </c>
      <c r="K30" s="89" t="s">
        <v>1</v>
      </c>
      <c r="L30" s="74">
        <f t="shared" ca="1" si="5"/>
        <v>0</v>
      </c>
      <c r="M30" s="74">
        <f t="shared" ca="1" si="2"/>
        <v>0</v>
      </c>
      <c r="N30" s="89"/>
      <c r="O30" s="89"/>
      <c r="P30" s="87"/>
      <c r="Q30" s="117">
        <f t="shared" si="6"/>
        <v>0</v>
      </c>
      <c r="R30" s="83"/>
      <c r="S30" s="80"/>
    </row>
    <row r="31" spans="2:19" s="1" customFormat="1" ht="12.75" x14ac:dyDescent="0.25">
      <c r="B31" s="17"/>
      <c r="C31" s="88"/>
      <c r="E31" s="109">
        <f t="shared" si="4"/>
        <v>28</v>
      </c>
      <c r="F31" s="110">
        <f t="shared" ca="1" si="3"/>
        <v>47980</v>
      </c>
      <c r="G31" s="7"/>
      <c r="H31" s="5">
        <f t="shared" ca="1" si="0"/>
        <v>128515.46763629213</v>
      </c>
      <c r="I31" s="111">
        <f ca="1">MAX(0,MIN(1-SUM(I$3:I30),MAX((ROUNDDOWN(E31/4,0)+1)*10%-SUM(I$3:I30),IF($C$15-$F31&lt;91.3,$R$11-SUM(I$3:I30),0),IF($I$3=1,0,IF($E31&gt;$C$13*4,0,IF($G31&lt;&gt;"",$G31,(1-SUM(I$3:I30)-SUM($G31:$G$35))/($C$13*4-COUNT(E$4:E31)+1-COUNTIFS($G31:$G$35,"&lt;&gt;"))))))))</f>
        <v>2.8125000000000001E-2</v>
      </c>
      <c r="J31" s="112">
        <f ca="1">SUM(I$3:I31)</f>
        <v>0.88749999999999996</v>
      </c>
      <c r="K31" s="89" t="s">
        <v>1</v>
      </c>
      <c r="L31" s="75">
        <f t="shared" ca="1" si="5"/>
        <v>0</v>
      </c>
      <c r="M31" s="75">
        <f t="shared" ca="1" si="2"/>
        <v>0</v>
      </c>
      <c r="N31" s="89"/>
      <c r="O31" s="89"/>
    </row>
    <row r="32" spans="2:19" s="1" customFormat="1" ht="12.75" x14ac:dyDescent="0.25">
      <c r="B32" s="17"/>
      <c r="C32" s="88"/>
      <c r="E32" s="103">
        <f t="shared" si="4"/>
        <v>29</v>
      </c>
      <c r="F32" s="104">
        <f t="shared" ca="1" si="3"/>
        <v>48072</v>
      </c>
      <c r="G32" s="6"/>
      <c r="H32" s="3">
        <f t="shared" ca="1" si="0"/>
        <v>128515.46763629217</v>
      </c>
      <c r="I32" s="105">
        <f ca="1">MAX(0,MIN(1-SUM(I$3:I31),MAX((ROUNDDOWN(E32/4,0)+1)*10%-SUM(I$3:I31),IF($C$15-$F32&lt;91.3,$R$11-SUM(I$3:I31),0),IF($I$3=1,0,IF($E32&gt;$C$13*4,0,IF($G32&lt;&gt;"",$G32,(1-SUM(I$3:I31)-SUM($G32:$G$35))/($C$13*4-COUNT(E$4:E32)+1-COUNTIFS($G32:$G$35,"&lt;&gt;"))))))))</f>
        <v>2.8125000000000011E-2</v>
      </c>
      <c r="J32" s="106">
        <f ca="1">SUM(I$3:I32)</f>
        <v>0.91562499999999991</v>
      </c>
      <c r="K32" s="89" t="s">
        <v>1</v>
      </c>
      <c r="L32" s="74">
        <f t="shared" ca="1" si="5"/>
        <v>0</v>
      </c>
      <c r="M32" s="74">
        <f t="shared" ca="1" si="2"/>
        <v>0</v>
      </c>
      <c r="N32" s="89"/>
      <c r="O32" s="89"/>
    </row>
    <row r="33" spans="2:20" s="1" customFormat="1" ht="12.75" x14ac:dyDescent="0.25">
      <c r="B33" s="17"/>
      <c r="C33" s="88"/>
      <c r="E33" s="103">
        <f t="shared" si="4"/>
        <v>30</v>
      </c>
      <c r="F33" s="104">
        <f t="shared" ca="1" si="3"/>
        <v>48164</v>
      </c>
      <c r="G33" s="6"/>
      <c r="H33" s="3">
        <f t="shared" ca="1" si="0"/>
        <v>128515.46763629226</v>
      </c>
      <c r="I33" s="105">
        <f ca="1">MAX(0,MIN(1-SUM(I$3:I32),MAX((ROUNDDOWN(E33/4,0)+1)*10%-SUM(I$3:I32),IF($C$15-$F33&lt;91.3,$R$11-SUM(I$3:I32),0),IF($I$3=1,0,IF($E33&gt;$C$13*4,0,IF($G33&lt;&gt;"",$G33,(1-SUM(I$3:I32)-SUM($G33:$G$35))/($C$13*4-COUNT(E$4:E33)+1-COUNTIFS($G33:$G$35,"&lt;&gt;"))))))))</f>
        <v>2.8125000000000028E-2</v>
      </c>
      <c r="J33" s="106">
        <f ca="1">SUM(I$3:I33)</f>
        <v>0.94374999999999998</v>
      </c>
      <c r="K33" s="89" t="s">
        <v>1</v>
      </c>
      <c r="L33" s="74">
        <f t="shared" ca="1" si="5"/>
        <v>0</v>
      </c>
      <c r="M33" s="74">
        <f t="shared" ca="1" si="2"/>
        <v>0</v>
      </c>
      <c r="N33" s="89"/>
      <c r="O33" s="89"/>
    </row>
    <row r="34" spans="2:20" s="1" customFormat="1" ht="12.75" x14ac:dyDescent="0.25">
      <c r="B34" s="17"/>
      <c r="C34" s="88"/>
      <c r="E34" s="103">
        <f t="shared" si="4"/>
        <v>31</v>
      </c>
      <c r="F34" s="104">
        <f t="shared" ca="1" si="3"/>
        <v>48256</v>
      </c>
      <c r="G34" s="6"/>
      <c r="H34" s="3">
        <f t="shared" ca="1" si="0"/>
        <v>128515.46763629217</v>
      </c>
      <c r="I34" s="105">
        <f ca="1">MAX(0,MIN(1-SUM(I$3:I33),MAX((ROUNDDOWN(E34/4,0)+1)*10%-SUM(I$3:I33),IF($C$15-$F34&lt;91.3,$R$11-SUM(I$3:I33),0),IF($I$3=1,0,IF($E34&gt;$C$13*4,0,IF($G34&lt;&gt;"",$G34,(1-SUM(I$3:I33)-SUM($G34:$G$35))/($C$13*4-COUNT(E$4:E34)+1-COUNTIFS($G34:$G$35,"&lt;&gt;"))))))))</f>
        <v>2.8125000000000011E-2</v>
      </c>
      <c r="J34" s="106">
        <f ca="1">SUM(I$3:I34)</f>
        <v>0.97187500000000004</v>
      </c>
      <c r="K34" s="89" t="s">
        <v>1</v>
      </c>
      <c r="L34" s="74">
        <f t="shared" ca="1" si="5"/>
        <v>0</v>
      </c>
      <c r="M34" s="74">
        <f t="shared" ca="1" si="2"/>
        <v>0</v>
      </c>
      <c r="N34" s="89"/>
      <c r="O34" s="89"/>
    </row>
    <row r="35" spans="2:20" s="1" customFormat="1" ht="12.75" x14ac:dyDescent="0.25">
      <c r="B35" s="17"/>
      <c r="C35" s="88"/>
      <c r="E35" s="109">
        <f t="shared" si="4"/>
        <v>32</v>
      </c>
      <c r="F35" s="110">
        <f t="shared" ca="1" si="3"/>
        <v>48346</v>
      </c>
      <c r="G35" s="7"/>
      <c r="H35" s="5">
        <f t="shared" ca="1" si="0"/>
        <v>128515.46763629193</v>
      </c>
      <c r="I35" s="111">
        <f ca="1">MAX(0,MIN(1-SUM(I$3:I34),MAX((ROUNDDOWN(E35/4,0)+1)*10%-SUM(I$3:I34),IF($C$15-$F35&lt;91.3,$R$11-SUM(I$3:I34),0),IF($I$3=1,0,IF($E35&gt;$C$13*4,0,IF($G35&lt;&gt;"",$G35,(1-SUM(I$3:I34)-SUM($G35:$G$35))/($C$13*4-COUNT(E$4:E35)+1-COUNTIFS($G35:$G$35,"&lt;&gt;"))))))))</f>
        <v>2.8124999999999956E-2</v>
      </c>
      <c r="J35" s="112">
        <f ca="1">SUM(I$3:I35)</f>
        <v>1</v>
      </c>
      <c r="K35" s="89" t="s">
        <v>1</v>
      </c>
      <c r="L35" s="75">
        <f t="shared" ca="1" si="5"/>
        <v>0</v>
      </c>
      <c r="M35" s="75">
        <f t="shared" ca="1" si="2"/>
        <v>0</v>
      </c>
      <c r="N35" s="89"/>
      <c r="O35" s="89"/>
    </row>
    <row r="36" spans="2:20" x14ac:dyDescent="0.25">
      <c r="K36" s="89" t="s">
        <v>1</v>
      </c>
      <c r="P36" s="1"/>
      <c r="Q36" s="1"/>
      <c r="R36" s="1"/>
      <c r="S36" s="1"/>
      <c r="T36" s="1"/>
    </row>
    <row r="37" spans="2:20" x14ac:dyDescent="0.25">
      <c r="K37" s="89" t="s">
        <v>1</v>
      </c>
      <c r="P37" s="1"/>
      <c r="Q37" s="1"/>
      <c r="R37" s="1"/>
      <c r="S37" s="1"/>
      <c r="T37" s="1"/>
    </row>
  </sheetData>
  <sheetProtection algorithmName="SHA-512" hashValue="/WQqntBkIcMLOi05FEyYmy7gEDrQCRDNGCJAo3kaabjbnIZrWmT5Q8QrXVQeHcfpX4OJWyC2vRSQJYfw1zHIRg==" saltValue="zvzm2DLdeK1Lncm0p/YCZA==" spinCount="100000" sheet="1" objects="1" scenarios="1"/>
  <mergeCells count="1">
    <mergeCell ref="B21:B22"/>
  </mergeCells>
  <conditionalFormatting sqref="E3:J35 L3:M35">
    <cfRule type="expression" dxfId="10" priority="173">
      <formula>AND($F3-$C$15&lt;0,$F3-$C$15&gt;-366/4)</formula>
    </cfRule>
  </conditionalFormatting>
  <conditionalFormatting sqref="G3">
    <cfRule type="expression" dxfId="9" priority="188">
      <formula>SUM($I3:$I$3)=1</formula>
    </cfRule>
  </conditionalFormatting>
  <conditionalFormatting sqref="G3:G35">
    <cfRule type="cellIs" dxfId="8" priority="171" operator="notEqual">
      <formula>I3</formula>
    </cfRule>
  </conditionalFormatting>
  <conditionalFormatting sqref="L3:L8 E4:M35">
    <cfRule type="expression" dxfId="7" priority="185">
      <formula>SUM($I2:$I$3)=1</formula>
    </cfRule>
  </conditionalFormatting>
  <conditionalFormatting sqref="Q12:Q30">
    <cfRule type="cellIs" dxfId="6" priority="4" operator="equal">
      <formula>0</formula>
    </cfRule>
  </conditionalFormatting>
  <conditionalFormatting sqref="R12:S30">
    <cfRule type="cellIs" dxfId="5" priority="2" operator="equal">
      <formula>R$11</formula>
    </cfRule>
  </conditionalFormatting>
  <dataValidations count="1">
    <dataValidation type="decimal" operator="lessThanOrEqual" allowBlank="1" showInputMessage="1" showErrorMessage="1" sqref="C13" xr:uid="{9C591791-6E5A-418C-8690-4BEFCFFC745F}">
      <formula1>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8626C6-393A-4494-B800-A0D32AD8ADFE}">
          <x14:formula1>
            <xm:f>Data!$R$6:$R$3368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7C7B-3437-4AD3-8DEC-9EEFA3B115D1}">
  <sheetPr>
    <tabColor theme="3"/>
  </sheetPr>
  <dimension ref="A1:DN35"/>
  <sheetViews>
    <sheetView showGridLines="0" topLeftCell="C1" zoomScale="90" zoomScaleNormal="90" workbookViewId="0">
      <pane xSplit="3" ySplit="5" topLeftCell="F6" activePane="bottomRight" state="frozen"/>
      <selection activeCell="C1" sqref="C1"/>
      <selection pane="topRight" activeCell="F1" sqref="F1"/>
      <selection pane="bottomLeft" activeCell="C6" sqref="C6"/>
      <selection pane="bottomRight" activeCell="L5" sqref="L5"/>
    </sheetView>
  </sheetViews>
  <sheetFormatPr defaultRowHeight="15" x14ac:dyDescent="0.25"/>
  <cols>
    <col min="1" max="1" width="1.42578125" style="15" bestFit="1" customWidth="1"/>
    <col min="2" max="2" width="15.85546875" style="15" bestFit="1" customWidth="1"/>
    <col min="3" max="3" width="12" style="15" bestFit="1" customWidth="1"/>
    <col min="4" max="4" width="19.28515625" style="15" bestFit="1" customWidth="1"/>
    <col min="5" max="5" width="15.28515625" style="15" bestFit="1" customWidth="1"/>
    <col min="6" max="6" width="13.42578125" style="15" bestFit="1" customWidth="1"/>
    <col min="7" max="7" width="15.85546875" style="15" bestFit="1" customWidth="1"/>
    <col min="8" max="8" width="13.28515625" style="15" bestFit="1" customWidth="1"/>
    <col min="9" max="9" width="15.85546875" style="15" bestFit="1" customWidth="1"/>
    <col min="10" max="10" width="13.28515625" style="15" bestFit="1" customWidth="1"/>
    <col min="11" max="11" width="15.85546875" style="15" bestFit="1" customWidth="1"/>
    <col min="12" max="12" width="10.5703125" style="15" customWidth="1"/>
    <col min="13" max="13" width="15.85546875" style="15" customWidth="1"/>
    <col min="14" max="14" width="12" style="15" customWidth="1"/>
    <col min="15" max="15" width="15.85546875" style="15" customWidth="1"/>
    <col min="16" max="16" width="11.85546875" style="15" customWidth="1"/>
    <col min="17" max="17" width="10.140625" style="15" customWidth="1"/>
    <col min="18" max="18" width="15.85546875" style="15" customWidth="1"/>
    <col min="19" max="19" width="10" style="15" customWidth="1"/>
    <col min="20" max="20" width="13.5703125" style="15" customWidth="1"/>
    <col min="21" max="21" width="15.85546875" style="15" customWidth="1"/>
    <col min="22" max="22" width="13.28515625" style="15" customWidth="1"/>
    <col min="23" max="23" width="15.85546875" style="15" customWidth="1"/>
    <col min="24" max="24" width="13.140625" style="15" customWidth="1"/>
    <col min="25" max="25" width="12.28515625" style="15" customWidth="1"/>
    <col min="26" max="26" width="12.7109375" style="15" customWidth="1"/>
    <col min="27" max="27" width="13.5703125" style="15" customWidth="1"/>
    <col min="28" max="28" width="13.7109375" style="15" customWidth="1"/>
    <col min="29" max="29" width="11.7109375" style="15" customWidth="1"/>
    <col min="30" max="30" width="13.7109375" style="15" customWidth="1"/>
    <col min="31" max="31" width="13.140625" style="15" customWidth="1"/>
    <col min="32" max="32" width="12.85546875" style="15" customWidth="1"/>
    <col min="33" max="33" width="12.28515625" style="15" customWidth="1"/>
    <col min="34" max="34" width="12.140625" style="15" customWidth="1"/>
    <col min="35" max="35" width="13.140625" style="15" customWidth="1"/>
    <col min="36" max="36" width="9.28515625" style="15" customWidth="1"/>
    <col min="37" max="37" width="13.7109375" style="15" customWidth="1"/>
    <col min="38" max="38" width="11.7109375" style="15" customWidth="1"/>
    <col min="39" max="39" width="10" style="15" customWidth="1"/>
    <col min="40" max="40" width="13" style="15" customWidth="1"/>
    <col min="41" max="41" width="13.140625" style="15" customWidth="1"/>
    <col min="42" max="42" width="13.5703125" style="15" customWidth="1"/>
    <col min="43" max="43" width="13.7109375" style="15" customWidth="1"/>
    <col min="44" max="44" width="11.7109375" style="15" customWidth="1"/>
    <col min="45" max="46" width="13.7109375" style="15" customWidth="1"/>
    <col min="47" max="47" width="12.140625" style="15" customWidth="1"/>
    <col min="48" max="48" width="13.140625" style="15" customWidth="1"/>
    <col min="49" max="49" width="13.7109375" style="15" customWidth="1"/>
    <col min="50" max="50" width="11.7109375" style="15" customWidth="1"/>
    <col min="51" max="51" width="13.5703125" style="15" customWidth="1"/>
    <col min="52" max="52" width="13.7109375" style="15" customWidth="1"/>
    <col min="53" max="53" width="10.42578125" style="15" customWidth="1"/>
    <col min="54" max="54" width="13.7109375" style="15" customWidth="1"/>
    <col min="55" max="55" width="10.5703125" style="15" customWidth="1"/>
    <col min="56" max="56" width="11.140625" style="15" customWidth="1"/>
    <col min="57" max="57" width="12.5703125" style="15" customWidth="1"/>
    <col min="58" max="59" width="13.7109375" style="15" customWidth="1"/>
    <col min="60" max="62" width="13.28515625" style="15" customWidth="1"/>
    <col min="63" max="63" width="13.42578125" style="15" customWidth="1"/>
    <col min="64" max="64" width="12.85546875" style="15" customWidth="1"/>
    <col min="65" max="65" width="12.7109375" style="15" customWidth="1"/>
    <col min="66" max="66" width="12.28515625" style="15" customWidth="1"/>
    <col min="67" max="68" width="12.85546875" style="15" customWidth="1"/>
    <col min="69" max="70" width="12.5703125" style="15" customWidth="1"/>
    <col min="71" max="71" width="11.7109375" style="15" customWidth="1"/>
    <col min="72" max="72" width="9.85546875" style="15" customWidth="1"/>
    <col min="73" max="73" width="11.7109375" style="15" customWidth="1"/>
    <col min="74" max="74" width="10.7109375" style="15" customWidth="1"/>
    <col min="75" max="75" width="11.7109375" style="15" customWidth="1"/>
    <col min="76" max="76" width="10.7109375" style="15" customWidth="1"/>
    <col min="77" max="77" width="11.7109375" style="15" customWidth="1"/>
    <col min="78" max="79" width="10.7109375" style="15" customWidth="1"/>
    <col min="80" max="81" width="11.7109375" style="15" customWidth="1"/>
    <col min="82" max="82" width="10.7109375" style="15" customWidth="1"/>
    <col min="83" max="83" width="11.7109375" style="15" customWidth="1"/>
    <col min="84" max="84" width="12.85546875" style="15" customWidth="1"/>
    <col min="85" max="85" width="13.28515625" style="15" customWidth="1"/>
    <col min="86" max="86" width="9.28515625" style="15" customWidth="1"/>
    <col min="87" max="87" width="10.85546875" style="15" customWidth="1"/>
    <col min="88" max="89" width="12.5703125" style="15" customWidth="1"/>
    <col min="90" max="90" width="21.7109375" style="15" bestFit="1" customWidth="1"/>
    <col min="91" max="91" width="21.42578125" style="15" bestFit="1" customWidth="1"/>
    <col min="92" max="92" width="12.85546875" style="15" bestFit="1" customWidth="1"/>
    <col min="93" max="93" width="12.140625" style="15" bestFit="1" customWidth="1"/>
    <col min="94" max="94" width="13.28515625" style="15" bestFit="1" customWidth="1"/>
    <col min="95" max="95" width="13" style="15" bestFit="1" customWidth="1"/>
    <col min="96" max="96" width="12.85546875" style="15" bestFit="1" customWidth="1"/>
    <col min="97" max="97" width="27.7109375" style="15" bestFit="1" customWidth="1"/>
    <col min="98" max="98" width="12.85546875" style="15" bestFit="1" customWidth="1"/>
    <col min="99" max="100" width="13.28515625" style="15" bestFit="1" customWidth="1"/>
    <col min="101" max="101" width="12.85546875" style="15" bestFit="1" customWidth="1"/>
    <col min="102" max="102" width="12.42578125" style="15" bestFit="1" customWidth="1"/>
    <col min="103" max="103" width="13.42578125" style="15" bestFit="1" customWidth="1"/>
    <col min="104" max="104" width="13" style="15" bestFit="1" customWidth="1"/>
    <col min="105" max="107" width="13.28515625" style="15" bestFit="1" customWidth="1"/>
    <col min="108" max="108" width="60.140625" style="15" bestFit="1" customWidth="1"/>
    <col min="109" max="109" width="11.42578125" style="15" bestFit="1" customWidth="1"/>
    <col min="110" max="110" width="10.42578125" style="15" bestFit="1" customWidth="1"/>
    <col min="111" max="111" width="12.140625" style="15" bestFit="1" customWidth="1"/>
    <col min="112" max="112" width="10.28515625" style="15" bestFit="1" customWidth="1"/>
    <col min="113" max="113" width="9.42578125" style="15" bestFit="1" customWidth="1"/>
    <col min="114" max="114" width="10.5703125" style="15" bestFit="1" customWidth="1"/>
    <col min="115" max="115" width="12.140625" style="15" bestFit="1" customWidth="1"/>
    <col min="116" max="116" width="12.140625" style="15" customWidth="1"/>
    <col min="117" max="117" width="12" style="15" bestFit="1" customWidth="1"/>
    <col min="118" max="118" width="9.140625" style="14"/>
    <col min="119" max="16384" width="9.140625" style="15"/>
  </cols>
  <sheetData>
    <row r="1" spans="1:118" x14ac:dyDescent="0.25">
      <c r="A1" s="1" t="s">
        <v>1</v>
      </c>
      <c r="B1" s="1" t="s">
        <v>9</v>
      </c>
      <c r="C1" s="8" t="s">
        <v>10</v>
      </c>
      <c r="D1" s="9" t="s">
        <v>11</v>
      </c>
      <c r="E1" s="10" t="s">
        <v>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2">
        <f>_xlfn.MINIFS(Table.Source[Interest Free Unit Price
include club],Table.Source[Project],"Ashgar City",Table.Source[Status],"Available")</f>
        <v>0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3"/>
      <c r="DC1" s="13"/>
      <c r="DD1" s="1"/>
      <c r="DE1" s="1"/>
      <c r="DF1" s="1"/>
      <c r="DG1" s="1"/>
      <c r="DH1" s="12">
        <f>_xlfn.MINIFS(Table.Source[Sellable Area without Roof (Gross Area)],Table.Source[Unit Type],"&lt;&gt;Villa")-0.0001</f>
        <v>72.186279928315415</v>
      </c>
      <c r="DI1" s="12">
        <f>($DI$4-$DH$1)/4+DH1</f>
        <v>97.562649014336927</v>
      </c>
      <c r="DJ1" s="12">
        <f>_xlfn.MINIFS(Table.Source[Sellable Area without Roof (Gross Area)],Table.Source[Unit Type],"Villa")-0.0001</f>
        <v>-1E-4</v>
      </c>
      <c r="DK1" s="12">
        <f>($DK$2-$DJ$1)/4+DJ1</f>
        <v>-7.5000000000000007E-5</v>
      </c>
      <c r="DL1" s="12"/>
      <c r="DM1" s="1"/>
    </row>
    <row r="2" spans="1:1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2">
        <f>_xlfn.MAXIFS(Table.Source[Interest Free Unit Price
include club],Table.Source[Project],"Ashgar City",Table.Source[Status],"Available")</f>
        <v>0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2">
        <f>DI1+0.001</f>
        <v>97.563649014336931</v>
      </c>
      <c r="DI2" s="12">
        <f>($DI$4-$DH$1)/4+DH2</f>
        <v>122.94001810035844</v>
      </c>
      <c r="DJ2" s="12">
        <f>DK1+0.001</f>
        <v>9.2500000000000004E-4</v>
      </c>
      <c r="DK2" s="12">
        <f>_xlfn.MAXIFS(Table.Source[Sellable Area without Roof (Gross Area)],Table.Source[Unit Type],"Villa")</f>
        <v>0</v>
      </c>
      <c r="DL2" s="12"/>
      <c r="DM2" s="1"/>
    </row>
    <row r="3" spans="1:118" x14ac:dyDescent="0.25">
      <c r="A3" s="16"/>
      <c r="B3" s="17" t="s">
        <v>13</v>
      </c>
      <c r="C3" s="18" t="s">
        <v>14</v>
      </c>
      <c r="D3" s="18"/>
      <c r="E3" s="18" t="s">
        <v>14</v>
      </c>
      <c r="F3" s="18"/>
      <c r="G3" s="18" t="s">
        <v>15</v>
      </c>
      <c r="H3" s="18"/>
      <c r="I3" s="18" t="s">
        <v>15</v>
      </c>
      <c r="J3" s="18"/>
      <c r="K3" s="18" t="s">
        <v>15</v>
      </c>
      <c r="L3" s="18"/>
      <c r="M3" s="18" t="s">
        <v>15</v>
      </c>
      <c r="N3" s="18"/>
      <c r="O3" s="18" t="s">
        <v>15</v>
      </c>
      <c r="P3" s="18"/>
      <c r="Q3" s="18"/>
      <c r="R3" s="18" t="s">
        <v>15</v>
      </c>
      <c r="S3" s="18"/>
      <c r="T3" s="18"/>
      <c r="U3" s="18" t="s">
        <v>15</v>
      </c>
      <c r="V3" s="18"/>
      <c r="W3" s="18" t="s">
        <v>15</v>
      </c>
      <c r="X3" s="19" t="s">
        <v>16</v>
      </c>
      <c r="Y3" s="19"/>
      <c r="Z3" s="19"/>
      <c r="AA3" s="19" t="s">
        <v>16</v>
      </c>
      <c r="AB3" s="19"/>
      <c r="AC3" s="19" t="s">
        <v>16</v>
      </c>
      <c r="AD3" s="19"/>
      <c r="AE3" s="19"/>
      <c r="AF3" s="19" t="s">
        <v>16</v>
      </c>
      <c r="AG3" s="19" t="s">
        <v>16</v>
      </c>
      <c r="AH3" s="19"/>
      <c r="AI3" s="19" t="s">
        <v>16</v>
      </c>
      <c r="AJ3" s="19"/>
      <c r="AK3" s="19" t="s">
        <v>16</v>
      </c>
      <c r="AL3" s="19"/>
      <c r="AM3" s="19" t="s">
        <v>16</v>
      </c>
      <c r="AN3" s="20"/>
      <c r="AO3" s="20"/>
      <c r="AP3" s="20" t="s">
        <v>17</v>
      </c>
      <c r="AQ3" s="20"/>
      <c r="AR3" s="20" t="s">
        <v>17</v>
      </c>
      <c r="AS3" s="20"/>
      <c r="AT3" s="20" t="s">
        <v>17</v>
      </c>
      <c r="AU3" s="20" t="s">
        <v>17</v>
      </c>
      <c r="AV3" s="20"/>
      <c r="AW3" s="20" t="s">
        <v>17</v>
      </c>
      <c r="AX3" s="20"/>
      <c r="AY3" s="20" t="s">
        <v>17</v>
      </c>
      <c r="AZ3" s="20"/>
      <c r="BA3" s="20" t="s">
        <v>17</v>
      </c>
      <c r="BB3" s="20"/>
      <c r="BC3" s="20" t="s">
        <v>17</v>
      </c>
      <c r="BD3" s="20"/>
      <c r="BE3" s="20" t="s">
        <v>17</v>
      </c>
      <c r="BF3" s="20"/>
      <c r="BG3" s="20" t="s">
        <v>17</v>
      </c>
      <c r="BH3" s="20"/>
      <c r="BI3" s="20" t="s">
        <v>17</v>
      </c>
      <c r="BJ3" s="20"/>
      <c r="BK3" s="20"/>
      <c r="BL3" s="20" t="s">
        <v>17</v>
      </c>
      <c r="BM3" s="21" t="s">
        <v>18</v>
      </c>
      <c r="BN3" s="21"/>
      <c r="BO3" s="21" t="s">
        <v>18</v>
      </c>
      <c r="BP3" s="21"/>
      <c r="BQ3" s="21" t="s">
        <v>18</v>
      </c>
      <c r="BR3" s="21"/>
      <c r="BS3" s="21" t="s">
        <v>18</v>
      </c>
      <c r="BT3" s="21"/>
      <c r="BU3" s="21" t="s">
        <v>18</v>
      </c>
      <c r="BV3" s="21"/>
      <c r="BW3" s="21" t="s">
        <v>18</v>
      </c>
      <c r="BX3" s="21"/>
      <c r="BY3" s="21" t="s">
        <v>18</v>
      </c>
      <c r="BZ3" s="21"/>
      <c r="CA3" s="21"/>
      <c r="CB3" s="21" t="s">
        <v>18</v>
      </c>
      <c r="CC3" s="21"/>
      <c r="CD3" s="21"/>
      <c r="CE3" s="21" t="s">
        <v>18</v>
      </c>
      <c r="CF3" s="21"/>
      <c r="CG3" s="21"/>
      <c r="CH3" s="20"/>
      <c r="CI3" s="20"/>
      <c r="CJ3" s="20"/>
      <c r="CK3" s="20" t="s">
        <v>17</v>
      </c>
      <c r="CL3" s="22" t="s">
        <v>19</v>
      </c>
      <c r="CM3" s="22" t="s">
        <v>19</v>
      </c>
      <c r="CN3" s="22"/>
      <c r="CO3" s="22"/>
      <c r="CP3" s="22" t="s">
        <v>19</v>
      </c>
      <c r="CQ3" s="22"/>
      <c r="CR3" s="22" t="s">
        <v>19</v>
      </c>
      <c r="CS3" s="22"/>
      <c r="CT3" s="22" t="s">
        <v>19</v>
      </c>
      <c r="CU3" s="22"/>
      <c r="CV3" s="22"/>
      <c r="CW3" s="22" t="s">
        <v>19</v>
      </c>
      <c r="CX3" s="22"/>
      <c r="CY3" s="22" t="s">
        <v>19</v>
      </c>
      <c r="CZ3" s="22"/>
      <c r="DA3" s="22" t="s">
        <v>19</v>
      </c>
      <c r="DB3" s="22"/>
      <c r="DC3" s="22"/>
      <c r="DD3" s="22"/>
      <c r="DE3" s="22" t="s">
        <v>19</v>
      </c>
      <c r="DF3" s="22"/>
      <c r="DG3" s="22" t="s">
        <v>19</v>
      </c>
      <c r="DH3" s="12">
        <f>DI2+0.001</f>
        <v>122.94101810035845</v>
      </c>
      <c r="DI3" s="12">
        <f>($DI$4-$DH$1)/4+DH3</f>
        <v>148.31738718637996</v>
      </c>
      <c r="DJ3" s="12"/>
      <c r="DK3" s="12"/>
      <c r="DL3" s="12"/>
      <c r="DM3" s="16"/>
    </row>
    <row r="4" spans="1:118" ht="25.5" x14ac:dyDescent="0.25">
      <c r="A4" s="23"/>
      <c r="B4" s="1" t="s">
        <v>20</v>
      </c>
      <c r="C4" s="23" t="s">
        <v>21</v>
      </c>
      <c r="D4" s="23" t="s">
        <v>21</v>
      </c>
      <c r="E4" s="23" t="s">
        <v>22</v>
      </c>
      <c r="F4" s="23" t="s">
        <v>22</v>
      </c>
      <c r="G4" s="23" t="s">
        <v>22</v>
      </c>
      <c r="H4" s="23" t="s">
        <v>21</v>
      </c>
      <c r="I4" s="23" t="s">
        <v>21</v>
      </c>
      <c r="J4" s="23" t="s">
        <v>21</v>
      </c>
      <c r="K4" s="23" t="s">
        <v>21</v>
      </c>
      <c r="L4" s="23" t="s">
        <v>22</v>
      </c>
      <c r="M4" s="23" t="s">
        <v>21</v>
      </c>
      <c r="N4" s="23" t="s">
        <v>21</v>
      </c>
      <c r="O4" s="23" t="s">
        <v>22</v>
      </c>
      <c r="P4" s="23" t="s">
        <v>22</v>
      </c>
      <c r="Q4" s="23" t="s">
        <v>21</v>
      </c>
      <c r="R4" s="23" t="s">
        <v>22</v>
      </c>
      <c r="S4" s="23"/>
      <c r="T4" s="23" t="s">
        <v>21</v>
      </c>
      <c r="U4" s="23" t="s">
        <v>22</v>
      </c>
      <c r="V4" s="23" t="s">
        <v>22</v>
      </c>
      <c r="W4" s="23" t="s">
        <v>22</v>
      </c>
      <c r="X4" s="23" t="s">
        <v>23</v>
      </c>
      <c r="Y4" s="23" t="s">
        <v>23</v>
      </c>
      <c r="Z4" s="23" t="s">
        <v>23</v>
      </c>
      <c r="AA4" s="23" t="s">
        <v>23</v>
      </c>
      <c r="AB4" s="23" t="s">
        <v>23</v>
      </c>
      <c r="AC4" s="23" t="s">
        <v>23</v>
      </c>
      <c r="AD4" s="23" t="s">
        <v>23</v>
      </c>
      <c r="AE4" s="23" t="s">
        <v>23</v>
      </c>
      <c r="AF4" s="23" t="s">
        <v>23</v>
      </c>
      <c r="AG4" s="23" t="s">
        <v>23</v>
      </c>
      <c r="AH4" s="23" t="s">
        <v>23</v>
      </c>
      <c r="AI4" s="23" t="s">
        <v>23</v>
      </c>
      <c r="AJ4" s="23" t="s">
        <v>23</v>
      </c>
      <c r="AK4" s="23" t="s">
        <v>23</v>
      </c>
      <c r="AL4" s="23" t="s">
        <v>23</v>
      </c>
      <c r="AM4" s="23" t="s">
        <v>23</v>
      </c>
      <c r="AN4" s="23" t="s">
        <v>24</v>
      </c>
      <c r="AO4" s="23" t="s">
        <v>24</v>
      </c>
      <c r="AP4" s="23" t="s">
        <v>24</v>
      </c>
      <c r="AQ4" s="23" t="s">
        <v>24</v>
      </c>
      <c r="AR4" s="23" t="s">
        <v>24</v>
      </c>
      <c r="AS4" s="23" t="s">
        <v>24</v>
      </c>
      <c r="AT4" s="23" t="s">
        <v>24</v>
      </c>
      <c r="AU4" s="23" t="s">
        <v>24</v>
      </c>
      <c r="AV4" s="23" t="s">
        <v>24</v>
      </c>
      <c r="AW4" s="23" t="s">
        <v>24</v>
      </c>
      <c r="AX4" s="23" t="s">
        <v>24</v>
      </c>
      <c r="AY4" s="23" t="s">
        <v>24</v>
      </c>
      <c r="AZ4" s="23"/>
      <c r="BA4" s="23" t="s">
        <v>25</v>
      </c>
      <c r="BB4" s="23" t="s">
        <v>25</v>
      </c>
      <c r="BC4" s="23" t="s">
        <v>25</v>
      </c>
      <c r="BD4" s="23" t="s">
        <v>25</v>
      </c>
      <c r="BE4" s="23" t="s">
        <v>25</v>
      </c>
      <c r="BF4" s="23" t="s">
        <v>25</v>
      </c>
      <c r="BG4" s="23" t="s">
        <v>25</v>
      </c>
      <c r="BH4" s="23" t="s">
        <v>25</v>
      </c>
      <c r="BI4" s="23" t="s">
        <v>24</v>
      </c>
      <c r="BJ4" s="23" t="s">
        <v>24</v>
      </c>
      <c r="BK4" s="23"/>
      <c r="BL4" s="23" t="s">
        <v>21</v>
      </c>
      <c r="BM4" s="23" t="s">
        <v>25</v>
      </c>
      <c r="BN4" s="23" t="s">
        <v>24</v>
      </c>
      <c r="BO4" s="23" t="s">
        <v>25</v>
      </c>
      <c r="BP4" s="23" t="s">
        <v>24</v>
      </c>
      <c r="BQ4" s="23" t="s">
        <v>25</v>
      </c>
      <c r="BR4" s="23" t="s">
        <v>24</v>
      </c>
      <c r="BS4" s="23" t="s">
        <v>24</v>
      </c>
      <c r="BT4" s="23" t="s">
        <v>24</v>
      </c>
      <c r="BU4" s="23" t="s">
        <v>24</v>
      </c>
      <c r="BV4" s="23" t="s">
        <v>24</v>
      </c>
      <c r="BW4" s="23" t="s">
        <v>24</v>
      </c>
      <c r="BX4" s="23" t="s">
        <v>24</v>
      </c>
      <c r="BY4" s="23" t="s">
        <v>24</v>
      </c>
      <c r="BZ4" s="23" t="s">
        <v>24</v>
      </c>
      <c r="CA4" s="23"/>
      <c r="CB4" s="23" t="s">
        <v>24</v>
      </c>
      <c r="CC4" s="23"/>
      <c r="CD4" s="23" t="s">
        <v>24</v>
      </c>
      <c r="CE4" s="23" t="s">
        <v>24</v>
      </c>
      <c r="CF4" s="23" t="s">
        <v>25</v>
      </c>
      <c r="CG4" s="23"/>
      <c r="CH4" s="23" t="s">
        <v>24</v>
      </c>
      <c r="CI4" s="23"/>
      <c r="CJ4" s="23" t="s">
        <v>24</v>
      </c>
      <c r="CK4" s="23" t="s">
        <v>24</v>
      </c>
      <c r="CL4" s="23" t="s">
        <v>21</v>
      </c>
      <c r="CM4" s="1" t="s">
        <v>22</v>
      </c>
      <c r="CN4" s="23" t="s">
        <v>26</v>
      </c>
      <c r="CO4" s="23" t="s">
        <v>26</v>
      </c>
      <c r="CP4" s="23" t="s">
        <v>26</v>
      </c>
      <c r="CQ4" s="23" t="s">
        <v>26</v>
      </c>
      <c r="CR4" s="23" t="s">
        <v>26</v>
      </c>
      <c r="CS4" s="23" t="s">
        <v>21</v>
      </c>
      <c r="CT4" s="23" t="s">
        <v>27</v>
      </c>
      <c r="CU4" s="23" t="s">
        <v>27</v>
      </c>
      <c r="CV4" s="23" t="s">
        <v>25</v>
      </c>
      <c r="CW4" s="23" t="s">
        <v>26</v>
      </c>
      <c r="CX4" s="23" t="s">
        <v>27</v>
      </c>
      <c r="CY4" s="23" t="s">
        <v>26</v>
      </c>
      <c r="CZ4" s="23" t="s">
        <v>26</v>
      </c>
      <c r="DA4" s="23" t="s">
        <v>26</v>
      </c>
      <c r="DB4" s="23"/>
      <c r="DC4" s="23"/>
      <c r="DD4" s="23" t="s">
        <v>22</v>
      </c>
      <c r="DE4" s="23" t="s">
        <v>22</v>
      </c>
      <c r="DF4" s="23" t="s">
        <v>27</v>
      </c>
      <c r="DG4" s="23" t="s">
        <v>22</v>
      </c>
      <c r="DH4" s="12">
        <f>DI3+0.001</f>
        <v>148.31838718637997</v>
      </c>
      <c r="DI4" s="24">
        <f>_xlfn.MAXIFS(Table.Source[Sellable Area without Roof (Gross Area)],Table.Source[Unit Type],"&lt;&gt;Villa")</f>
        <v>173.69175627240145</v>
      </c>
      <c r="DJ4" s="12"/>
      <c r="DK4" s="24"/>
      <c r="DL4" s="24"/>
      <c r="DM4" s="23"/>
      <c r="DN4" s="25">
        <f>YEAR(MAX(Table.Source[Reservation Date]))</f>
        <v>1900</v>
      </c>
    </row>
    <row r="5" spans="1:118" ht="38.25" x14ac:dyDescent="0.25">
      <c r="A5" s="1"/>
      <c r="B5" s="1"/>
      <c r="C5" s="26" t="s">
        <v>28</v>
      </c>
      <c r="D5" s="26" t="s">
        <v>29</v>
      </c>
      <c r="E5" s="26" t="s">
        <v>30</v>
      </c>
      <c r="F5" s="26" t="s">
        <v>31</v>
      </c>
      <c r="G5" s="26" t="s">
        <v>32</v>
      </c>
      <c r="H5" s="26" t="s">
        <v>33</v>
      </c>
      <c r="I5" s="26" t="s">
        <v>34</v>
      </c>
      <c r="J5" s="26" t="s">
        <v>35</v>
      </c>
      <c r="K5" s="26" t="s">
        <v>36</v>
      </c>
      <c r="L5" s="26" t="s">
        <v>37</v>
      </c>
      <c r="M5" s="26" t="s">
        <v>38</v>
      </c>
      <c r="N5" s="26" t="s">
        <v>39</v>
      </c>
      <c r="O5" s="26" t="s">
        <v>40</v>
      </c>
      <c r="P5" s="26" t="s">
        <v>41</v>
      </c>
      <c r="Q5" s="26" t="s">
        <v>42</v>
      </c>
      <c r="R5" s="26" t="s">
        <v>43</v>
      </c>
      <c r="S5" s="26" t="s">
        <v>44</v>
      </c>
      <c r="T5" s="26" t="s">
        <v>45</v>
      </c>
      <c r="U5" s="26" t="s">
        <v>46</v>
      </c>
      <c r="V5" s="26" t="s">
        <v>47</v>
      </c>
      <c r="W5" s="26" t="s">
        <v>48</v>
      </c>
      <c r="X5" s="27" t="s">
        <v>49</v>
      </c>
      <c r="Y5" s="27" t="s">
        <v>50</v>
      </c>
      <c r="Z5" s="27" t="s">
        <v>51</v>
      </c>
      <c r="AA5" s="27" t="s">
        <v>52</v>
      </c>
      <c r="AB5" s="27" t="s">
        <v>53</v>
      </c>
      <c r="AC5" s="27" t="s">
        <v>54</v>
      </c>
      <c r="AD5" s="27" t="s">
        <v>55</v>
      </c>
      <c r="AE5" s="28" t="s">
        <v>56</v>
      </c>
      <c r="AF5" s="27" t="s">
        <v>57</v>
      </c>
      <c r="AG5" s="28" t="s">
        <v>58</v>
      </c>
      <c r="AH5" s="27" t="s">
        <v>59</v>
      </c>
      <c r="AI5" s="27" t="s">
        <v>60</v>
      </c>
      <c r="AJ5" s="28" t="s">
        <v>61</v>
      </c>
      <c r="AK5" s="27" t="s">
        <v>62</v>
      </c>
      <c r="AL5" s="27" t="s">
        <v>63</v>
      </c>
      <c r="AM5" s="28" t="s">
        <v>64</v>
      </c>
      <c r="AN5" s="27" t="s">
        <v>65</v>
      </c>
      <c r="AO5" s="27" t="s">
        <v>66</v>
      </c>
      <c r="AP5" s="27" t="s">
        <v>67</v>
      </c>
      <c r="AQ5" s="27" t="s">
        <v>68</v>
      </c>
      <c r="AR5" s="27" t="s">
        <v>69</v>
      </c>
      <c r="AS5" s="27" t="s">
        <v>70</v>
      </c>
      <c r="AT5" s="27" t="s">
        <v>71</v>
      </c>
      <c r="AU5" s="27" t="s">
        <v>72</v>
      </c>
      <c r="AV5" s="27" t="s">
        <v>73</v>
      </c>
      <c r="AW5" s="27" t="s">
        <v>74</v>
      </c>
      <c r="AX5" s="27" t="s">
        <v>75</v>
      </c>
      <c r="AY5" s="28" t="s">
        <v>76</v>
      </c>
      <c r="AZ5" s="28" t="s">
        <v>77</v>
      </c>
      <c r="BA5" s="27" t="s">
        <v>78</v>
      </c>
      <c r="BB5" s="27" t="s">
        <v>79</v>
      </c>
      <c r="BC5" s="27" t="s">
        <v>80</v>
      </c>
      <c r="BD5" s="27" t="s">
        <v>81</v>
      </c>
      <c r="BE5" s="27" t="s">
        <v>82</v>
      </c>
      <c r="BF5" s="27" t="s">
        <v>83</v>
      </c>
      <c r="BG5" s="27" t="s">
        <v>84</v>
      </c>
      <c r="BH5" s="28" t="s">
        <v>85</v>
      </c>
      <c r="BI5" s="28" t="s">
        <v>86</v>
      </c>
      <c r="BJ5" s="28" t="s">
        <v>87</v>
      </c>
      <c r="BK5" s="28" t="s">
        <v>88</v>
      </c>
      <c r="BL5" s="27" t="s">
        <v>89</v>
      </c>
      <c r="BM5" s="27" t="s">
        <v>90</v>
      </c>
      <c r="BN5" s="28" t="s">
        <v>91</v>
      </c>
      <c r="BO5" s="27" t="s">
        <v>92</v>
      </c>
      <c r="BP5" s="28" t="s">
        <v>93</v>
      </c>
      <c r="BQ5" s="27" t="s">
        <v>94</v>
      </c>
      <c r="BR5" s="28" t="s">
        <v>4</v>
      </c>
      <c r="BS5" s="29" t="s">
        <v>95</v>
      </c>
      <c r="BT5" s="29" t="s">
        <v>96</v>
      </c>
      <c r="BU5" s="29" t="s">
        <v>97</v>
      </c>
      <c r="BV5" s="29" t="s">
        <v>98</v>
      </c>
      <c r="BW5" s="29" t="s">
        <v>99</v>
      </c>
      <c r="BX5" s="29" t="s">
        <v>100</v>
      </c>
      <c r="BY5" s="29" t="s">
        <v>101</v>
      </c>
      <c r="BZ5" s="29" t="s">
        <v>102</v>
      </c>
      <c r="CA5" s="29" t="s">
        <v>103</v>
      </c>
      <c r="CB5" s="29" t="s">
        <v>104</v>
      </c>
      <c r="CC5" s="29" t="s">
        <v>105</v>
      </c>
      <c r="CD5" s="29" t="s">
        <v>106</v>
      </c>
      <c r="CE5" s="29" t="s">
        <v>107</v>
      </c>
      <c r="CF5" s="27" t="s">
        <v>108</v>
      </c>
      <c r="CG5" s="28" t="s">
        <v>109</v>
      </c>
      <c r="CH5" s="27" t="s">
        <v>110</v>
      </c>
      <c r="CI5" s="27" t="s">
        <v>111</v>
      </c>
      <c r="CJ5" s="30" t="s">
        <v>112</v>
      </c>
      <c r="CK5" s="31" t="s">
        <v>113</v>
      </c>
      <c r="CL5" s="32" t="s">
        <v>19</v>
      </c>
      <c r="CM5" s="27" t="s">
        <v>114</v>
      </c>
      <c r="CN5" s="32" t="s">
        <v>115</v>
      </c>
      <c r="CO5" s="32" t="s">
        <v>116</v>
      </c>
      <c r="CP5" s="32" t="s">
        <v>117</v>
      </c>
      <c r="CQ5" s="32" t="s">
        <v>118</v>
      </c>
      <c r="CR5" s="32" t="s">
        <v>6</v>
      </c>
      <c r="CS5" s="32" t="s">
        <v>119</v>
      </c>
      <c r="CT5" s="32" t="s">
        <v>120</v>
      </c>
      <c r="CU5" s="32" t="s">
        <v>121</v>
      </c>
      <c r="CV5" s="28" t="s">
        <v>122</v>
      </c>
      <c r="CW5" s="32" t="s">
        <v>123</v>
      </c>
      <c r="CX5" s="32" t="s">
        <v>124</v>
      </c>
      <c r="CY5" s="27" t="s">
        <v>125</v>
      </c>
      <c r="CZ5" s="27" t="s">
        <v>126</v>
      </c>
      <c r="DA5" s="27" t="s">
        <v>127</v>
      </c>
      <c r="DB5" s="27" t="s">
        <v>128</v>
      </c>
      <c r="DC5" s="27" t="s">
        <v>129</v>
      </c>
      <c r="DD5" s="32" t="s">
        <v>130</v>
      </c>
      <c r="DE5" s="32" t="s">
        <v>131</v>
      </c>
      <c r="DF5" s="32" t="s">
        <v>132</v>
      </c>
      <c r="DG5" s="32" t="s">
        <v>133</v>
      </c>
      <c r="DH5" s="33" t="s">
        <v>134</v>
      </c>
      <c r="DI5" s="33" t="s">
        <v>135</v>
      </c>
      <c r="DJ5" s="33" t="s">
        <v>136</v>
      </c>
      <c r="DK5" s="33" t="s">
        <v>137</v>
      </c>
      <c r="DL5" s="33" t="s">
        <v>138</v>
      </c>
      <c r="DM5" s="33" t="s">
        <v>139</v>
      </c>
      <c r="DN5" s="34" t="s">
        <v>140</v>
      </c>
    </row>
    <row r="6" spans="1:118" x14ac:dyDescent="0.25">
      <c r="A6" s="1"/>
      <c r="B6" s="1"/>
      <c r="C6" s="35" t="s">
        <v>141</v>
      </c>
      <c r="D6" s="35" t="s">
        <v>142</v>
      </c>
      <c r="E6" s="1" t="s">
        <v>143</v>
      </c>
      <c r="F6" s="35"/>
      <c r="G6" s="35"/>
      <c r="H6" s="35" t="s">
        <v>144</v>
      </c>
      <c r="I6" s="35"/>
      <c r="J6" s="36" t="s">
        <v>145</v>
      </c>
      <c r="K6" s="36" t="s">
        <v>146</v>
      </c>
      <c r="L6" s="37" t="s">
        <v>147</v>
      </c>
      <c r="M6" s="38"/>
      <c r="N6" s="38" t="s">
        <v>148</v>
      </c>
      <c r="O6" s="36" t="s">
        <v>149</v>
      </c>
      <c r="P6" s="39" t="s">
        <v>150</v>
      </c>
      <c r="Q6" s="36">
        <v>1</v>
      </c>
      <c r="R6" s="40" t="s">
        <v>151</v>
      </c>
      <c r="S6" s="41">
        <v>33000621</v>
      </c>
      <c r="T6" s="35" t="s">
        <v>152</v>
      </c>
      <c r="U6" s="1" t="s">
        <v>147</v>
      </c>
      <c r="V6" s="1"/>
      <c r="W6" s="42"/>
      <c r="X6" s="42"/>
      <c r="Y6" s="43">
        <v>101.98</v>
      </c>
      <c r="Z6" s="42">
        <v>7.68</v>
      </c>
      <c r="AA6" s="42">
        <v>0</v>
      </c>
      <c r="AB6" s="42">
        <v>0</v>
      </c>
      <c r="AC6" s="42">
        <v>0</v>
      </c>
      <c r="AD6" s="42">
        <v>0</v>
      </c>
      <c r="AE6" s="42">
        <v>109.66</v>
      </c>
      <c r="AF6" s="42">
        <v>15.809107551487415</v>
      </c>
      <c r="AG6" s="42">
        <v>125.46910755148741</v>
      </c>
      <c r="AH6" s="42">
        <v>0</v>
      </c>
      <c r="AI6" s="42">
        <v>0</v>
      </c>
      <c r="AJ6" s="42">
        <v>125.46910755148741</v>
      </c>
      <c r="AK6" s="42">
        <v>0</v>
      </c>
      <c r="AL6" s="44">
        <v>0</v>
      </c>
      <c r="AM6" s="44">
        <f>SUM(Table.Source[[#This Row],[BUA]:[Garden Area]])</f>
        <v>125.46910755148741</v>
      </c>
      <c r="AN6" s="45">
        <v>21864.688747808781</v>
      </c>
      <c r="AO6" s="45">
        <v>11620</v>
      </c>
      <c r="AP6" s="45">
        <v>0</v>
      </c>
      <c r="AQ6" s="45">
        <v>0</v>
      </c>
      <c r="AR6" s="45">
        <v>0</v>
      </c>
      <c r="AS6" s="46">
        <v>0</v>
      </c>
      <c r="AT6" s="45">
        <v>0</v>
      </c>
      <c r="AU6" s="45">
        <v>0</v>
      </c>
      <c r="AV6" s="45">
        <v>0</v>
      </c>
      <c r="AW6" s="45">
        <v>0</v>
      </c>
      <c r="AX6" s="46">
        <v>0</v>
      </c>
      <c r="AY6" s="45">
        <v>2664663.7744954452</v>
      </c>
      <c r="AZ6" s="45">
        <v>21237.60841609538</v>
      </c>
      <c r="BA6" s="47">
        <v>0.01</v>
      </c>
      <c r="BB6" s="47">
        <v>0</v>
      </c>
      <c r="BC6" s="47">
        <v>2.5000000000000001E-2</v>
      </c>
      <c r="BD6" s="47">
        <v>0</v>
      </c>
      <c r="BE6" s="48">
        <v>0</v>
      </c>
      <c r="BF6" s="48"/>
      <c r="BG6" s="47"/>
      <c r="BH6" s="48">
        <v>3.5000000000000003E-2</v>
      </c>
      <c r="BI6" s="45">
        <v>93263.232107340591</v>
      </c>
      <c r="BJ6" s="45">
        <v>3895000</v>
      </c>
      <c r="BK6" s="45">
        <v>31043.498084989969</v>
      </c>
      <c r="BL6" s="46" t="s">
        <v>153</v>
      </c>
      <c r="BM6" s="49">
        <v>0.1</v>
      </c>
      <c r="BN6" s="45"/>
      <c r="BO6" s="49"/>
      <c r="BP6" s="45"/>
      <c r="BQ6" s="49"/>
      <c r="BR6" s="45"/>
      <c r="BS6" s="45"/>
      <c r="BT6" s="45"/>
      <c r="BU6" s="45"/>
      <c r="BV6" s="45"/>
      <c r="BW6" s="45"/>
      <c r="BX6" s="45">
        <v>3895000</v>
      </c>
      <c r="BY6" s="45"/>
      <c r="BZ6" s="45"/>
      <c r="CA6" s="45"/>
      <c r="CB6" s="45"/>
      <c r="CC6" s="45"/>
      <c r="CD6" s="45"/>
      <c r="CE6" s="45"/>
      <c r="CF6" s="49">
        <v>0.09</v>
      </c>
      <c r="CG6" s="45">
        <f>Table.Source[[#This Row],[5 Yrs. Price include club]]*Table.Source[[#This Row],[Maintenance %]]</f>
        <v>350550</v>
      </c>
      <c r="CH6" s="46"/>
      <c r="CI6" s="46"/>
      <c r="CJ6" s="46"/>
      <c r="CK6" s="45"/>
      <c r="CL6" s="50" t="s">
        <v>154</v>
      </c>
      <c r="CM6" s="50"/>
      <c r="CN6" s="51"/>
      <c r="CO6" s="51"/>
      <c r="CP6" s="51"/>
      <c r="CQ6" s="51"/>
      <c r="CR6" s="1"/>
      <c r="CS6" s="1"/>
      <c r="CT6" s="12"/>
      <c r="CU6" s="45"/>
      <c r="CV6" s="48"/>
      <c r="CW6" s="51"/>
      <c r="CX6" s="1">
        <v>6</v>
      </c>
      <c r="CY6" s="51"/>
      <c r="CZ6" s="51">
        <f t="shared" ref="CZ6:CZ35" ca="1" si="0">TODAY()+(2*365)+100</f>
        <v>46254</v>
      </c>
      <c r="DA6" s="51"/>
      <c r="DB6" s="51"/>
      <c r="DC6" s="51" t="s">
        <v>155</v>
      </c>
      <c r="DD6" s="12"/>
      <c r="DE6" s="51"/>
      <c r="DF6" s="1">
        <v>2</v>
      </c>
      <c r="DG6" s="1" t="s">
        <v>156</v>
      </c>
      <c r="DH6" s="45">
        <f>IF(Table.Source[[#This Row],[Contract Value]]&lt;&gt;0,Table.Source[[#This Row],[Contract Value]],Table.Source[[#This Row],[Interest Free Unit Price
include club]])</f>
        <v>3895000</v>
      </c>
      <c r="DI6" s="45">
        <f>Table.Source[[#This Row],[Sales Value ]]/Table.Source[[#This Row],[Sellable Area without Roof (Gross Area)]]</f>
        <v>31043.498084989969</v>
      </c>
      <c r="DJ6" s="45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6" s="5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6" s="52" t="str">
        <f>IF(Table.Source[[#This Row],[Reservation Date]]=0,"Inventory",YEAR(Table.Source[[#This Row],[Reservation Date]]))</f>
        <v>Inventory</v>
      </c>
      <c r="DM6" s="1" t="str">
        <f>IF(Table.Source[[#This Row],[Status]]="Contracted","Sold","Unsold")</f>
        <v>Unsold</v>
      </c>
      <c r="DN6" s="53">
        <f>Table.Source[[#This Row],[Sales Value ]]/IF(YEAR(Table.Source[[#This Row],[Reservation Date]])=$DN$4,MONTH(MAX(Table.Source[Reservation Date])),12)</f>
        <v>3895000</v>
      </c>
    </row>
    <row r="7" spans="1:118" x14ac:dyDescent="0.25">
      <c r="A7" s="1"/>
      <c r="B7" s="1"/>
      <c r="C7" s="35" t="s">
        <v>141</v>
      </c>
      <c r="D7" s="35" t="s">
        <v>142</v>
      </c>
      <c r="E7" s="1" t="s">
        <v>143</v>
      </c>
      <c r="F7" s="35"/>
      <c r="G7" s="35"/>
      <c r="H7" s="35" t="s">
        <v>144</v>
      </c>
      <c r="I7" s="35"/>
      <c r="J7" s="36" t="s">
        <v>145</v>
      </c>
      <c r="K7" s="36" t="s">
        <v>146</v>
      </c>
      <c r="L7" s="37" t="s">
        <v>157</v>
      </c>
      <c r="M7" s="38"/>
      <c r="N7" s="38" t="s">
        <v>158</v>
      </c>
      <c r="O7" s="36" t="s">
        <v>149</v>
      </c>
      <c r="P7" s="39" t="s">
        <v>159</v>
      </c>
      <c r="Q7" s="36">
        <v>4</v>
      </c>
      <c r="R7" s="40" t="s">
        <v>160</v>
      </c>
      <c r="S7" s="41">
        <v>33000630</v>
      </c>
      <c r="T7" s="35" t="s">
        <v>152</v>
      </c>
      <c r="U7" s="1" t="s">
        <v>157</v>
      </c>
      <c r="V7" s="1"/>
      <c r="W7" s="42"/>
      <c r="X7" s="42"/>
      <c r="Y7" s="54">
        <v>138.96</v>
      </c>
      <c r="Z7" s="42">
        <v>7.68</v>
      </c>
      <c r="AA7" s="42">
        <v>0</v>
      </c>
      <c r="AB7" s="42">
        <v>0</v>
      </c>
      <c r="AC7" s="42">
        <v>0</v>
      </c>
      <c r="AD7" s="42">
        <v>0</v>
      </c>
      <c r="AE7" s="42">
        <v>146.64000000000001</v>
      </c>
      <c r="AF7" s="42">
        <v>21.140320366132727</v>
      </c>
      <c r="AG7" s="42">
        <v>167.78032036613274</v>
      </c>
      <c r="AH7" s="42">
        <v>0</v>
      </c>
      <c r="AI7" s="42">
        <v>0</v>
      </c>
      <c r="AJ7" s="42">
        <v>167.78032036613274</v>
      </c>
      <c r="AK7" s="42">
        <v>0</v>
      </c>
      <c r="AL7" s="44">
        <v>0</v>
      </c>
      <c r="AM7" s="44">
        <f>SUM(Table.Source[[#This Row],[BUA]:[Garden Area]])</f>
        <v>167.78032036613274</v>
      </c>
      <c r="AN7" s="45">
        <v>20487.955211682107</v>
      </c>
      <c r="AO7" s="45">
        <v>10680</v>
      </c>
      <c r="AP7" s="45">
        <v>0</v>
      </c>
      <c r="AQ7" s="45">
        <v>0</v>
      </c>
      <c r="AR7" s="45">
        <v>0</v>
      </c>
      <c r="AS7" s="46">
        <v>0</v>
      </c>
      <c r="AT7" s="45">
        <v>0</v>
      </c>
      <c r="AU7" s="45">
        <v>0</v>
      </c>
      <c r="AV7" s="45">
        <v>0</v>
      </c>
      <c r="AW7" s="45">
        <v>0</v>
      </c>
      <c r="AX7" s="46">
        <v>0</v>
      </c>
      <c r="AY7" s="45">
        <v>3362150.593037284</v>
      </c>
      <c r="AZ7" s="45">
        <v>20039.00448932478</v>
      </c>
      <c r="BA7" s="47">
        <v>0.06</v>
      </c>
      <c r="BB7" s="47">
        <v>0</v>
      </c>
      <c r="BC7" s="47">
        <v>0.02</v>
      </c>
      <c r="BD7" s="47">
        <v>0</v>
      </c>
      <c r="BE7" s="48">
        <v>0.09</v>
      </c>
      <c r="BF7" s="48"/>
      <c r="BG7" s="47"/>
      <c r="BH7" s="48">
        <v>0.16999999999999998</v>
      </c>
      <c r="BI7" s="45">
        <v>571565.60081633821</v>
      </c>
      <c r="BJ7" s="45">
        <v>5483000</v>
      </c>
      <c r="BK7" s="45">
        <v>32679.637206764863</v>
      </c>
      <c r="BL7" s="46" t="s">
        <v>153</v>
      </c>
      <c r="BM7" s="49">
        <v>0.1</v>
      </c>
      <c r="BN7" s="45"/>
      <c r="BO7" s="49"/>
      <c r="BP7" s="45"/>
      <c r="BQ7" s="49"/>
      <c r="BR7" s="45"/>
      <c r="BS7" s="45"/>
      <c r="BT7" s="45"/>
      <c r="BU7" s="45"/>
      <c r="BV7" s="45"/>
      <c r="BW7" s="45"/>
      <c r="BX7" s="45">
        <v>5483000</v>
      </c>
      <c r="BY7" s="45"/>
      <c r="BZ7" s="45"/>
      <c r="CA7" s="45"/>
      <c r="CB7" s="45"/>
      <c r="CC7" s="45"/>
      <c r="CD7" s="45"/>
      <c r="CE7" s="45"/>
      <c r="CF7" s="49">
        <v>0.09</v>
      </c>
      <c r="CG7" s="45">
        <f>Table.Source[[#This Row],[5 Yrs. Price include club]]*Table.Source[[#This Row],[Maintenance %]]</f>
        <v>493470</v>
      </c>
      <c r="CH7" s="46"/>
      <c r="CI7" s="46"/>
      <c r="CJ7" s="46"/>
      <c r="CK7" s="45"/>
      <c r="CL7" s="50" t="s">
        <v>154</v>
      </c>
      <c r="CM7" s="50"/>
      <c r="CN7" s="51"/>
      <c r="CO7" s="51"/>
      <c r="CP7" s="51"/>
      <c r="CQ7" s="51"/>
      <c r="CR7" s="51"/>
      <c r="CS7" s="1"/>
      <c r="CT7" s="12"/>
      <c r="CU7" s="45"/>
      <c r="CV7" s="48"/>
      <c r="CW7" s="51"/>
      <c r="CX7" s="1">
        <v>6</v>
      </c>
      <c r="CY7" s="51"/>
      <c r="CZ7" s="51">
        <f t="shared" ca="1" si="0"/>
        <v>46254</v>
      </c>
      <c r="DA7" s="51"/>
      <c r="DB7" s="51"/>
      <c r="DC7" s="51" t="s">
        <v>155</v>
      </c>
      <c r="DD7" s="12"/>
      <c r="DE7" s="51"/>
      <c r="DF7" s="1">
        <v>1</v>
      </c>
      <c r="DG7" s="1" t="s">
        <v>156</v>
      </c>
      <c r="DH7" s="45">
        <f>IF(Table.Source[[#This Row],[Contract Value]]&lt;&gt;0,Table.Source[[#This Row],[Contract Value]],Table.Source[[#This Row],[Interest Free Unit Price
include club]])</f>
        <v>5483000</v>
      </c>
      <c r="DI7" s="45">
        <f>Table.Source[[#This Row],[Sales Value ]]/Table.Source[[#This Row],[Sellable Area without Roof (Gross Area)]]</f>
        <v>32679.637206764863</v>
      </c>
      <c r="DJ7" s="45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7" s="5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7" s="52" t="str">
        <f>IF(Table.Source[[#This Row],[Reservation Date]]=0,"Inventory",YEAR(Table.Source[[#This Row],[Reservation Date]]))</f>
        <v>Inventory</v>
      </c>
      <c r="DM7" s="1" t="str">
        <f>IF(Table.Source[[#This Row],[Status]]="Contracted","Sold","Unsold")</f>
        <v>Unsold</v>
      </c>
      <c r="DN7" s="53">
        <f>Table.Source[[#This Row],[Sales Value ]]/IF(YEAR(Table.Source[[#This Row],[Reservation Date]])=$DN$4,MONTH(MAX(Table.Source[Reservation Date])),12)</f>
        <v>5483000</v>
      </c>
    </row>
    <row r="8" spans="1:118" x14ac:dyDescent="0.25">
      <c r="A8" s="1"/>
      <c r="B8" s="1"/>
      <c r="C8" s="35" t="s">
        <v>141</v>
      </c>
      <c r="D8" s="35" t="s">
        <v>142</v>
      </c>
      <c r="E8" s="1" t="s">
        <v>143</v>
      </c>
      <c r="F8" s="35"/>
      <c r="G8" s="35"/>
      <c r="H8" s="35" t="s">
        <v>144</v>
      </c>
      <c r="I8" s="35"/>
      <c r="J8" s="36" t="s">
        <v>145</v>
      </c>
      <c r="K8" s="36" t="s">
        <v>146</v>
      </c>
      <c r="L8" s="37" t="s">
        <v>157</v>
      </c>
      <c r="M8" s="38"/>
      <c r="N8" s="38" t="s">
        <v>161</v>
      </c>
      <c r="O8" s="36" t="s">
        <v>149</v>
      </c>
      <c r="P8" s="39" t="s">
        <v>162</v>
      </c>
      <c r="Q8" s="36">
        <v>4</v>
      </c>
      <c r="R8" s="40" t="s">
        <v>163</v>
      </c>
      <c r="S8" s="41">
        <v>33000631</v>
      </c>
      <c r="T8" s="35" t="s">
        <v>152</v>
      </c>
      <c r="U8" s="1" t="s">
        <v>157</v>
      </c>
      <c r="V8" s="1"/>
      <c r="W8" s="42"/>
      <c r="X8" s="42"/>
      <c r="Y8" s="54">
        <v>139.41</v>
      </c>
      <c r="Z8" s="42">
        <v>7.68</v>
      </c>
      <c r="AA8" s="42">
        <v>0</v>
      </c>
      <c r="AB8" s="42">
        <v>0</v>
      </c>
      <c r="AC8" s="42">
        <v>0</v>
      </c>
      <c r="AD8" s="42">
        <v>0</v>
      </c>
      <c r="AE8" s="42">
        <v>147.09</v>
      </c>
      <c r="AF8" s="42">
        <v>21.205194508009157</v>
      </c>
      <c r="AG8" s="42">
        <v>168.29519450800916</v>
      </c>
      <c r="AH8" s="42">
        <v>0</v>
      </c>
      <c r="AI8" s="42">
        <v>0</v>
      </c>
      <c r="AJ8" s="42">
        <v>168.29519450800916</v>
      </c>
      <c r="AK8" s="42">
        <v>0</v>
      </c>
      <c r="AL8" s="44">
        <v>0</v>
      </c>
      <c r="AM8" s="44">
        <f>SUM(Table.Source[[#This Row],[BUA]:[Garden Area]])</f>
        <v>168.29519450800916</v>
      </c>
      <c r="AN8" s="45">
        <v>20470.20452184492</v>
      </c>
      <c r="AO8" s="45">
        <v>10680</v>
      </c>
      <c r="AP8" s="45">
        <v>0</v>
      </c>
      <c r="AQ8" s="45">
        <v>0</v>
      </c>
      <c r="AR8" s="45">
        <v>0</v>
      </c>
      <c r="AS8" s="46">
        <v>0</v>
      </c>
      <c r="AT8" s="45">
        <v>0</v>
      </c>
      <c r="AU8" s="45">
        <v>0</v>
      </c>
      <c r="AV8" s="45">
        <v>0</v>
      </c>
      <c r="AW8" s="45">
        <v>0</v>
      </c>
      <c r="AX8" s="46">
        <v>0</v>
      </c>
      <c r="AY8" s="45">
        <v>3369848.2808948504</v>
      </c>
      <c r="AZ8" s="45">
        <v>20023.437334299404</v>
      </c>
      <c r="BA8" s="47">
        <v>7.0000000000000007E-2</v>
      </c>
      <c r="BB8" s="47">
        <v>0</v>
      </c>
      <c r="BC8" s="47">
        <v>0.02</v>
      </c>
      <c r="BD8" s="47">
        <v>7.0000000000000007E-2</v>
      </c>
      <c r="BE8" s="48">
        <v>0.09</v>
      </c>
      <c r="BF8" s="48"/>
      <c r="BG8" s="47"/>
      <c r="BH8" s="48">
        <v>0.25</v>
      </c>
      <c r="BI8" s="45">
        <v>842462.0702237126</v>
      </c>
      <c r="BJ8" s="45">
        <v>5860000</v>
      </c>
      <c r="BK8" s="45">
        <v>34819.770208715752</v>
      </c>
      <c r="BL8" s="46" t="s">
        <v>153</v>
      </c>
      <c r="BM8" s="49">
        <v>0.1</v>
      </c>
      <c r="BN8" s="45"/>
      <c r="BO8" s="49"/>
      <c r="BP8" s="45"/>
      <c r="BQ8" s="49"/>
      <c r="BR8" s="45"/>
      <c r="BS8" s="45"/>
      <c r="BT8" s="45"/>
      <c r="BU8" s="45"/>
      <c r="BV8" s="45"/>
      <c r="BW8" s="45"/>
      <c r="BX8" s="45">
        <v>5860000</v>
      </c>
      <c r="BY8" s="45"/>
      <c r="BZ8" s="45"/>
      <c r="CA8" s="45"/>
      <c r="CB8" s="45"/>
      <c r="CC8" s="45"/>
      <c r="CD8" s="45"/>
      <c r="CE8" s="45"/>
      <c r="CF8" s="49">
        <v>0.09</v>
      </c>
      <c r="CG8" s="45">
        <f>Table.Source[[#This Row],[5 Yrs. Price include club]]*Table.Source[[#This Row],[Maintenance %]]</f>
        <v>527400</v>
      </c>
      <c r="CH8" s="46"/>
      <c r="CI8" s="46"/>
      <c r="CJ8" s="46"/>
      <c r="CK8" s="45"/>
      <c r="CL8" s="50" t="s">
        <v>154</v>
      </c>
      <c r="CM8" s="50"/>
      <c r="CN8" s="51"/>
      <c r="CO8" s="51"/>
      <c r="CP8" s="51"/>
      <c r="CQ8" s="51"/>
      <c r="CR8" s="1"/>
      <c r="CS8" s="1"/>
      <c r="CT8" s="12"/>
      <c r="CU8" s="45"/>
      <c r="CV8" s="48"/>
      <c r="CW8" s="51"/>
      <c r="CX8" s="1">
        <v>6</v>
      </c>
      <c r="CY8" s="51"/>
      <c r="CZ8" s="51">
        <f t="shared" ca="1" si="0"/>
        <v>46254</v>
      </c>
      <c r="DA8" s="51"/>
      <c r="DB8" s="51"/>
      <c r="DC8" s="51" t="s">
        <v>155</v>
      </c>
      <c r="DD8" s="12"/>
      <c r="DE8" s="51"/>
      <c r="DF8" s="1">
        <v>3</v>
      </c>
      <c r="DG8" s="1" t="s">
        <v>156</v>
      </c>
      <c r="DH8" s="45">
        <f>IF(Table.Source[[#This Row],[Contract Value]]&lt;&gt;0,Table.Source[[#This Row],[Contract Value]],Table.Source[[#This Row],[Interest Free Unit Price
include club]])</f>
        <v>5860000</v>
      </c>
      <c r="DI8" s="45">
        <f>Table.Source[[#This Row],[Sales Value ]]/Table.Source[[#This Row],[Sellable Area without Roof (Gross Area)]]</f>
        <v>34819.770208715752</v>
      </c>
      <c r="DJ8" s="45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8" s="5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8" s="52" t="str">
        <f>IF(Table.Source[[#This Row],[Reservation Date]]=0,"Inventory",YEAR(Table.Source[[#This Row],[Reservation Date]]))</f>
        <v>Inventory</v>
      </c>
      <c r="DM8" s="1" t="str">
        <f>IF(Table.Source[[#This Row],[Status]]="Contracted","Sold","Unsold")</f>
        <v>Unsold</v>
      </c>
      <c r="DN8" s="53">
        <f>Table.Source[[#This Row],[Sales Value ]]/IF(YEAR(Table.Source[[#This Row],[Reservation Date]])=$DN$4,MONTH(MAX(Table.Source[Reservation Date])),12)</f>
        <v>5860000</v>
      </c>
    </row>
    <row r="9" spans="1:118" x14ac:dyDescent="0.25">
      <c r="A9" s="1"/>
      <c r="B9" s="1"/>
      <c r="C9" s="35" t="s">
        <v>141</v>
      </c>
      <c r="D9" s="35" t="s">
        <v>142</v>
      </c>
      <c r="E9" s="1" t="s">
        <v>143</v>
      </c>
      <c r="F9" s="35"/>
      <c r="G9" s="35"/>
      <c r="H9" s="35" t="s">
        <v>144</v>
      </c>
      <c r="I9" s="35"/>
      <c r="J9" s="36" t="s">
        <v>145</v>
      </c>
      <c r="K9" s="36" t="s">
        <v>146</v>
      </c>
      <c r="L9" s="37" t="s">
        <v>147</v>
      </c>
      <c r="M9" s="38"/>
      <c r="N9" s="38" t="s">
        <v>164</v>
      </c>
      <c r="O9" s="36" t="s">
        <v>149</v>
      </c>
      <c r="P9" s="39" t="s">
        <v>165</v>
      </c>
      <c r="Q9" s="36">
        <v>4</v>
      </c>
      <c r="R9" s="40" t="s">
        <v>166</v>
      </c>
      <c r="S9" s="41">
        <v>33000632</v>
      </c>
      <c r="T9" s="35" t="s">
        <v>152</v>
      </c>
      <c r="U9" s="1" t="s">
        <v>147</v>
      </c>
      <c r="V9" s="1"/>
      <c r="W9" s="42"/>
      <c r="X9" s="42"/>
      <c r="Y9" s="54">
        <v>100.57</v>
      </c>
      <c r="Z9" s="42">
        <v>7.68</v>
      </c>
      <c r="AA9" s="42">
        <v>0</v>
      </c>
      <c r="AB9" s="42">
        <v>0</v>
      </c>
      <c r="AC9" s="42">
        <v>0</v>
      </c>
      <c r="AD9" s="42">
        <v>0</v>
      </c>
      <c r="AE9" s="42">
        <v>108.25</v>
      </c>
      <c r="AF9" s="42">
        <v>15.605835240274601</v>
      </c>
      <c r="AG9" s="42">
        <v>123.8558352402746</v>
      </c>
      <c r="AH9" s="42">
        <v>0</v>
      </c>
      <c r="AI9" s="42">
        <v>0</v>
      </c>
      <c r="AJ9" s="42">
        <v>123.8558352402746</v>
      </c>
      <c r="AK9" s="42">
        <v>0</v>
      </c>
      <c r="AL9" s="44">
        <v>0</v>
      </c>
      <c r="AM9" s="44">
        <f>SUM(Table.Source[[#This Row],[BUA]:[Garden Area]])</f>
        <v>123.8558352402746</v>
      </c>
      <c r="AN9" s="45">
        <v>21942.563583298441</v>
      </c>
      <c r="AO9" s="45">
        <v>11620</v>
      </c>
      <c r="AP9" s="45">
        <v>0</v>
      </c>
      <c r="AQ9" s="45">
        <v>0</v>
      </c>
      <c r="AR9" s="45">
        <v>0</v>
      </c>
      <c r="AS9" s="46">
        <v>0</v>
      </c>
      <c r="AT9" s="45">
        <v>0</v>
      </c>
      <c r="AU9" s="45">
        <v>0</v>
      </c>
      <c r="AV9" s="45">
        <v>0</v>
      </c>
      <c r="AW9" s="45">
        <v>0</v>
      </c>
      <c r="AX9" s="46">
        <v>0</v>
      </c>
      <c r="AY9" s="45">
        <v>2638437.2516025291</v>
      </c>
      <c r="AZ9" s="45">
        <v>21302.486447118801</v>
      </c>
      <c r="BA9" s="47">
        <v>7.0000000000000007E-2</v>
      </c>
      <c r="BB9" s="47">
        <v>0</v>
      </c>
      <c r="BC9" s="47">
        <v>0.02</v>
      </c>
      <c r="BD9" s="47">
        <v>7.0000000000000007E-2</v>
      </c>
      <c r="BE9" s="48">
        <v>0</v>
      </c>
      <c r="BF9" s="48"/>
      <c r="BG9" s="47"/>
      <c r="BH9" s="48">
        <v>0.16000000000000003</v>
      </c>
      <c r="BI9" s="45">
        <v>422149.96025640471</v>
      </c>
      <c r="BJ9" s="45">
        <v>4304000</v>
      </c>
      <c r="BK9" s="45">
        <v>34750.078521939955</v>
      </c>
      <c r="BL9" s="46" t="s">
        <v>153</v>
      </c>
      <c r="BM9" s="49">
        <v>0.1</v>
      </c>
      <c r="BN9" s="45"/>
      <c r="BO9" s="49"/>
      <c r="BP9" s="45"/>
      <c r="BQ9" s="49"/>
      <c r="BR9" s="45"/>
      <c r="BS9" s="45"/>
      <c r="BT9" s="45"/>
      <c r="BU9" s="45"/>
      <c r="BV9" s="45"/>
      <c r="BW9" s="45"/>
      <c r="BX9" s="45">
        <v>4304000</v>
      </c>
      <c r="BY9" s="45"/>
      <c r="BZ9" s="45"/>
      <c r="CA9" s="45"/>
      <c r="CB9" s="45"/>
      <c r="CC9" s="45"/>
      <c r="CD9" s="45"/>
      <c r="CE9" s="45"/>
      <c r="CF9" s="49">
        <v>0.09</v>
      </c>
      <c r="CG9" s="45">
        <f>Table.Source[[#This Row],[5 Yrs. Price include club]]*Table.Source[[#This Row],[Maintenance %]]</f>
        <v>387360</v>
      </c>
      <c r="CH9" s="46"/>
      <c r="CI9" s="46"/>
      <c r="CJ9" s="46"/>
      <c r="CK9" s="45"/>
      <c r="CL9" s="50" t="s">
        <v>154</v>
      </c>
      <c r="CM9" s="50"/>
      <c r="CN9" s="51"/>
      <c r="CO9" s="51"/>
      <c r="CP9" s="51"/>
      <c r="CQ9" s="51"/>
      <c r="CR9" s="51"/>
      <c r="CS9" s="1"/>
      <c r="CT9" s="12"/>
      <c r="CU9" s="45"/>
      <c r="CV9" s="48"/>
      <c r="CW9" s="51"/>
      <c r="CX9" s="1">
        <v>6</v>
      </c>
      <c r="CY9" s="51"/>
      <c r="CZ9" s="51">
        <f t="shared" ca="1" si="0"/>
        <v>46254</v>
      </c>
      <c r="DA9" s="51"/>
      <c r="DB9" s="51"/>
      <c r="DC9" s="51" t="s">
        <v>155</v>
      </c>
      <c r="DD9" s="12"/>
      <c r="DE9" s="51"/>
      <c r="DF9" s="1">
        <v>5</v>
      </c>
      <c r="DG9" s="1" t="s">
        <v>156</v>
      </c>
      <c r="DH9" s="45">
        <f>IF(Table.Source[[#This Row],[Contract Value]]&lt;&gt;0,Table.Source[[#This Row],[Contract Value]],Table.Source[[#This Row],[Interest Free Unit Price
include club]])</f>
        <v>4304000</v>
      </c>
      <c r="DI9" s="45">
        <f>Table.Source[[#This Row],[Sales Value ]]/Table.Source[[#This Row],[Sellable Area without Roof (Gross Area)]]</f>
        <v>34750.078521939955</v>
      </c>
      <c r="DJ9" s="45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9" s="5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9" s="52" t="str">
        <f>IF(Table.Source[[#This Row],[Reservation Date]]=0,"Inventory",YEAR(Table.Source[[#This Row],[Reservation Date]]))</f>
        <v>Inventory</v>
      </c>
      <c r="DM9" s="1" t="str">
        <f>IF(Table.Source[[#This Row],[Status]]="Contracted","Sold","Unsold")</f>
        <v>Unsold</v>
      </c>
      <c r="DN9" s="53">
        <f>Table.Source[[#This Row],[Sales Value ]]/IF(YEAR(Table.Source[[#This Row],[Reservation Date]])=$DN$4,MONTH(MAX(Table.Source[Reservation Date])),12)</f>
        <v>4304000</v>
      </c>
    </row>
    <row r="10" spans="1:118" x14ac:dyDescent="0.25">
      <c r="A10" s="1"/>
      <c r="B10" s="1"/>
      <c r="C10" s="35" t="s">
        <v>141</v>
      </c>
      <c r="D10" s="35" t="s">
        <v>142</v>
      </c>
      <c r="E10" s="1" t="s">
        <v>143</v>
      </c>
      <c r="F10" s="35"/>
      <c r="G10" s="35"/>
      <c r="H10" s="35" t="s">
        <v>144</v>
      </c>
      <c r="I10" s="35"/>
      <c r="J10" s="36" t="s">
        <v>145</v>
      </c>
      <c r="K10" s="36" t="s">
        <v>167</v>
      </c>
      <c r="L10" s="37" t="s">
        <v>147</v>
      </c>
      <c r="M10" s="38"/>
      <c r="N10" s="38" t="s">
        <v>161</v>
      </c>
      <c r="O10" s="36" t="s">
        <v>168</v>
      </c>
      <c r="P10" s="39" t="s">
        <v>169</v>
      </c>
      <c r="Q10" s="36" t="s">
        <v>170</v>
      </c>
      <c r="R10" s="40" t="s">
        <v>171</v>
      </c>
      <c r="S10" s="41">
        <v>33000637</v>
      </c>
      <c r="T10" s="35" t="s">
        <v>152</v>
      </c>
      <c r="U10" s="1" t="s">
        <v>147</v>
      </c>
      <c r="V10" s="1"/>
      <c r="W10" s="42"/>
      <c r="X10" s="42"/>
      <c r="Y10" s="54">
        <v>103.47</v>
      </c>
      <c r="Z10" s="42">
        <v>6.63</v>
      </c>
      <c r="AA10" s="42">
        <v>0</v>
      </c>
      <c r="AB10" s="42">
        <v>0</v>
      </c>
      <c r="AC10" s="42">
        <v>0</v>
      </c>
      <c r="AD10" s="42">
        <v>0</v>
      </c>
      <c r="AE10" s="42">
        <v>110.1</v>
      </c>
      <c r="AF10" s="42">
        <v>15.872540045766584</v>
      </c>
      <c r="AG10" s="42">
        <v>125.97254004576658</v>
      </c>
      <c r="AH10" s="42">
        <v>0</v>
      </c>
      <c r="AI10" s="42">
        <v>0</v>
      </c>
      <c r="AJ10" s="42">
        <v>125.97254004576658</v>
      </c>
      <c r="AK10" s="42">
        <v>0</v>
      </c>
      <c r="AL10" s="44">
        <v>52.51</v>
      </c>
      <c r="AM10" s="44">
        <f>SUM(Table.Source[[#This Row],[BUA]:[Garden Area]])</f>
        <v>178.48254004576657</v>
      </c>
      <c r="AN10" s="45">
        <v>21791.692191198395</v>
      </c>
      <c r="AO10" s="45">
        <v>11620</v>
      </c>
      <c r="AP10" s="45">
        <v>0</v>
      </c>
      <c r="AQ10" s="45">
        <v>0</v>
      </c>
      <c r="AR10" s="45">
        <v>0</v>
      </c>
      <c r="AS10" s="46">
        <v>0</v>
      </c>
      <c r="AT10" s="45">
        <v>0</v>
      </c>
      <c r="AU10" s="45">
        <v>0</v>
      </c>
      <c r="AV10" s="45">
        <v>0</v>
      </c>
      <c r="AW10" s="45">
        <v>9289.5566396793583</v>
      </c>
      <c r="AX10" s="46">
        <v>0</v>
      </c>
      <c r="AY10" s="45">
        <v>3165511.1171426764</v>
      </c>
      <c r="AZ10" s="45">
        <v>25128.580530269748</v>
      </c>
      <c r="BA10" s="47">
        <v>7.0000000000000007E-2</v>
      </c>
      <c r="BB10" s="47">
        <v>0</v>
      </c>
      <c r="BC10" s="47">
        <v>0</v>
      </c>
      <c r="BD10" s="47">
        <v>7.0000000000000007E-2</v>
      </c>
      <c r="BE10" s="48">
        <v>0</v>
      </c>
      <c r="BF10" s="48"/>
      <c r="BG10" s="47"/>
      <c r="BH10" s="48">
        <v>0.14000000000000001</v>
      </c>
      <c r="BI10" s="45">
        <v>443171.55639997474</v>
      </c>
      <c r="BJ10" s="45">
        <v>5044000</v>
      </c>
      <c r="BK10" s="45">
        <v>40040.472297910994</v>
      </c>
      <c r="BL10" s="46" t="s">
        <v>153</v>
      </c>
      <c r="BM10" s="49">
        <v>0.1</v>
      </c>
      <c r="BN10" s="45"/>
      <c r="BO10" s="49"/>
      <c r="BP10" s="45"/>
      <c r="BQ10" s="49"/>
      <c r="BR10" s="45"/>
      <c r="BS10" s="45"/>
      <c r="BT10" s="45"/>
      <c r="BU10" s="45"/>
      <c r="BV10" s="45"/>
      <c r="BW10" s="45"/>
      <c r="BX10" s="45">
        <v>5044000</v>
      </c>
      <c r="BY10" s="45"/>
      <c r="BZ10" s="45"/>
      <c r="CA10" s="45"/>
      <c r="CB10" s="45"/>
      <c r="CC10" s="45"/>
      <c r="CD10" s="45"/>
      <c r="CE10" s="45"/>
      <c r="CF10" s="49">
        <v>0.09</v>
      </c>
      <c r="CG10" s="45">
        <f>Table.Source[[#This Row],[5 Yrs. Price include club]]*Table.Source[[#This Row],[Maintenance %]]</f>
        <v>453960</v>
      </c>
      <c r="CH10" s="46"/>
      <c r="CI10" s="46"/>
      <c r="CJ10" s="46"/>
      <c r="CK10" s="45"/>
      <c r="CL10" s="50" t="s">
        <v>154</v>
      </c>
      <c r="CM10" s="50"/>
      <c r="CN10" s="51"/>
      <c r="CO10" s="51"/>
      <c r="CP10" s="51"/>
      <c r="CQ10" s="51"/>
      <c r="CR10" s="51"/>
      <c r="CS10" s="1"/>
      <c r="CT10" s="12"/>
      <c r="CU10" s="45"/>
      <c r="CV10" s="48"/>
      <c r="CW10" s="51"/>
      <c r="CX10" s="1">
        <v>6</v>
      </c>
      <c r="CY10" s="51"/>
      <c r="CZ10" s="51">
        <f t="shared" ca="1" si="0"/>
        <v>46254</v>
      </c>
      <c r="DA10" s="51"/>
      <c r="DB10" s="51"/>
      <c r="DC10" s="51" t="s">
        <v>155</v>
      </c>
      <c r="DD10" s="12"/>
      <c r="DE10" s="51"/>
      <c r="DF10" s="1">
        <v>1</v>
      </c>
      <c r="DG10" s="1" t="s">
        <v>156</v>
      </c>
      <c r="DH10" s="45">
        <f>IF(Table.Source[[#This Row],[Contract Value]]&lt;&gt;0,Table.Source[[#This Row],[Contract Value]],Table.Source[[#This Row],[Interest Free Unit Price
include club]])</f>
        <v>5044000</v>
      </c>
      <c r="DI10" s="45">
        <f>Table.Source[[#This Row],[Sales Value ]]/Table.Source[[#This Row],[Sellable Area without Roof (Gross Area)]]</f>
        <v>40040.472297910994</v>
      </c>
      <c r="DJ10" s="45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10" s="5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0" s="52" t="str">
        <f>IF(Table.Source[[#This Row],[Reservation Date]]=0,"Inventory",YEAR(Table.Source[[#This Row],[Reservation Date]]))</f>
        <v>Inventory</v>
      </c>
      <c r="DM10" s="1" t="str">
        <f>IF(Table.Source[[#This Row],[Status]]="Contracted","Sold","Unsold")</f>
        <v>Unsold</v>
      </c>
      <c r="DN10" s="53">
        <f>Table.Source[[#This Row],[Sales Value ]]/IF(YEAR(Table.Source[[#This Row],[Reservation Date]])=$DN$4,MONTH(MAX(Table.Source[Reservation Date])),12)</f>
        <v>5044000</v>
      </c>
    </row>
    <row r="11" spans="1:118" x14ac:dyDescent="0.25">
      <c r="A11" s="1"/>
      <c r="B11" s="1"/>
      <c r="C11" s="35" t="s">
        <v>141</v>
      </c>
      <c r="D11" s="35" t="s">
        <v>142</v>
      </c>
      <c r="E11" s="1" t="s">
        <v>143</v>
      </c>
      <c r="F11" s="1"/>
      <c r="G11" s="1"/>
      <c r="H11" s="35" t="s">
        <v>144</v>
      </c>
      <c r="I11" s="1"/>
      <c r="J11" s="36" t="s">
        <v>145</v>
      </c>
      <c r="K11" s="36" t="s">
        <v>167</v>
      </c>
      <c r="L11" s="37" t="s">
        <v>157</v>
      </c>
      <c r="M11" s="1"/>
      <c r="N11" s="1" t="s">
        <v>164</v>
      </c>
      <c r="O11" s="36" t="s">
        <v>168</v>
      </c>
      <c r="P11" s="39" t="s">
        <v>172</v>
      </c>
      <c r="Q11" s="36" t="s">
        <v>170</v>
      </c>
      <c r="R11" s="40" t="s">
        <v>173</v>
      </c>
      <c r="S11" s="41">
        <v>33000638</v>
      </c>
      <c r="T11" s="35" t="s">
        <v>152</v>
      </c>
      <c r="U11" s="1" t="s">
        <v>157</v>
      </c>
      <c r="V11" s="1"/>
      <c r="W11" s="55"/>
      <c r="X11" s="56"/>
      <c r="Y11" s="54">
        <v>138.36000000000001</v>
      </c>
      <c r="Z11" s="57">
        <v>6.63</v>
      </c>
      <c r="AA11" s="42">
        <v>0</v>
      </c>
      <c r="AB11" s="42">
        <v>0</v>
      </c>
      <c r="AC11" s="42">
        <v>0</v>
      </c>
      <c r="AD11" s="42">
        <v>0</v>
      </c>
      <c r="AE11" s="42">
        <v>144.99</v>
      </c>
      <c r="AF11" s="42">
        <v>20.902448512585806</v>
      </c>
      <c r="AG11" s="42">
        <v>165.89244851258582</v>
      </c>
      <c r="AH11" s="42">
        <v>0</v>
      </c>
      <c r="AI11" s="42">
        <v>0</v>
      </c>
      <c r="AJ11" s="42">
        <v>165.89244851258582</v>
      </c>
      <c r="AK11" s="42">
        <v>0</v>
      </c>
      <c r="AL11" s="58">
        <v>72.2</v>
      </c>
      <c r="AM11" s="44">
        <f>SUM(Table.Source[[#This Row],[BUA]:[Garden Area]])</f>
        <v>238.0924485125858</v>
      </c>
      <c r="AN11" s="45">
        <v>20517.086855780984</v>
      </c>
      <c r="AO11" s="45">
        <v>10680</v>
      </c>
      <c r="AP11" s="45">
        <v>0</v>
      </c>
      <c r="AQ11" s="45">
        <v>0</v>
      </c>
      <c r="AR11" s="45">
        <v>0</v>
      </c>
      <c r="AS11" s="46">
        <v>0</v>
      </c>
      <c r="AT11" s="45">
        <v>0</v>
      </c>
      <c r="AU11" s="45">
        <v>0</v>
      </c>
      <c r="AV11" s="45">
        <v>0</v>
      </c>
      <c r="AW11" s="45">
        <v>8064</v>
      </c>
      <c r="AX11" s="46">
        <v>0</v>
      </c>
      <c r="AY11" s="45">
        <v>3920630.6889970698</v>
      </c>
      <c r="AZ11" s="45">
        <v>23633.569364669558</v>
      </c>
      <c r="BA11" s="48">
        <v>7.0000000000000007E-2</v>
      </c>
      <c r="BB11" s="48">
        <v>0.05</v>
      </c>
      <c r="BC11" s="48">
        <v>0</v>
      </c>
      <c r="BD11" s="48">
        <v>7.0000000000000007E-2</v>
      </c>
      <c r="BE11" s="48">
        <v>0.04</v>
      </c>
      <c r="BF11" s="48"/>
      <c r="BG11" s="48"/>
      <c r="BH11" s="48">
        <v>0.23</v>
      </c>
      <c r="BI11" s="45">
        <v>901745.05846932612</v>
      </c>
      <c r="BJ11" s="45">
        <v>6684000</v>
      </c>
      <c r="BK11" s="45">
        <v>40291.164907924685</v>
      </c>
      <c r="BL11" s="45" t="s">
        <v>153</v>
      </c>
      <c r="BM11" s="49">
        <v>0.1</v>
      </c>
      <c r="BN11" s="45"/>
      <c r="BO11" s="49"/>
      <c r="BP11" s="45"/>
      <c r="BQ11" s="49"/>
      <c r="BR11" s="45"/>
      <c r="BS11" s="45"/>
      <c r="BT11" s="45"/>
      <c r="BU11" s="45"/>
      <c r="BV11" s="45"/>
      <c r="BW11" s="45"/>
      <c r="BX11" s="45">
        <v>6684000</v>
      </c>
      <c r="BY11" s="45"/>
      <c r="BZ11" s="45"/>
      <c r="CA11" s="45"/>
      <c r="CB11" s="45"/>
      <c r="CC11" s="45"/>
      <c r="CD11" s="45"/>
      <c r="CE11" s="45"/>
      <c r="CF11" s="49">
        <v>0.09</v>
      </c>
      <c r="CG11" s="45">
        <f>Table.Source[[#This Row],[5 Yrs. Price include club]]*Table.Source[[#This Row],[Maintenance %]]</f>
        <v>601560</v>
      </c>
      <c r="CH11" s="46"/>
      <c r="CI11" s="12"/>
      <c r="CJ11" s="45"/>
      <c r="CK11" s="45"/>
      <c r="CL11" s="50" t="s">
        <v>154</v>
      </c>
      <c r="CM11" s="50"/>
      <c r="CN11" s="51"/>
      <c r="CO11" s="51"/>
      <c r="CP11" s="51"/>
      <c r="CQ11" s="51"/>
      <c r="CR11" s="51"/>
      <c r="CS11" s="1"/>
      <c r="CT11" s="12"/>
      <c r="CU11" s="45"/>
      <c r="CV11" s="48"/>
      <c r="CW11" s="51"/>
      <c r="CX11" s="1">
        <v>6</v>
      </c>
      <c r="CY11" s="51"/>
      <c r="CZ11" s="51">
        <f t="shared" ca="1" si="0"/>
        <v>46254</v>
      </c>
      <c r="DA11" s="51"/>
      <c r="DB11" s="51"/>
      <c r="DC11" s="51" t="s">
        <v>155</v>
      </c>
      <c r="DD11" s="12"/>
      <c r="DE11" s="51"/>
      <c r="DF11" s="1"/>
      <c r="DG11" s="1" t="s">
        <v>156</v>
      </c>
      <c r="DH11" s="45">
        <f>IF(Table.Source[[#This Row],[Contract Value]]&lt;&gt;0,Table.Source[[#This Row],[Contract Value]],Table.Source[[#This Row],[Interest Free Unit Price
include club]])</f>
        <v>6684000</v>
      </c>
      <c r="DI11" s="45">
        <f>Table.Source[[#This Row],[Sales Value ]]/Table.Source[[#This Row],[Sellable Area without Roof (Gross Area)]]</f>
        <v>40291.164907924685</v>
      </c>
      <c r="DJ11" s="45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11" s="5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1" s="52" t="str">
        <f>IF(Table.Source[[#This Row],[Reservation Date]]=0,"Inventory",YEAR(Table.Source[[#This Row],[Reservation Date]]))</f>
        <v>Inventory</v>
      </c>
      <c r="DM11" s="1" t="str">
        <f>IF(Table.Source[[#This Row],[Status]]="Contracted","Sold","Unsold")</f>
        <v>Unsold</v>
      </c>
      <c r="DN11" s="53">
        <f>Table.Source[[#This Row],[Sales Value ]]/IF(YEAR(Table.Source[[#This Row],[Reservation Date]])=$DN$4,MONTH(MAX(Table.Source[Reservation Date])),12)</f>
        <v>6684000</v>
      </c>
    </row>
    <row r="12" spans="1:118" x14ac:dyDescent="0.25">
      <c r="C12" s="35" t="s">
        <v>141</v>
      </c>
      <c r="D12" s="35" t="s">
        <v>142</v>
      </c>
      <c r="E12" s="1" t="s">
        <v>143</v>
      </c>
      <c r="F12" s="1"/>
      <c r="G12" s="1"/>
      <c r="H12" s="35" t="s">
        <v>144</v>
      </c>
      <c r="I12" s="1"/>
      <c r="J12" s="1" t="s">
        <v>145</v>
      </c>
      <c r="K12" s="1" t="s">
        <v>146</v>
      </c>
      <c r="L12" s="1" t="s">
        <v>147</v>
      </c>
      <c r="M12" s="1"/>
      <c r="N12" s="1" t="s">
        <v>158</v>
      </c>
      <c r="O12" s="1" t="s">
        <v>168</v>
      </c>
      <c r="P12" s="1" t="s">
        <v>174</v>
      </c>
      <c r="Q12" s="1">
        <v>1</v>
      </c>
      <c r="R12" s="1" t="s">
        <v>175</v>
      </c>
      <c r="S12" s="1">
        <v>33000640</v>
      </c>
      <c r="T12" s="1" t="s">
        <v>152</v>
      </c>
      <c r="U12" s="1" t="s">
        <v>147</v>
      </c>
      <c r="V12" s="1"/>
      <c r="W12" s="55"/>
      <c r="X12" s="56"/>
      <c r="Y12" s="57">
        <v>101.98</v>
      </c>
      <c r="Z12" s="57">
        <v>7.68</v>
      </c>
      <c r="AA12" s="42">
        <v>0</v>
      </c>
      <c r="AB12" s="57">
        <v>0</v>
      </c>
      <c r="AC12" s="57">
        <v>0</v>
      </c>
      <c r="AD12" s="57">
        <v>0</v>
      </c>
      <c r="AE12" s="59">
        <v>109.66</v>
      </c>
      <c r="AF12" s="59">
        <v>15.809107551487415</v>
      </c>
      <c r="AG12" s="59">
        <v>125.46910755148741</v>
      </c>
      <c r="AH12" s="42">
        <v>0</v>
      </c>
      <c r="AI12" s="42">
        <v>0</v>
      </c>
      <c r="AJ12" s="59">
        <v>125.46910755148741</v>
      </c>
      <c r="AK12" s="42">
        <v>0</v>
      </c>
      <c r="AL12" s="58">
        <v>0</v>
      </c>
      <c r="AM12" s="44">
        <f>SUM(Table.Source[[#This Row],[BUA]:[Garden Area]])</f>
        <v>125.46910755148741</v>
      </c>
      <c r="AN12" s="53">
        <v>21864.688747808781</v>
      </c>
      <c r="AO12" s="53">
        <v>11620</v>
      </c>
      <c r="AP12" s="45">
        <v>0</v>
      </c>
      <c r="AQ12" s="45">
        <v>0</v>
      </c>
      <c r="AR12" s="45">
        <v>0</v>
      </c>
      <c r="AS12" s="46">
        <v>0</v>
      </c>
      <c r="AT12" s="45">
        <v>0</v>
      </c>
      <c r="AU12" s="45">
        <v>0</v>
      </c>
      <c r="AV12" s="45">
        <v>0</v>
      </c>
      <c r="AW12" s="53">
        <v>0</v>
      </c>
      <c r="AX12" s="53">
        <v>0</v>
      </c>
      <c r="AY12" s="53">
        <v>2664663.7744954452</v>
      </c>
      <c r="AZ12" s="53">
        <v>21237.60841609538</v>
      </c>
      <c r="BA12" s="60">
        <v>0.01</v>
      </c>
      <c r="BB12" s="60">
        <v>0</v>
      </c>
      <c r="BC12" s="60">
        <v>2.5000000000000001E-2</v>
      </c>
      <c r="BD12" s="60">
        <v>0</v>
      </c>
      <c r="BE12" s="60">
        <v>0</v>
      </c>
      <c r="BF12" s="60"/>
      <c r="BG12" s="60"/>
      <c r="BH12" s="61">
        <v>3.5000000000000003E-2</v>
      </c>
      <c r="BI12" s="53">
        <v>93263.232107340591</v>
      </c>
      <c r="BJ12" s="53">
        <v>3895000</v>
      </c>
      <c r="BK12" s="53">
        <v>31043.498084989969</v>
      </c>
      <c r="BL12" s="53" t="s">
        <v>153</v>
      </c>
      <c r="BM12" s="49">
        <v>0.1</v>
      </c>
      <c r="BN12" s="53"/>
      <c r="BO12" s="49"/>
      <c r="BP12" s="53"/>
      <c r="BQ12" s="49"/>
      <c r="BR12" s="53"/>
      <c r="BS12" s="53"/>
      <c r="BT12" s="53"/>
      <c r="BU12" s="53"/>
      <c r="BV12" s="53"/>
      <c r="BW12" s="53"/>
      <c r="BX12" s="45">
        <v>3895000</v>
      </c>
      <c r="BY12" s="53"/>
      <c r="BZ12" s="53"/>
      <c r="CA12" s="53"/>
      <c r="CB12" s="53"/>
      <c r="CC12" s="53"/>
      <c r="CD12" s="53"/>
      <c r="CE12" s="53"/>
      <c r="CF12" s="49">
        <v>0.09</v>
      </c>
      <c r="CG12" s="45">
        <f>Table.Source[[#This Row],[5 Yrs. Price include club]]*Table.Source[[#This Row],[Maintenance %]]</f>
        <v>350550</v>
      </c>
      <c r="CH12" s="46"/>
      <c r="CI12" s="12"/>
      <c r="CJ12" s="60"/>
      <c r="CK12" s="45"/>
      <c r="CL12" s="50" t="s">
        <v>154</v>
      </c>
      <c r="CM12" s="50"/>
      <c r="CN12" s="51"/>
      <c r="CO12" s="51"/>
      <c r="CP12" s="51"/>
      <c r="CQ12" s="51"/>
      <c r="CR12" s="51"/>
      <c r="CS12" s="1"/>
      <c r="CT12" s="12"/>
      <c r="CU12" s="53"/>
      <c r="CV12" s="61"/>
      <c r="CW12" s="51"/>
      <c r="CX12" s="1">
        <v>6</v>
      </c>
      <c r="CY12" s="51"/>
      <c r="CZ12" s="51">
        <f t="shared" ca="1" si="0"/>
        <v>46254</v>
      </c>
      <c r="DA12" s="51"/>
      <c r="DB12" s="51"/>
      <c r="DC12" s="51" t="s">
        <v>155</v>
      </c>
      <c r="DD12" s="53"/>
      <c r="DE12" s="51"/>
      <c r="DF12" s="1"/>
      <c r="DG12" s="1" t="s">
        <v>156</v>
      </c>
      <c r="DH12" s="53">
        <f>IF(Table.Source[[#This Row],[Contract Value]]&lt;&gt;0,Table.Source[[#This Row],[Contract Value]],Table.Source[[#This Row],[Interest Free Unit Price
include club]])</f>
        <v>3895000</v>
      </c>
      <c r="DI12" s="53">
        <f>Table.Source[[#This Row],[Sales Value ]]/Table.Source[[#This Row],[Sellable Area without Roof (Gross Area)]]</f>
        <v>31043.498084989969</v>
      </c>
      <c r="DJ12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12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2" s="62" t="str">
        <f>IF(Table.Source[[#This Row],[Reservation Date]]=0,"Inventory",YEAR(Table.Source[[#This Row],[Reservation Date]]))</f>
        <v>Inventory</v>
      </c>
      <c r="DM12" s="1" t="str">
        <f>IF(Table.Source[[#This Row],[Status]]="Contracted","Sold","Unsold")</f>
        <v>Unsold</v>
      </c>
      <c r="DN12" s="53">
        <f>Table.Source[[#This Row],[Sales Value ]]/IF(YEAR(Table.Source[[#This Row],[Reservation Date]])=$DN$4,MONTH(MAX(Table.Source[Reservation Date])),12)</f>
        <v>3895000</v>
      </c>
    </row>
    <row r="13" spans="1:118" x14ac:dyDescent="0.25">
      <c r="C13" s="35" t="s">
        <v>141</v>
      </c>
      <c r="D13" s="35" t="s">
        <v>142</v>
      </c>
      <c r="E13" s="1" t="s">
        <v>143</v>
      </c>
      <c r="F13" s="1"/>
      <c r="G13" s="1"/>
      <c r="H13" s="35" t="s">
        <v>144</v>
      </c>
      <c r="I13" s="1"/>
      <c r="J13" s="1" t="s">
        <v>145</v>
      </c>
      <c r="K13" s="1" t="s">
        <v>146</v>
      </c>
      <c r="L13" s="1" t="s">
        <v>147</v>
      </c>
      <c r="M13" s="1"/>
      <c r="N13" s="1" t="s">
        <v>161</v>
      </c>
      <c r="O13" s="1" t="s">
        <v>168</v>
      </c>
      <c r="P13" s="1" t="s">
        <v>176</v>
      </c>
      <c r="Q13" s="1">
        <v>4</v>
      </c>
      <c r="R13" s="1" t="s">
        <v>177</v>
      </c>
      <c r="S13" s="1">
        <v>33000653</v>
      </c>
      <c r="T13" s="1" t="s">
        <v>152</v>
      </c>
      <c r="U13" s="1" t="s">
        <v>147</v>
      </c>
      <c r="V13" s="1"/>
      <c r="W13" s="55"/>
      <c r="X13" s="56"/>
      <c r="Y13" s="57">
        <v>100.57</v>
      </c>
      <c r="Z13" s="57">
        <v>6.63</v>
      </c>
      <c r="AA13" s="42">
        <v>0</v>
      </c>
      <c r="AB13" s="57">
        <v>0</v>
      </c>
      <c r="AC13" s="57">
        <v>0</v>
      </c>
      <c r="AD13" s="57">
        <v>0</v>
      </c>
      <c r="AE13" s="59">
        <v>107.19999999999999</v>
      </c>
      <c r="AF13" s="59">
        <v>15.454462242562926</v>
      </c>
      <c r="AG13" s="59">
        <v>122.65446224256291</v>
      </c>
      <c r="AH13" s="42">
        <v>0</v>
      </c>
      <c r="AI13" s="42">
        <v>0</v>
      </c>
      <c r="AJ13" s="59">
        <v>122.65446224256291</v>
      </c>
      <c r="AK13" s="42">
        <v>0</v>
      </c>
      <c r="AL13" s="58">
        <v>0</v>
      </c>
      <c r="AM13" s="44">
        <f>SUM(Table.Source[[#This Row],[BUA]:[Garden Area]])</f>
        <v>122.65446224256291</v>
      </c>
      <c r="AN13" s="53">
        <v>21949.981696233561</v>
      </c>
      <c r="AO13" s="53">
        <v>11620</v>
      </c>
      <c r="AP13" s="45">
        <v>0</v>
      </c>
      <c r="AQ13" s="45">
        <v>0</v>
      </c>
      <c r="AR13" s="45">
        <v>0</v>
      </c>
      <c r="AS13" s="46">
        <v>0</v>
      </c>
      <c r="AT13" s="45">
        <v>0</v>
      </c>
      <c r="AU13" s="45">
        <v>0</v>
      </c>
      <c r="AV13" s="45">
        <v>0</v>
      </c>
      <c r="AW13" s="53">
        <v>0</v>
      </c>
      <c r="AX13" s="53">
        <v>0</v>
      </c>
      <c r="AY13" s="53">
        <v>2623775.4225395978</v>
      </c>
      <c r="AZ13" s="53">
        <v>21391.601859138143</v>
      </c>
      <c r="BA13" s="60">
        <v>7.0000000000000007E-2</v>
      </c>
      <c r="BB13" s="60">
        <v>0</v>
      </c>
      <c r="BC13" s="60">
        <v>0.02</v>
      </c>
      <c r="BD13" s="60">
        <v>7.0000000000000007E-2</v>
      </c>
      <c r="BE13" s="60">
        <v>0</v>
      </c>
      <c r="BF13" s="60"/>
      <c r="BG13" s="60"/>
      <c r="BH13" s="61">
        <v>0.16000000000000003</v>
      </c>
      <c r="BI13" s="53">
        <v>419804.06760633574</v>
      </c>
      <c r="BJ13" s="53">
        <v>4281000</v>
      </c>
      <c r="BK13" s="53">
        <v>34902.929104477618</v>
      </c>
      <c r="BL13" s="53" t="s">
        <v>153</v>
      </c>
      <c r="BM13" s="49">
        <v>0.1</v>
      </c>
      <c r="BN13" s="53"/>
      <c r="BO13" s="49"/>
      <c r="BP13" s="53"/>
      <c r="BQ13" s="49"/>
      <c r="BR13" s="53"/>
      <c r="BS13" s="53"/>
      <c r="BT13" s="53"/>
      <c r="BU13" s="53"/>
      <c r="BV13" s="53"/>
      <c r="BW13" s="53"/>
      <c r="BX13" s="45">
        <v>4281000</v>
      </c>
      <c r="BY13" s="53"/>
      <c r="BZ13" s="53"/>
      <c r="CA13" s="53"/>
      <c r="CB13" s="53"/>
      <c r="CC13" s="53"/>
      <c r="CD13" s="53"/>
      <c r="CE13" s="53"/>
      <c r="CF13" s="49">
        <v>0.09</v>
      </c>
      <c r="CG13" s="45">
        <f>Table.Source[[#This Row],[5 Yrs. Price include club]]*Table.Source[[#This Row],[Maintenance %]]</f>
        <v>385290</v>
      </c>
      <c r="CH13" s="46"/>
      <c r="CI13" s="12"/>
      <c r="CJ13" s="60"/>
      <c r="CK13" s="45"/>
      <c r="CL13" s="50" t="s">
        <v>154</v>
      </c>
      <c r="CM13" s="50"/>
      <c r="CN13" s="51"/>
      <c r="CO13" s="51"/>
      <c r="CP13" s="51"/>
      <c r="CQ13" s="51"/>
      <c r="CR13" s="51"/>
      <c r="CS13" s="1"/>
      <c r="CT13" s="12"/>
      <c r="CU13" s="53"/>
      <c r="CV13" s="61"/>
      <c r="CW13" s="51"/>
      <c r="CX13" s="1">
        <v>6</v>
      </c>
      <c r="CY13" s="51"/>
      <c r="CZ13" s="51">
        <f t="shared" ca="1" si="0"/>
        <v>46254</v>
      </c>
      <c r="DA13" s="51"/>
      <c r="DB13" s="51"/>
      <c r="DC13" s="51" t="s">
        <v>155</v>
      </c>
      <c r="DD13" s="53"/>
      <c r="DE13" s="51"/>
      <c r="DF13" s="1"/>
      <c r="DG13" s="1" t="s">
        <v>156</v>
      </c>
      <c r="DH13" s="53">
        <f>IF(Table.Source[[#This Row],[Contract Value]]&lt;&gt;0,Table.Source[[#This Row],[Contract Value]],Table.Source[[#This Row],[Interest Free Unit Price
include club]])</f>
        <v>4281000</v>
      </c>
      <c r="DI13" s="53">
        <f>Table.Source[[#This Row],[Sales Value ]]/Table.Source[[#This Row],[Sellable Area without Roof (Gross Area)]]</f>
        <v>34902.929104477618</v>
      </c>
      <c r="DJ13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98 : 123</v>
      </c>
      <c r="DK13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3" s="62" t="str">
        <f>IF(Table.Source[[#This Row],[Reservation Date]]=0,"Inventory",YEAR(Table.Source[[#This Row],[Reservation Date]]))</f>
        <v>Inventory</v>
      </c>
      <c r="DM13" s="1" t="str">
        <f>IF(Table.Source[[#This Row],[Status]]="Contracted","Sold","Unsold")</f>
        <v>Unsold</v>
      </c>
      <c r="DN13" s="53">
        <f>Table.Source[[#This Row],[Sales Value ]]/IF(YEAR(Table.Source[[#This Row],[Reservation Date]])=$DN$4,MONTH(MAX(Table.Source[Reservation Date])),12)</f>
        <v>4281000</v>
      </c>
    </row>
    <row r="14" spans="1:118" x14ac:dyDescent="0.25">
      <c r="C14" s="35" t="s">
        <v>141</v>
      </c>
      <c r="D14" s="35" t="s">
        <v>142</v>
      </c>
      <c r="E14" s="1" t="s">
        <v>143</v>
      </c>
      <c r="F14" s="1"/>
      <c r="G14" s="1"/>
      <c r="H14" s="35" t="s">
        <v>144</v>
      </c>
      <c r="I14" s="1"/>
      <c r="J14" s="1" t="s">
        <v>145</v>
      </c>
      <c r="K14" s="1" t="s">
        <v>146</v>
      </c>
      <c r="L14" s="1" t="s">
        <v>157</v>
      </c>
      <c r="M14" s="1"/>
      <c r="N14" s="1" t="s">
        <v>164</v>
      </c>
      <c r="O14" s="1" t="s">
        <v>168</v>
      </c>
      <c r="P14" s="1" t="s">
        <v>178</v>
      </c>
      <c r="Q14" s="1">
        <v>4</v>
      </c>
      <c r="R14" s="1" t="s">
        <v>179</v>
      </c>
      <c r="S14" s="1">
        <v>33000654</v>
      </c>
      <c r="T14" s="1" t="s">
        <v>152</v>
      </c>
      <c r="U14" s="1" t="s">
        <v>157</v>
      </c>
      <c r="V14" s="1"/>
      <c r="W14" s="55"/>
      <c r="X14" s="56"/>
      <c r="Y14" s="57">
        <v>140.07</v>
      </c>
      <c r="Z14" s="57">
        <v>6.63</v>
      </c>
      <c r="AA14" s="42">
        <v>0</v>
      </c>
      <c r="AB14" s="57">
        <v>0</v>
      </c>
      <c r="AC14" s="57">
        <v>0</v>
      </c>
      <c r="AD14" s="57">
        <v>0</v>
      </c>
      <c r="AE14" s="59">
        <v>146.69999999999999</v>
      </c>
      <c r="AF14" s="59">
        <v>21.148970251716236</v>
      </c>
      <c r="AG14" s="59">
        <v>167.84897025171622</v>
      </c>
      <c r="AH14" s="42">
        <v>0</v>
      </c>
      <c r="AI14" s="42">
        <v>0</v>
      </c>
      <c r="AJ14" s="59">
        <v>167.84897025171622</v>
      </c>
      <c r="AK14" s="42">
        <v>0</v>
      </c>
      <c r="AL14" s="58">
        <v>0</v>
      </c>
      <c r="AM14" s="44">
        <f>SUM(Table.Source[[#This Row],[BUA]:[Garden Area]])</f>
        <v>167.84897025171622</v>
      </c>
      <c r="AN14" s="53">
        <v>20449.533313035954</v>
      </c>
      <c r="AO14" s="53">
        <v>10680</v>
      </c>
      <c r="AP14" s="45">
        <v>0</v>
      </c>
      <c r="AQ14" s="45">
        <v>0</v>
      </c>
      <c r="AR14" s="45">
        <v>0</v>
      </c>
      <c r="AS14" s="46">
        <v>0</v>
      </c>
      <c r="AT14" s="45">
        <v>0</v>
      </c>
      <c r="AU14" s="45">
        <v>0</v>
      </c>
      <c r="AV14" s="45">
        <v>0</v>
      </c>
      <c r="AW14" s="53">
        <v>0</v>
      </c>
      <c r="AX14" s="53">
        <v>0</v>
      </c>
      <c r="AY14" s="53">
        <v>3367661.1028558235</v>
      </c>
      <c r="AZ14" s="53">
        <v>20063.638745030607</v>
      </c>
      <c r="BA14" s="60">
        <v>7.0000000000000007E-2</v>
      </c>
      <c r="BB14" s="60">
        <v>0.05</v>
      </c>
      <c r="BC14" s="60">
        <v>0.02</v>
      </c>
      <c r="BD14" s="60">
        <v>7.0000000000000007E-2</v>
      </c>
      <c r="BE14" s="60">
        <v>0.04</v>
      </c>
      <c r="BF14" s="60"/>
      <c r="BG14" s="60"/>
      <c r="BH14" s="61">
        <v>0.25</v>
      </c>
      <c r="BI14" s="53">
        <v>841915.27571395587</v>
      </c>
      <c r="BJ14" s="53">
        <v>5856000</v>
      </c>
      <c r="BK14" s="53">
        <v>34888.507157464221</v>
      </c>
      <c r="BL14" s="53" t="s">
        <v>153</v>
      </c>
      <c r="BM14" s="49">
        <v>0.1</v>
      </c>
      <c r="BN14" s="53"/>
      <c r="BO14" s="49"/>
      <c r="BP14" s="53"/>
      <c r="BQ14" s="49"/>
      <c r="BR14" s="53"/>
      <c r="BS14" s="53"/>
      <c r="BT14" s="53"/>
      <c r="BU14" s="53"/>
      <c r="BV14" s="53"/>
      <c r="BW14" s="53"/>
      <c r="BX14" s="45">
        <v>5856000</v>
      </c>
      <c r="BY14" s="53"/>
      <c r="BZ14" s="53"/>
      <c r="CA14" s="53"/>
      <c r="CB14" s="53"/>
      <c r="CC14" s="53"/>
      <c r="CD14" s="53"/>
      <c r="CE14" s="53"/>
      <c r="CF14" s="49">
        <v>0.09</v>
      </c>
      <c r="CG14" s="45">
        <f>Table.Source[[#This Row],[5 Yrs. Price include club]]*Table.Source[[#This Row],[Maintenance %]]</f>
        <v>527040</v>
      </c>
      <c r="CH14" s="46"/>
      <c r="CI14" s="12"/>
      <c r="CJ14" s="60"/>
      <c r="CK14" s="45"/>
      <c r="CL14" s="50" t="s">
        <v>154</v>
      </c>
      <c r="CM14" s="50"/>
      <c r="CN14" s="51"/>
      <c r="CO14" s="51"/>
      <c r="CP14" s="51"/>
      <c r="CQ14" s="51"/>
      <c r="CR14" s="51"/>
      <c r="CS14" s="1"/>
      <c r="CT14" s="12"/>
      <c r="CU14" s="53"/>
      <c r="CV14" s="61"/>
      <c r="CW14" s="51"/>
      <c r="CX14" s="1">
        <v>6</v>
      </c>
      <c r="CY14" s="51"/>
      <c r="CZ14" s="51">
        <f t="shared" ca="1" si="0"/>
        <v>46254</v>
      </c>
      <c r="DA14" s="51"/>
      <c r="DB14" s="51"/>
      <c r="DC14" s="51" t="s">
        <v>155</v>
      </c>
      <c r="DD14" s="53"/>
      <c r="DE14" s="51"/>
      <c r="DF14" s="1"/>
      <c r="DG14" s="1" t="s">
        <v>156</v>
      </c>
      <c r="DH14" s="53">
        <f>IF(Table.Source[[#This Row],[Contract Value]]&lt;&gt;0,Table.Source[[#This Row],[Contract Value]],Table.Source[[#This Row],[Interest Free Unit Price
include club]])</f>
        <v>5856000</v>
      </c>
      <c r="DI14" s="53">
        <f>Table.Source[[#This Row],[Sales Value ]]/Table.Source[[#This Row],[Sellable Area without Roof (Gross Area)]]</f>
        <v>34888.507157464221</v>
      </c>
      <c r="DJ14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14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4" s="62" t="str">
        <f>IF(Table.Source[[#This Row],[Reservation Date]]=0,"Inventory",YEAR(Table.Source[[#This Row],[Reservation Date]]))</f>
        <v>Inventory</v>
      </c>
      <c r="DM14" s="1" t="str">
        <f>IF(Table.Source[[#This Row],[Status]]="Contracted","Sold","Unsold")</f>
        <v>Unsold</v>
      </c>
      <c r="DN14" s="53">
        <f>Table.Source[[#This Row],[Sales Value ]]/IF(YEAR(Table.Source[[#This Row],[Reservation Date]])=$DN$4,MONTH(MAX(Table.Source[Reservation Date])),12)</f>
        <v>5856000</v>
      </c>
    </row>
    <row r="15" spans="1:118" x14ac:dyDescent="0.25">
      <c r="C15" s="35" t="s">
        <v>141</v>
      </c>
      <c r="D15" s="35" t="s">
        <v>142</v>
      </c>
      <c r="E15" s="1" t="s">
        <v>143</v>
      </c>
      <c r="F15" s="1"/>
      <c r="G15" s="1"/>
      <c r="H15" s="35" t="s">
        <v>144</v>
      </c>
      <c r="I15" s="1"/>
      <c r="J15" s="1" t="s">
        <v>145</v>
      </c>
      <c r="K15" s="1" t="s">
        <v>146</v>
      </c>
      <c r="L15" s="1" t="s">
        <v>157</v>
      </c>
      <c r="M15" s="1"/>
      <c r="N15" s="1" t="s">
        <v>148</v>
      </c>
      <c r="O15" s="1" t="s">
        <v>168</v>
      </c>
      <c r="P15" s="1" t="s">
        <v>180</v>
      </c>
      <c r="Q15" s="1">
        <v>4</v>
      </c>
      <c r="R15" s="1" t="s">
        <v>181</v>
      </c>
      <c r="S15" s="1">
        <v>33000655</v>
      </c>
      <c r="T15" s="1" t="s">
        <v>152</v>
      </c>
      <c r="U15" s="1" t="s">
        <v>157</v>
      </c>
      <c r="V15" s="1"/>
      <c r="W15" s="55"/>
      <c r="X15" s="56"/>
      <c r="Y15" s="57">
        <v>139.66999999999999</v>
      </c>
      <c r="Z15" s="57">
        <v>6.63</v>
      </c>
      <c r="AA15" s="42">
        <v>0</v>
      </c>
      <c r="AB15" s="57">
        <v>0</v>
      </c>
      <c r="AC15" s="57">
        <v>0</v>
      </c>
      <c r="AD15" s="57">
        <v>0</v>
      </c>
      <c r="AE15" s="59">
        <v>146.29999999999998</v>
      </c>
      <c r="AF15" s="59">
        <v>21.091304347826082</v>
      </c>
      <c r="AG15" s="59">
        <v>167.39130434782606</v>
      </c>
      <c r="AH15" s="42">
        <v>0</v>
      </c>
      <c r="AI15" s="42">
        <v>0</v>
      </c>
      <c r="AJ15" s="59">
        <v>167.39130434782606</v>
      </c>
      <c r="AK15" s="42">
        <v>0</v>
      </c>
      <c r="AL15" s="58">
        <v>0</v>
      </c>
      <c r="AM15" s="44">
        <f>SUM(Table.Source[[#This Row],[BUA]:[Garden Area]])</f>
        <v>167.39130434782606</v>
      </c>
      <c r="AN15" s="53">
        <v>20465.187981622566</v>
      </c>
      <c r="AO15" s="53">
        <v>10680</v>
      </c>
      <c r="AP15" s="45">
        <v>0</v>
      </c>
      <c r="AQ15" s="45">
        <v>0</v>
      </c>
      <c r="AR15" s="45">
        <v>0</v>
      </c>
      <c r="AS15" s="46">
        <v>0</v>
      </c>
      <c r="AT15" s="45">
        <v>0</v>
      </c>
      <c r="AU15" s="45">
        <v>0</v>
      </c>
      <c r="AV15" s="45">
        <v>0</v>
      </c>
      <c r="AW15" s="53">
        <v>0</v>
      </c>
      <c r="AX15" s="53">
        <v>0</v>
      </c>
      <c r="AY15" s="53">
        <v>3360818.7136490978</v>
      </c>
      <c r="AZ15" s="53">
        <v>20077.618289332277</v>
      </c>
      <c r="BA15" s="60">
        <v>0.06</v>
      </c>
      <c r="BB15" s="60">
        <v>0</v>
      </c>
      <c r="BC15" s="60">
        <v>0.02</v>
      </c>
      <c r="BD15" s="60">
        <v>0</v>
      </c>
      <c r="BE15" s="60">
        <v>0.06</v>
      </c>
      <c r="BF15" s="60"/>
      <c r="BG15" s="60"/>
      <c r="BH15" s="61">
        <v>0.14000000000000001</v>
      </c>
      <c r="BI15" s="53">
        <v>470514.61991087376</v>
      </c>
      <c r="BJ15" s="53">
        <v>5345000</v>
      </c>
      <c r="BK15" s="53">
        <v>31931.168831168834</v>
      </c>
      <c r="BL15" s="53" t="s">
        <v>153</v>
      </c>
      <c r="BM15" s="49">
        <v>0.1</v>
      </c>
      <c r="BN15" s="53"/>
      <c r="BO15" s="49"/>
      <c r="BP15" s="53"/>
      <c r="BQ15" s="49"/>
      <c r="BR15" s="53"/>
      <c r="BS15" s="53"/>
      <c r="BT15" s="53"/>
      <c r="BU15" s="53"/>
      <c r="BV15" s="53"/>
      <c r="BW15" s="53"/>
      <c r="BX15" s="45">
        <v>5345000</v>
      </c>
      <c r="BY15" s="53"/>
      <c r="BZ15" s="53"/>
      <c r="CA15" s="53"/>
      <c r="CB15" s="53"/>
      <c r="CC15" s="53"/>
      <c r="CD15" s="53"/>
      <c r="CE15" s="53"/>
      <c r="CF15" s="49">
        <v>0.09</v>
      </c>
      <c r="CG15" s="45">
        <f>Table.Source[[#This Row],[5 Yrs. Price include club]]*Table.Source[[#This Row],[Maintenance %]]</f>
        <v>481050</v>
      </c>
      <c r="CH15" s="46"/>
      <c r="CI15" s="12"/>
      <c r="CJ15" s="60"/>
      <c r="CK15" s="45"/>
      <c r="CL15" s="50" t="s">
        <v>154</v>
      </c>
      <c r="CM15" s="50"/>
      <c r="CN15" s="51"/>
      <c r="CO15" s="51"/>
      <c r="CP15" s="51"/>
      <c r="CQ15" s="51"/>
      <c r="CR15" s="51"/>
      <c r="CS15" s="1"/>
      <c r="CT15" s="12"/>
      <c r="CU15" s="53"/>
      <c r="CV15" s="61"/>
      <c r="CW15" s="51"/>
      <c r="CX15" s="1">
        <v>6</v>
      </c>
      <c r="CY15" s="51"/>
      <c r="CZ15" s="51">
        <f t="shared" ca="1" si="0"/>
        <v>46254</v>
      </c>
      <c r="DA15" s="51"/>
      <c r="DB15" s="51"/>
      <c r="DC15" s="51" t="s">
        <v>155</v>
      </c>
      <c r="DD15" s="53"/>
      <c r="DE15" s="51"/>
      <c r="DF15" s="1"/>
      <c r="DG15" s="1" t="s">
        <v>156</v>
      </c>
      <c r="DH15" s="53">
        <f>IF(Table.Source[[#This Row],[Contract Value]]&lt;&gt;0,Table.Source[[#This Row],[Contract Value]],Table.Source[[#This Row],[Interest Free Unit Price
include club]])</f>
        <v>5345000</v>
      </c>
      <c r="DI15" s="53">
        <f>Table.Source[[#This Row],[Sales Value ]]/Table.Source[[#This Row],[Sellable Area without Roof (Gross Area)]]</f>
        <v>31931.168831168834</v>
      </c>
      <c r="DJ15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15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5" s="62" t="str">
        <f>IF(Table.Source[[#This Row],[Reservation Date]]=0,"Inventory",YEAR(Table.Source[[#This Row],[Reservation Date]]))</f>
        <v>Inventory</v>
      </c>
      <c r="DM15" s="1" t="str">
        <f>IF(Table.Source[[#This Row],[Status]]="Contracted","Sold","Unsold")</f>
        <v>Unsold</v>
      </c>
      <c r="DN15" s="53">
        <f>Table.Source[[#This Row],[Sales Value ]]/IF(YEAR(Table.Source[[#This Row],[Reservation Date]])=$DN$4,MONTH(MAX(Table.Source[Reservation Date])),12)</f>
        <v>5345000</v>
      </c>
    </row>
    <row r="16" spans="1:118" x14ac:dyDescent="0.25">
      <c r="C16" s="35" t="s">
        <v>141</v>
      </c>
      <c r="D16" s="35" t="s">
        <v>142</v>
      </c>
      <c r="E16" s="1" t="s">
        <v>143</v>
      </c>
      <c r="F16" s="1"/>
      <c r="G16" s="1"/>
      <c r="H16" s="35" t="s">
        <v>144</v>
      </c>
      <c r="I16" s="1"/>
      <c r="J16" s="1" t="s">
        <v>145</v>
      </c>
      <c r="K16" s="1" t="s">
        <v>146</v>
      </c>
      <c r="L16" s="1" t="s">
        <v>147</v>
      </c>
      <c r="M16" s="1"/>
      <c r="N16" s="1" t="s">
        <v>148</v>
      </c>
      <c r="O16" s="1" t="s">
        <v>182</v>
      </c>
      <c r="P16" s="1" t="s">
        <v>150</v>
      </c>
      <c r="Q16" s="1">
        <v>1</v>
      </c>
      <c r="R16" s="1" t="s">
        <v>183</v>
      </c>
      <c r="S16" s="1">
        <v>33000709</v>
      </c>
      <c r="T16" s="1" t="s">
        <v>152</v>
      </c>
      <c r="U16" s="1" t="s">
        <v>147</v>
      </c>
      <c r="V16" s="1"/>
      <c r="W16" s="55"/>
      <c r="X16" s="56"/>
      <c r="Y16" s="57">
        <v>101.98</v>
      </c>
      <c r="Z16" s="57">
        <v>7.68</v>
      </c>
      <c r="AA16" s="42">
        <v>0</v>
      </c>
      <c r="AB16" s="57">
        <v>0</v>
      </c>
      <c r="AC16" s="57">
        <v>0</v>
      </c>
      <c r="AD16" s="57">
        <v>0</v>
      </c>
      <c r="AE16" s="59">
        <v>109.66</v>
      </c>
      <c r="AF16" s="59">
        <v>15.809107551487415</v>
      </c>
      <c r="AG16" s="59">
        <v>125.46910755148741</v>
      </c>
      <c r="AH16" s="42">
        <v>0</v>
      </c>
      <c r="AI16" s="42">
        <v>0</v>
      </c>
      <c r="AJ16" s="59">
        <v>125.46910755148741</v>
      </c>
      <c r="AK16" s="42">
        <v>0</v>
      </c>
      <c r="AL16" s="58">
        <v>0</v>
      </c>
      <c r="AM16" s="44">
        <f>SUM(Table.Source[[#This Row],[BUA]:[Garden Area]])</f>
        <v>125.46910755148741</v>
      </c>
      <c r="AN16" s="53">
        <v>21864.688747808781</v>
      </c>
      <c r="AO16" s="53">
        <v>11620</v>
      </c>
      <c r="AP16" s="45">
        <v>0</v>
      </c>
      <c r="AQ16" s="45">
        <v>0</v>
      </c>
      <c r="AR16" s="45">
        <v>0</v>
      </c>
      <c r="AS16" s="46">
        <v>0</v>
      </c>
      <c r="AT16" s="45">
        <v>0</v>
      </c>
      <c r="AU16" s="45">
        <v>0</v>
      </c>
      <c r="AV16" s="45">
        <v>0</v>
      </c>
      <c r="AW16" s="53">
        <v>0</v>
      </c>
      <c r="AX16" s="53">
        <v>0</v>
      </c>
      <c r="AY16" s="53">
        <v>2664663.7744954452</v>
      </c>
      <c r="AZ16" s="53">
        <v>21237.60841609538</v>
      </c>
      <c r="BA16" s="60">
        <v>0.03</v>
      </c>
      <c r="BB16" s="60">
        <v>0</v>
      </c>
      <c r="BC16" s="60">
        <v>2.5000000000000001E-2</v>
      </c>
      <c r="BD16" s="60">
        <v>7.0000000000000007E-2</v>
      </c>
      <c r="BE16" s="60">
        <v>0</v>
      </c>
      <c r="BF16" s="60"/>
      <c r="BG16" s="60"/>
      <c r="BH16" s="61">
        <v>0.125</v>
      </c>
      <c r="BI16" s="53">
        <v>333082.97181193065</v>
      </c>
      <c r="BJ16" s="53">
        <v>4219000</v>
      </c>
      <c r="BK16" s="53">
        <v>33625.807039941639</v>
      </c>
      <c r="BL16" s="53" t="s">
        <v>153</v>
      </c>
      <c r="BM16" s="49">
        <v>0.1</v>
      </c>
      <c r="BN16" s="53"/>
      <c r="BO16" s="49"/>
      <c r="BP16" s="53"/>
      <c r="BQ16" s="49"/>
      <c r="BR16" s="53"/>
      <c r="BS16" s="53"/>
      <c r="BT16" s="53"/>
      <c r="BU16" s="53"/>
      <c r="BV16" s="53"/>
      <c r="BW16" s="53"/>
      <c r="BX16" s="45">
        <v>4219000</v>
      </c>
      <c r="BY16" s="53"/>
      <c r="BZ16" s="53"/>
      <c r="CA16" s="53"/>
      <c r="CB16" s="53"/>
      <c r="CC16" s="53"/>
      <c r="CD16" s="53"/>
      <c r="CE16" s="53"/>
      <c r="CF16" s="49">
        <v>0.09</v>
      </c>
      <c r="CG16" s="45">
        <f>Table.Source[[#This Row],[5 Yrs. Price include club]]*Table.Source[[#This Row],[Maintenance %]]</f>
        <v>379710</v>
      </c>
      <c r="CH16" s="46"/>
      <c r="CI16" s="12"/>
      <c r="CJ16" s="60"/>
      <c r="CK16" s="45"/>
      <c r="CL16" s="50" t="s">
        <v>154</v>
      </c>
      <c r="CM16" s="50"/>
      <c r="CN16" s="51"/>
      <c r="CO16" s="51"/>
      <c r="CP16" s="51"/>
      <c r="CQ16" s="51"/>
      <c r="CR16" s="51"/>
      <c r="CS16" s="1"/>
      <c r="CT16" s="12"/>
      <c r="CU16" s="53"/>
      <c r="CV16" s="61"/>
      <c r="CW16" s="51"/>
      <c r="CX16" s="1">
        <v>6</v>
      </c>
      <c r="CY16" s="51"/>
      <c r="CZ16" s="51">
        <f t="shared" ca="1" si="0"/>
        <v>46254</v>
      </c>
      <c r="DA16" s="51"/>
      <c r="DB16" s="51"/>
      <c r="DC16" s="51" t="s">
        <v>155</v>
      </c>
      <c r="DD16" s="53"/>
      <c r="DE16" s="51"/>
      <c r="DF16" s="1"/>
      <c r="DG16" s="1" t="s">
        <v>156</v>
      </c>
      <c r="DH16" s="53">
        <f>IF(Table.Source[[#This Row],[Contract Value]]&lt;&gt;0,Table.Source[[#This Row],[Contract Value]],Table.Source[[#This Row],[Interest Free Unit Price
include club]])</f>
        <v>4219000</v>
      </c>
      <c r="DI16" s="53">
        <f>Table.Source[[#This Row],[Sales Value ]]/Table.Source[[#This Row],[Sellable Area without Roof (Gross Area)]]</f>
        <v>33625.807039941639</v>
      </c>
      <c r="DJ16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16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6" s="62" t="str">
        <f>IF(Table.Source[[#This Row],[Reservation Date]]=0,"Inventory",YEAR(Table.Source[[#This Row],[Reservation Date]]))</f>
        <v>Inventory</v>
      </c>
      <c r="DM16" s="1" t="str">
        <f>IF(Table.Source[[#This Row],[Status]]="Contracted","Sold","Unsold")</f>
        <v>Unsold</v>
      </c>
      <c r="DN16" s="53">
        <f>Table.Source[[#This Row],[Sales Value ]]/IF(YEAR(Table.Source[[#This Row],[Reservation Date]])=$DN$4,MONTH(MAX(Table.Source[Reservation Date])),12)</f>
        <v>4219000</v>
      </c>
    </row>
    <row r="17" spans="3:118" x14ac:dyDescent="0.25">
      <c r="C17" s="35" t="s">
        <v>141</v>
      </c>
      <c r="D17" s="35" t="s">
        <v>142</v>
      </c>
      <c r="E17" s="1" t="s">
        <v>143</v>
      </c>
      <c r="F17" s="1"/>
      <c r="G17" s="1"/>
      <c r="H17" s="35" t="s">
        <v>144</v>
      </c>
      <c r="I17" s="1"/>
      <c r="J17" s="1" t="s">
        <v>145</v>
      </c>
      <c r="K17" s="1" t="s">
        <v>146</v>
      </c>
      <c r="L17" s="1" t="s">
        <v>147</v>
      </c>
      <c r="M17" s="1"/>
      <c r="N17" s="1" t="s">
        <v>148</v>
      </c>
      <c r="O17" s="1" t="s">
        <v>182</v>
      </c>
      <c r="P17" s="1" t="s">
        <v>184</v>
      </c>
      <c r="Q17" s="1">
        <v>2</v>
      </c>
      <c r="R17" s="1" t="s">
        <v>185</v>
      </c>
      <c r="S17" s="1">
        <v>33000713</v>
      </c>
      <c r="T17" s="1" t="s">
        <v>152</v>
      </c>
      <c r="U17" s="1" t="s">
        <v>147</v>
      </c>
      <c r="V17" s="1"/>
      <c r="W17" s="55"/>
      <c r="X17" s="56"/>
      <c r="Y17" s="57">
        <v>99.18</v>
      </c>
      <c r="Z17" s="57">
        <v>7.68</v>
      </c>
      <c r="AA17" s="42">
        <v>0</v>
      </c>
      <c r="AB17" s="57">
        <v>0</v>
      </c>
      <c r="AC17" s="57">
        <v>0</v>
      </c>
      <c r="AD17" s="57">
        <v>0</v>
      </c>
      <c r="AE17" s="59">
        <v>106.86000000000001</v>
      </c>
      <c r="AF17" s="59">
        <v>15.405446224256295</v>
      </c>
      <c r="AG17" s="59">
        <v>122.26544622425631</v>
      </c>
      <c r="AH17" s="42">
        <v>0</v>
      </c>
      <c r="AI17" s="42">
        <v>0</v>
      </c>
      <c r="AJ17" s="59">
        <v>122.26544622425631</v>
      </c>
      <c r="AK17" s="42">
        <v>0</v>
      </c>
      <c r="AL17" s="58">
        <v>0</v>
      </c>
      <c r="AM17" s="44">
        <f>SUM(Table.Source[[#This Row],[BUA]:[Garden Area]])</f>
        <v>122.26544622425631</v>
      </c>
      <c r="AN17" s="53">
        <v>22021.480207775061</v>
      </c>
      <c r="AO17" s="53">
        <v>11620</v>
      </c>
      <c r="AP17" s="45">
        <v>0</v>
      </c>
      <c r="AQ17" s="45">
        <v>0</v>
      </c>
      <c r="AR17" s="45">
        <v>0</v>
      </c>
      <c r="AS17" s="46">
        <v>0</v>
      </c>
      <c r="AT17" s="45">
        <v>0</v>
      </c>
      <c r="AU17" s="45">
        <v>0</v>
      </c>
      <c r="AV17" s="45">
        <v>0</v>
      </c>
      <c r="AW17" s="53">
        <v>0</v>
      </c>
      <c r="AX17" s="53">
        <v>0</v>
      </c>
      <c r="AY17" s="53">
        <v>2612582.7361265337</v>
      </c>
      <c r="AZ17" s="53">
        <v>21368.120076498129</v>
      </c>
      <c r="BA17" s="60">
        <v>0.03</v>
      </c>
      <c r="BB17" s="60">
        <v>0</v>
      </c>
      <c r="BC17" s="60">
        <v>7.0000000000000007E-2</v>
      </c>
      <c r="BD17" s="60">
        <v>7.0000000000000007E-2</v>
      </c>
      <c r="BE17" s="60">
        <v>0</v>
      </c>
      <c r="BF17" s="60"/>
      <c r="BG17" s="60"/>
      <c r="BH17" s="61">
        <v>0.17</v>
      </c>
      <c r="BI17" s="53">
        <v>444139.06514151074</v>
      </c>
      <c r="BJ17" s="53">
        <v>4299000</v>
      </c>
      <c r="BK17" s="53">
        <v>35161.201572150472</v>
      </c>
      <c r="BL17" s="53" t="s">
        <v>153</v>
      </c>
      <c r="BM17" s="49">
        <v>0.1</v>
      </c>
      <c r="BN17" s="53"/>
      <c r="BO17" s="49"/>
      <c r="BP17" s="53"/>
      <c r="BQ17" s="49"/>
      <c r="BR17" s="53"/>
      <c r="BS17" s="53"/>
      <c r="BT17" s="53"/>
      <c r="BU17" s="53"/>
      <c r="BV17" s="53"/>
      <c r="BW17" s="53"/>
      <c r="BX17" s="45">
        <v>4299000</v>
      </c>
      <c r="BY17" s="53"/>
      <c r="BZ17" s="53"/>
      <c r="CA17" s="53"/>
      <c r="CB17" s="53"/>
      <c r="CC17" s="53"/>
      <c r="CD17" s="53"/>
      <c r="CE17" s="53"/>
      <c r="CF17" s="49">
        <v>0.09</v>
      </c>
      <c r="CG17" s="45">
        <f>Table.Source[[#This Row],[5 Yrs. Price include club]]*Table.Source[[#This Row],[Maintenance %]]</f>
        <v>386910</v>
      </c>
      <c r="CH17" s="46"/>
      <c r="CI17" s="12"/>
      <c r="CJ17" s="60"/>
      <c r="CK17" s="45"/>
      <c r="CL17" s="50" t="s">
        <v>154</v>
      </c>
      <c r="CM17" s="50"/>
      <c r="CN17" s="51"/>
      <c r="CO17" s="51"/>
      <c r="CP17" s="51"/>
      <c r="CQ17" s="51"/>
      <c r="CR17" s="51"/>
      <c r="CS17" s="1"/>
      <c r="CT17" s="12"/>
      <c r="CU17" s="53"/>
      <c r="CV17" s="61"/>
      <c r="CW17" s="51"/>
      <c r="CX17" s="1">
        <v>6</v>
      </c>
      <c r="CY17" s="51"/>
      <c r="CZ17" s="51">
        <f t="shared" ca="1" si="0"/>
        <v>46254</v>
      </c>
      <c r="DA17" s="51"/>
      <c r="DB17" s="51"/>
      <c r="DC17" s="51" t="s">
        <v>155</v>
      </c>
      <c r="DD17" s="53"/>
      <c r="DE17" s="51"/>
      <c r="DF17" s="1"/>
      <c r="DG17" s="1" t="s">
        <v>156</v>
      </c>
      <c r="DH17" s="53">
        <f>IF(Table.Source[[#This Row],[Contract Value]]&lt;&gt;0,Table.Source[[#This Row],[Contract Value]],Table.Source[[#This Row],[Interest Free Unit Price
include club]])</f>
        <v>4299000</v>
      </c>
      <c r="DI17" s="53">
        <f>Table.Source[[#This Row],[Sales Value ]]/Table.Source[[#This Row],[Sellable Area without Roof (Gross Area)]]</f>
        <v>35161.201572150472</v>
      </c>
      <c r="DJ17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98 : 123</v>
      </c>
      <c r="DK17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7" s="62" t="str">
        <f>IF(Table.Source[[#This Row],[Reservation Date]]=0,"Inventory",YEAR(Table.Source[[#This Row],[Reservation Date]]))</f>
        <v>Inventory</v>
      </c>
      <c r="DM17" s="1" t="str">
        <f>IF(Table.Source[[#This Row],[Status]]="Contracted","Sold","Unsold")</f>
        <v>Unsold</v>
      </c>
      <c r="DN17" s="53">
        <f>Table.Source[[#This Row],[Sales Value ]]/IF(YEAR(Table.Source[[#This Row],[Reservation Date]])=$DN$4,MONTH(MAX(Table.Source[Reservation Date])),12)</f>
        <v>4299000</v>
      </c>
    </row>
    <row r="18" spans="3:118" x14ac:dyDescent="0.25">
      <c r="C18" s="35" t="s">
        <v>141</v>
      </c>
      <c r="D18" s="35" t="s">
        <v>142</v>
      </c>
      <c r="E18" s="1" t="s">
        <v>143</v>
      </c>
      <c r="F18" s="1"/>
      <c r="G18" s="1"/>
      <c r="H18" s="35" t="s">
        <v>144</v>
      </c>
      <c r="I18" s="1"/>
      <c r="J18" s="1" t="s">
        <v>145</v>
      </c>
      <c r="K18" s="1" t="s">
        <v>146</v>
      </c>
      <c r="L18" s="1" t="s">
        <v>157</v>
      </c>
      <c r="M18" s="1"/>
      <c r="N18" s="1" t="s">
        <v>161</v>
      </c>
      <c r="O18" s="1" t="s">
        <v>182</v>
      </c>
      <c r="P18" s="1" t="s">
        <v>162</v>
      </c>
      <c r="Q18" s="1">
        <v>4</v>
      </c>
      <c r="R18" s="1" t="s">
        <v>186</v>
      </c>
      <c r="S18" s="1">
        <v>33000719</v>
      </c>
      <c r="T18" s="1" t="s">
        <v>152</v>
      </c>
      <c r="U18" s="1" t="s">
        <v>157</v>
      </c>
      <c r="V18" s="1"/>
      <c r="W18" s="55"/>
      <c r="X18" s="56"/>
      <c r="Y18" s="57">
        <v>139.41</v>
      </c>
      <c r="Z18" s="57">
        <v>7.68</v>
      </c>
      <c r="AA18" s="42">
        <v>0</v>
      </c>
      <c r="AB18" s="57">
        <v>0</v>
      </c>
      <c r="AC18" s="57">
        <v>0</v>
      </c>
      <c r="AD18" s="57">
        <v>0</v>
      </c>
      <c r="AE18" s="59">
        <v>147.09</v>
      </c>
      <c r="AF18" s="59">
        <v>21.205194508009157</v>
      </c>
      <c r="AG18" s="59">
        <v>168.29519450800916</v>
      </c>
      <c r="AH18" s="42">
        <v>0</v>
      </c>
      <c r="AI18" s="42">
        <v>0</v>
      </c>
      <c r="AJ18" s="59">
        <v>168.29519450800916</v>
      </c>
      <c r="AK18" s="42">
        <v>0</v>
      </c>
      <c r="AL18" s="58">
        <v>0</v>
      </c>
      <c r="AM18" s="44">
        <f>SUM(Table.Source[[#This Row],[BUA]:[Garden Area]])</f>
        <v>168.29519450800916</v>
      </c>
      <c r="AN18" s="53">
        <v>20470.20452184492</v>
      </c>
      <c r="AO18" s="53">
        <v>10680</v>
      </c>
      <c r="AP18" s="45">
        <v>0</v>
      </c>
      <c r="AQ18" s="45">
        <v>0</v>
      </c>
      <c r="AR18" s="45">
        <v>0</v>
      </c>
      <c r="AS18" s="46">
        <v>0</v>
      </c>
      <c r="AT18" s="45">
        <v>0</v>
      </c>
      <c r="AU18" s="45">
        <v>0</v>
      </c>
      <c r="AV18" s="45">
        <v>0</v>
      </c>
      <c r="AW18" s="53">
        <v>0</v>
      </c>
      <c r="AX18" s="53">
        <v>0</v>
      </c>
      <c r="AY18" s="53">
        <v>3369848.2808948504</v>
      </c>
      <c r="AZ18" s="53">
        <v>20023.437334299404</v>
      </c>
      <c r="BA18" s="60">
        <v>7.0000000000000007E-2</v>
      </c>
      <c r="BB18" s="60">
        <v>0</v>
      </c>
      <c r="BC18" s="60">
        <v>0.02</v>
      </c>
      <c r="BD18" s="60">
        <v>0</v>
      </c>
      <c r="BE18" s="60">
        <v>0</v>
      </c>
      <c r="BF18" s="60"/>
      <c r="BG18" s="60"/>
      <c r="BH18" s="61">
        <v>9.0000000000000011E-2</v>
      </c>
      <c r="BI18" s="53">
        <v>303286.34528053657</v>
      </c>
      <c r="BJ18" s="53">
        <v>5131000</v>
      </c>
      <c r="BK18" s="53">
        <v>30488.095723706574</v>
      </c>
      <c r="BL18" s="53" t="s">
        <v>153</v>
      </c>
      <c r="BM18" s="49">
        <v>0.1</v>
      </c>
      <c r="BN18" s="53"/>
      <c r="BO18" s="49"/>
      <c r="BP18" s="53"/>
      <c r="BQ18" s="49"/>
      <c r="BR18" s="53"/>
      <c r="BS18" s="53"/>
      <c r="BT18" s="53"/>
      <c r="BU18" s="53"/>
      <c r="BV18" s="53"/>
      <c r="BW18" s="53"/>
      <c r="BX18" s="45">
        <v>5131000</v>
      </c>
      <c r="BY18" s="53"/>
      <c r="BZ18" s="53"/>
      <c r="CA18" s="53"/>
      <c r="CB18" s="53"/>
      <c r="CC18" s="53"/>
      <c r="CD18" s="53"/>
      <c r="CE18" s="53"/>
      <c r="CF18" s="49">
        <v>0.09</v>
      </c>
      <c r="CG18" s="45">
        <f>Table.Source[[#This Row],[5 Yrs. Price include club]]*Table.Source[[#This Row],[Maintenance %]]</f>
        <v>461790</v>
      </c>
      <c r="CH18" s="46"/>
      <c r="CI18" s="12"/>
      <c r="CJ18" s="60"/>
      <c r="CK18" s="45"/>
      <c r="CL18" s="50" t="s">
        <v>154</v>
      </c>
      <c r="CM18" s="50"/>
      <c r="CN18" s="51"/>
      <c r="CO18" s="51"/>
      <c r="CP18" s="51"/>
      <c r="CQ18" s="51"/>
      <c r="CR18" s="51"/>
      <c r="CS18" s="1"/>
      <c r="CT18" s="12"/>
      <c r="CU18" s="53"/>
      <c r="CV18" s="61"/>
      <c r="CW18" s="51"/>
      <c r="CX18" s="1">
        <v>6</v>
      </c>
      <c r="CY18" s="51"/>
      <c r="CZ18" s="51">
        <f t="shared" ca="1" si="0"/>
        <v>46254</v>
      </c>
      <c r="DA18" s="51"/>
      <c r="DB18" s="51"/>
      <c r="DC18" s="51" t="s">
        <v>155</v>
      </c>
      <c r="DD18" s="53"/>
      <c r="DE18" s="51"/>
      <c r="DF18" s="1"/>
      <c r="DG18" s="1" t="s">
        <v>156</v>
      </c>
      <c r="DH18" s="53">
        <f>IF(Table.Source[[#This Row],[Contract Value]]&lt;&gt;0,Table.Source[[#This Row],[Contract Value]],Table.Source[[#This Row],[Interest Free Unit Price
include club]])</f>
        <v>5131000</v>
      </c>
      <c r="DI18" s="53">
        <f>Table.Source[[#This Row],[Sales Value ]]/Table.Source[[#This Row],[Sellable Area without Roof (Gross Area)]]</f>
        <v>30488.095723706574</v>
      </c>
      <c r="DJ18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18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8" s="62" t="str">
        <f>IF(Table.Source[[#This Row],[Reservation Date]]=0,"Inventory",YEAR(Table.Source[[#This Row],[Reservation Date]]))</f>
        <v>Inventory</v>
      </c>
      <c r="DM18" s="1" t="str">
        <f>IF(Table.Source[[#This Row],[Status]]="Contracted","Sold","Unsold")</f>
        <v>Unsold</v>
      </c>
      <c r="DN18" s="53">
        <f>Table.Source[[#This Row],[Sales Value ]]/IF(YEAR(Table.Source[[#This Row],[Reservation Date]])=$DN$4,MONTH(MAX(Table.Source[Reservation Date])),12)</f>
        <v>5131000</v>
      </c>
    </row>
    <row r="19" spans="3:118" x14ac:dyDescent="0.25">
      <c r="C19" s="35" t="s">
        <v>141</v>
      </c>
      <c r="D19" s="35" t="s">
        <v>142</v>
      </c>
      <c r="E19" s="1" t="s">
        <v>143</v>
      </c>
      <c r="F19" s="1"/>
      <c r="G19" s="1"/>
      <c r="H19" s="35" t="s">
        <v>144</v>
      </c>
      <c r="I19" s="1"/>
      <c r="J19" s="1" t="s">
        <v>145</v>
      </c>
      <c r="K19" s="1" t="s">
        <v>146</v>
      </c>
      <c r="L19" s="1" t="s">
        <v>147</v>
      </c>
      <c r="M19" s="1"/>
      <c r="N19" s="1" t="s">
        <v>164</v>
      </c>
      <c r="O19" s="1" t="s">
        <v>182</v>
      </c>
      <c r="P19" s="1" t="s">
        <v>165</v>
      </c>
      <c r="Q19" s="1">
        <v>4</v>
      </c>
      <c r="R19" s="1" t="s">
        <v>187</v>
      </c>
      <c r="S19" s="1">
        <v>33000720</v>
      </c>
      <c r="T19" s="1" t="s">
        <v>152</v>
      </c>
      <c r="U19" s="1" t="s">
        <v>147</v>
      </c>
      <c r="V19" s="1"/>
      <c r="W19" s="55"/>
      <c r="X19" s="56"/>
      <c r="Y19" s="57">
        <v>100.57</v>
      </c>
      <c r="Z19" s="57">
        <v>7.68</v>
      </c>
      <c r="AA19" s="42">
        <v>0</v>
      </c>
      <c r="AB19" s="57">
        <v>0</v>
      </c>
      <c r="AC19" s="57">
        <v>0</v>
      </c>
      <c r="AD19" s="57">
        <v>0</v>
      </c>
      <c r="AE19" s="59">
        <v>108.25</v>
      </c>
      <c r="AF19" s="59">
        <v>15.605835240274601</v>
      </c>
      <c r="AG19" s="59">
        <v>123.8558352402746</v>
      </c>
      <c r="AH19" s="42">
        <v>0</v>
      </c>
      <c r="AI19" s="42">
        <v>0</v>
      </c>
      <c r="AJ19" s="59">
        <v>123.8558352402746</v>
      </c>
      <c r="AK19" s="42">
        <v>0</v>
      </c>
      <c r="AL19" s="58">
        <v>0</v>
      </c>
      <c r="AM19" s="44">
        <f>SUM(Table.Source[[#This Row],[BUA]:[Garden Area]])</f>
        <v>123.8558352402746</v>
      </c>
      <c r="AN19" s="53">
        <v>21942.563583298441</v>
      </c>
      <c r="AO19" s="53">
        <v>11620</v>
      </c>
      <c r="AP19" s="45">
        <v>0</v>
      </c>
      <c r="AQ19" s="45">
        <v>0</v>
      </c>
      <c r="AR19" s="45">
        <v>0</v>
      </c>
      <c r="AS19" s="46">
        <v>0</v>
      </c>
      <c r="AT19" s="45">
        <v>0</v>
      </c>
      <c r="AU19" s="45">
        <v>0</v>
      </c>
      <c r="AV19" s="45">
        <v>0</v>
      </c>
      <c r="AW19" s="53">
        <v>0</v>
      </c>
      <c r="AX19" s="53">
        <v>0</v>
      </c>
      <c r="AY19" s="53">
        <v>2638437.2516025291</v>
      </c>
      <c r="AZ19" s="53">
        <v>21302.486447118801</v>
      </c>
      <c r="BA19" s="60">
        <v>7.0000000000000007E-2</v>
      </c>
      <c r="BB19" s="60">
        <v>0</v>
      </c>
      <c r="BC19" s="60">
        <v>0.02</v>
      </c>
      <c r="BD19" s="60">
        <v>0</v>
      </c>
      <c r="BE19" s="60">
        <v>0</v>
      </c>
      <c r="BF19" s="60"/>
      <c r="BG19" s="60"/>
      <c r="BH19" s="61">
        <v>9.0000000000000011E-2</v>
      </c>
      <c r="BI19" s="53">
        <v>237459.35264422765</v>
      </c>
      <c r="BJ19" s="53">
        <v>4055000</v>
      </c>
      <c r="BK19" s="53">
        <v>32739.676674364895</v>
      </c>
      <c r="BL19" s="53" t="s">
        <v>153</v>
      </c>
      <c r="BM19" s="49">
        <v>0.1</v>
      </c>
      <c r="BN19" s="53"/>
      <c r="BO19" s="49"/>
      <c r="BP19" s="53"/>
      <c r="BQ19" s="49"/>
      <c r="BR19" s="53"/>
      <c r="BS19" s="53"/>
      <c r="BT19" s="53"/>
      <c r="BU19" s="53"/>
      <c r="BV19" s="53"/>
      <c r="BW19" s="53"/>
      <c r="BX19" s="45">
        <v>4055000</v>
      </c>
      <c r="BY19" s="53"/>
      <c r="BZ19" s="53"/>
      <c r="CA19" s="53"/>
      <c r="CB19" s="53"/>
      <c r="CC19" s="53"/>
      <c r="CD19" s="53"/>
      <c r="CE19" s="53"/>
      <c r="CF19" s="49">
        <v>0.09</v>
      </c>
      <c r="CG19" s="45">
        <f>Table.Source[[#This Row],[5 Yrs. Price include club]]*Table.Source[[#This Row],[Maintenance %]]</f>
        <v>364950</v>
      </c>
      <c r="CH19" s="46"/>
      <c r="CI19" s="12"/>
      <c r="CJ19" s="60"/>
      <c r="CK19" s="45"/>
      <c r="CL19" s="50" t="s">
        <v>154</v>
      </c>
      <c r="CM19" s="50"/>
      <c r="CN19" s="51"/>
      <c r="CO19" s="51"/>
      <c r="CP19" s="51"/>
      <c r="CQ19" s="51"/>
      <c r="CR19" s="51"/>
      <c r="CS19" s="1"/>
      <c r="CT19" s="12"/>
      <c r="CU19" s="53"/>
      <c r="CV19" s="61"/>
      <c r="CW19" s="51"/>
      <c r="CX19" s="1">
        <v>6</v>
      </c>
      <c r="CY19" s="51"/>
      <c r="CZ19" s="51">
        <f t="shared" ca="1" si="0"/>
        <v>46254</v>
      </c>
      <c r="DA19" s="51"/>
      <c r="DB19" s="51"/>
      <c r="DC19" s="51" t="s">
        <v>155</v>
      </c>
      <c r="DD19" s="53"/>
      <c r="DE19" s="51"/>
      <c r="DF19" s="1"/>
      <c r="DG19" s="1" t="s">
        <v>156</v>
      </c>
      <c r="DH19" s="53">
        <f>IF(Table.Source[[#This Row],[Contract Value]]&lt;&gt;0,Table.Source[[#This Row],[Contract Value]],Table.Source[[#This Row],[Interest Free Unit Price
include club]])</f>
        <v>4055000</v>
      </c>
      <c r="DI19" s="53">
        <f>Table.Source[[#This Row],[Sales Value ]]/Table.Source[[#This Row],[Sellable Area without Roof (Gross Area)]]</f>
        <v>32739.676674364895</v>
      </c>
      <c r="DJ19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19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19" s="62" t="str">
        <f>IF(Table.Source[[#This Row],[Reservation Date]]=0,"Inventory",YEAR(Table.Source[[#This Row],[Reservation Date]]))</f>
        <v>Inventory</v>
      </c>
      <c r="DM19" s="1" t="str">
        <f>IF(Table.Source[[#This Row],[Status]]="Contracted","Sold","Unsold")</f>
        <v>Unsold</v>
      </c>
      <c r="DN19" s="53">
        <f>Table.Source[[#This Row],[Sales Value ]]/IF(YEAR(Table.Source[[#This Row],[Reservation Date]])=$DN$4,MONTH(MAX(Table.Source[Reservation Date])),12)</f>
        <v>4055000</v>
      </c>
    </row>
    <row r="20" spans="3:118" x14ac:dyDescent="0.25">
      <c r="C20" s="35" t="s">
        <v>141</v>
      </c>
      <c r="D20" s="35" t="s">
        <v>142</v>
      </c>
      <c r="E20" s="1" t="s">
        <v>143</v>
      </c>
      <c r="F20" s="1"/>
      <c r="G20" s="1"/>
      <c r="H20" s="35" t="s">
        <v>144</v>
      </c>
      <c r="I20" s="1"/>
      <c r="J20" s="1" t="s">
        <v>145</v>
      </c>
      <c r="K20" s="1" t="s">
        <v>167</v>
      </c>
      <c r="L20" s="1" t="s">
        <v>157</v>
      </c>
      <c r="M20" s="1"/>
      <c r="N20" s="1" t="s">
        <v>164</v>
      </c>
      <c r="O20" s="1" t="s">
        <v>188</v>
      </c>
      <c r="P20" s="1" t="s">
        <v>172</v>
      </c>
      <c r="Q20" s="1" t="s">
        <v>170</v>
      </c>
      <c r="R20" s="1" t="s">
        <v>189</v>
      </c>
      <c r="S20" s="1">
        <v>33000726</v>
      </c>
      <c r="T20" s="1" t="s">
        <v>152</v>
      </c>
      <c r="U20" s="1" t="s">
        <v>157</v>
      </c>
      <c r="V20" s="1"/>
      <c r="W20" s="55"/>
      <c r="X20" s="56"/>
      <c r="Y20" s="57">
        <v>138.36000000000001</v>
      </c>
      <c r="Z20" s="57">
        <v>6.63</v>
      </c>
      <c r="AA20" s="42">
        <v>0</v>
      </c>
      <c r="AB20" s="57">
        <v>0</v>
      </c>
      <c r="AC20" s="57">
        <v>0</v>
      </c>
      <c r="AD20" s="57">
        <v>0</v>
      </c>
      <c r="AE20" s="59">
        <v>144.99</v>
      </c>
      <c r="AF20" s="59">
        <v>20.902448512585806</v>
      </c>
      <c r="AG20" s="59">
        <v>165.89244851258582</v>
      </c>
      <c r="AH20" s="42">
        <v>0</v>
      </c>
      <c r="AI20" s="42">
        <v>0</v>
      </c>
      <c r="AJ20" s="59">
        <v>165.89244851258582</v>
      </c>
      <c r="AK20" s="42">
        <v>0</v>
      </c>
      <c r="AL20" s="58">
        <v>72.2</v>
      </c>
      <c r="AM20" s="44">
        <f>SUM(Table.Source[[#This Row],[BUA]:[Garden Area]])</f>
        <v>238.0924485125858</v>
      </c>
      <c r="AN20" s="53">
        <v>20517.086855780984</v>
      </c>
      <c r="AO20" s="53">
        <v>10680</v>
      </c>
      <c r="AP20" s="45">
        <v>0</v>
      </c>
      <c r="AQ20" s="45">
        <v>0</v>
      </c>
      <c r="AR20" s="45">
        <v>0</v>
      </c>
      <c r="AS20" s="46">
        <v>0</v>
      </c>
      <c r="AT20" s="45">
        <v>0</v>
      </c>
      <c r="AU20" s="45">
        <v>0</v>
      </c>
      <c r="AV20" s="45">
        <v>0</v>
      </c>
      <c r="AW20" s="53">
        <v>8064</v>
      </c>
      <c r="AX20" s="53">
        <v>0</v>
      </c>
      <c r="AY20" s="53">
        <v>3920630.6889970698</v>
      </c>
      <c r="AZ20" s="53">
        <v>23633.569364669558</v>
      </c>
      <c r="BA20" s="60">
        <v>0.11</v>
      </c>
      <c r="BB20" s="60">
        <v>7.0000000000000007E-2</v>
      </c>
      <c r="BC20" s="60">
        <v>0</v>
      </c>
      <c r="BD20" s="60">
        <v>0</v>
      </c>
      <c r="BE20" s="60">
        <v>0.06</v>
      </c>
      <c r="BF20" s="60"/>
      <c r="BG20" s="60"/>
      <c r="BH20" s="61">
        <v>0.24</v>
      </c>
      <c r="BI20" s="53">
        <v>940951.36535929667</v>
      </c>
      <c r="BJ20" s="53">
        <v>6736000</v>
      </c>
      <c r="BK20" s="53">
        <v>40604.621008345399</v>
      </c>
      <c r="BL20" s="53" t="s">
        <v>153</v>
      </c>
      <c r="BM20" s="49">
        <v>0.1</v>
      </c>
      <c r="BN20" s="53"/>
      <c r="BO20" s="49"/>
      <c r="BP20" s="53"/>
      <c r="BQ20" s="49"/>
      <c r="BR20" s="53"/>
      <c r="BS20" s="53"/>
      <c r="BT20" s="53"/>
      <c r="BU20" s="53"/>
      <c r="BV20" s="53"/>
      <c r="BW20" s="53"/>
      <c r="BX20" s="45">
        <v>6736000</v>
      </c>
      <c r="BY20" s="53"/>
      <c r="BZ20" s="53"/>
      <c r="CA20" s="53"/>
      <c r="CB20" s="53"/>
      <c r="CC20" s="53"/>
      <c r="CD20" s="53"/>
      <c r="CE20" s="53"/>
      <c r="CF20" s="49">
        <v>0.09</v>
      </c>
      <c r="CG20" s="45">
        <f>Table.Source[[#This Row],[5 Yrs. Price include club]]*Table.Source[[#This Row],[Maintenance %]]</f>
        <v>606240</v>
      </c>
      <c r="CH20" s="46"/>
      <c r="CI20" s="12"/>
      <c r="CJ20" s="60"/>
      <c r="CK20" s="45"/>
      <c r="CL20" s="50" t="s">
        <v>154</v>
      </c>
      <c r="CM20" s="50"/>
      <c r="CN20" s="51"/>
      <c r="CO20" s="51"/>
      <c r="CP20" s="51"/>
      <c r="CQ20" s="51"/>
      <c r="CR20" s="51"/>
      <c r="CS20" s="1"/>
      <c r="CT20" s="12"/>
      <c r="CU20" s="53"/>
      <c r="CV20" s="61"/>
      <c r="CW20" s="51"/>
      <c r="CX20" s="1">
        <v>6</v>
      </c>
      <c r="CY20" s="51"/>
      <c r="CZ20" s="51">
        <f t="shared" ca="1" si="0"/>
        <v>46254</v>
      </c>
      <c r="DA20" s="51"/>
      <c r="DB20" s="51"/>
      <c r="DC20" s="51" t="s">
        <v>155</v>
      </c>
      <c r="DD20" s="53"/>
      <c r="DE20" s="51"/>
      <c r="DF20" s="1"/>
      <c r="DG20" s="1" t="s">
        <v>156</v>
      </c>
      <c r="DH20" s="53">
        <f>IF(Table.Source[[#This Row],[Contract Value]]&lt;&gt;0,Table.Source[[#This Row],[Contract Value]],Table.Source[[#This Row],[Interest Free Unit Price
include club]])</f>
        <v>6736000</v>
      </c>
      <c r="DI20" s="53">
        <f>Table.Source[[#This Row],[Sales Value ]]/Table.Source[[#This Row],[Sellable Area without Roof (Gross Area)]]</f>
        <v>40604.621008345399</v>
      </c>
      <c r="DJ20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20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0" s="62" t="str">
        <f>IF(Table.Source[[#This Row],[Reservation Date]]=0,"Inventory",YEAR(Table.Source[[#This Row],[Reservation Date]]))</f>
        <v>Inventory</v>
      </c>
      <c r="DM20" s="1" t="str">
        <f>IF(Table.Source[[#This Row],[Status]]="Contracted","Sold","Unsold")</f>
        <v>Unsold</v>
      </c>
      <c r="DN20" s="53">
        <f>Table.Source[[#This Row],[Sales Value ]]/IF(YEAR(Table.Source[[#This Row],[Reservation Date]])=$DN$4,MONTH(MAX(Table.Source[Reservation Date])),12)</f>
        <v>6736000</v>
      </c>
    </row>
    <row r="21" spans="3:118" x14ac:dyDescent="0.25">
      <c r="C21" s="35" t="s">
        <v>141</v>
      </c>
      <c r="D21" s="35" t="s">
        <v>142</v>
      </c>
      <c r="E21" s="1" t="s">
        <v>143</v>
      </c>
      <c r="F21" s="1"/>
      <c r="G21" s="1"/>
      <c r="H21" s="35" t="s">
        <v>144</v>
      </c>
      <c r="I21" s="1"/>
      <c r="J21" s="1" t="s">
        <v>145</v>
      </c>
      <c r="K21" s="1" t="s">
        <v>146</v>
      </c>
      <c r="L21" s="1" t="s">
        <v>147</v>
      </c>
      <c r="M21" s="1"/>
      <c r="N21" s="1" t="s">
        <v>158</v>
      </c>
      <c r="O21" s="1" t="s">
        <v>188</v>
      </c>
      <c r="P21" s="1" t="s">
        <v>174</v>
      </c>
      <c r="Q21" s="1">
        <v>1</v>
      </c>
      <c r="R21" s="1" t="s">
        <v>190</v>
      </c>
      <c r="S21" s="1">
        <v>33000728</v>
      </c>
      <c r="T21" s="1" t="s">
        <v>152</v>
      </c>
      <c r="U21" s="1" t="s">
        <v>147</v>
      </c>
      <c r="V21" s="1"/>
      <c r="W21" s="55"/>
      <c r="X21" s="56"/>
      <c r="Y21" s="57">
        <v>101.98</v>
      </c>
      <c r="Z21" s="57">
        <v>7.68</v>
      </c>
      <c r="AA21" s="42">
        <v>0</v>
      </c>
      <c r="AB21" s="57">
        <v>0</v>
      </c>
      <c r="AC21" s="57">
        <v>0</v>
      </c>
      <c r="AD21" s="57">
        <v>0</v>
      </c>
      <c r="AE21" s="59">
        <v>109.66</v>
      </c>
      <c r="AF21" s="59">
        <v>15.809107551487415</v>
      </c>
      <c r="AG21" s="59">
        <v>125.46910755148741</v>
      </c>
      <c r="AH21" s="42">
        <v>0</v>
      </c>
      <c r="AI21" s="42">
        <v>0</v>
      </c>
      <c r="AJ21" s="59">
        <v>125.46910755148741</v>
      </c>
      <c r="AK21" s="42">
        <v>0</v>
      </c>
      <c r="AL21" s="58">
        <v>0</v>
      </c>
      <c r="AM21" s="44">
        <f>SUM(Table.Source[[#This Row],[BUA]:[Garden Area]])</f>
        <v>125.46910755148741</v>
      </c>
      <c r="AN21" s="53">
        <v>21864.688747808781</v>
      </c>
      <c r="AO21" s="53">
        <v>11620</v>
      </c>
      <c r="AP21" s="45">
        <v>0</v>
      </c>
      <c r="AQ21" s="45">
        <v>0</v>
      </c>
      <c r="AR21" s="45">
        <v>0</v>
      </c>
      <c r="AS21" s="46">
        <v>0</v>
      </c>
      <c r="AT21" s="45">
        <v>0</v>
      </c>
      <c r="AU21" s="45">
        <v>0</v>
      </c>
      <c r="AV21" s="45">
        <v>0</v>
      </c>
      <c r="AW21" s="53">
        <v>0</v>
      </c>
      <c r="AX21" s="53">
        <v>0</v>
      </c>
      <c r="AY21" s="53">
        <v>2664663.7744954452</v>
      </c>
      <c r="AZ21" s="53">
        <v>21237.60841609538</v>
      </c>
      <c r="BA21" s="60">
        <v>0.03</v>
      </c>
      <c r="BB21" s="60">
        <v>0</v>
      </c>
      <c r="BC21" s="60">
        <v>2.5000000000000001E-2</v>
      </c>
      <c r="BD21" s="60">
        <v>7.0000000000000007E-2</v>
      </c>
      <c r="BE21" s="60">
        <v>0</v>
      </c>
      <c r="BF21" s="60"/>
      <c r="BG21" s="60"/>
      <c r="BH21" s="61">
        <v>0.125</v>
      </c>
      <c r="BI21" s="53">
        <v>333082.97181193065</v>
      </c>
      <c r="BJ21" s="53">
        <v>4219000</v>
      </c>
      <c r="BK21" s="53">
        <v>33625.807039941639</v>
      </c>
      <c r="BL21" s="53" t="s">
        <v>153</v>
      </c>
      <c r="BM21" s="49">
        <v>0.1</v>
      </c>
      <c r="BN21" s="53"/>
      <c r="BO21" s="49"/>
      <c r="BP21" s="53"/>
      <c r="BQ21" s="49"/>
      <c r="BR21" s="53"/>
      <c r="BS21" s="53"/>
      <c r="BT21" s="53"/>
      <c r="BU21" s="53"/>
      <c r="BV21" s="53"/>
      <c r="BW21" s="53"/>
      <c r="BX21" s="45">
        <v>4219000</v>
      </c>
      <c r="BY21" s="53"/>
      <c r="BZ21" s="53"/>
      <c r="CA21" s="53"/>
      <c r="CB21" s="53"/>
      <c r="CC21" s="53"/>
      <c r="CD21" s="53"/>
      <c r="CE21" s="53"/>
      <c r="CF21" s="49">
        <v>0.09</v>
      </c>
      <c r="CG21" s="45">
        <f>Table.Source[[#This Row],[5 Yrs. Price include club]]*Table.Source[[#This Row],[Maintenance %]]</f>
        <v>379710</v>
      </c>
      <c r="CH21" s="46"/>
      <c r="CI21" s="12"/>
      <c r="CJ21" s="60"/>
      <c r="CK21" s="45"/>
      <c r="CL21" s="50" t="s">
        <v>154</v>
      </c>
      <c r="CM21" s="50"/>
      <c r="CN21" s="51"/>
      <c r="CO21" s="51"/>
      <c r="CP21" s="51"/>
      <c r="CQ21" s="51"/>
      <c r="CR21" s="51"/>
      <c r="CS21" s="1"/>
      <c r="CT21" s="12"/>
      <c r="CU21" s="53"/>
      <c r="CV21" s="61"/>
      <c r="CW21" s="51"/>
      <c r="CX21" s="1">
        <v>6</v>
      </c>
      <c r="CY21" s="51"/>
      <c r="CZ21" s="51">
        <f t="shared" ca="1" si="0"/>
        <v>46254</v>
      </c>
      <c r="DA21" s="51"/>
      <c r="DB21" s="51"/>
      <c r="DC21" s="51" t="s">
        <v>155</v>
      </c>
      <c r="DD21" s="53"/>
      <c r="DE21" s="51"/>
      <c r="DF21" s="1"/>
      <c r="DG21" s="1" t="s">
        <v>156</v>
      </c>
      <c r="DH21" s="53">
        <f>IF(Table.Source[[#This Row],[Contract Value]]&lt;&gt;0,Table.Source[[#This Row],[Contract Value]],Table.Source[[#This Row],[Interest Free Unit Price
include club]])</f>
        <v>4219000</v>
      </c>
      <c r="DI21" s="53">
        <f>Table.Source[[#This Row],[Sales Value ]]/Table.Source[[#This Row],[Sellable Area without Roof (Gross Area)]]</f>
        <v>33625.807039941639</v>
      </c>
      <c r="DJ21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21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1" s="62" t="str">
        <f>IF(Table.Source[[#This Row],[Reservation Date]]=0,"Inventory",YEAR(Table.Source[[#This Row],[Reservation Date]]))</f>
        <v>Inventory</v>
      </c>
      <c r="DM21" s="1" t="str">
        <f>IF(Table.Source[[#This Row],[Status]]="Contracted","Sold","Unsold")</f>
        <v>Unsold</v>
      </c>
      <c r="DN21" s="53">
        <f>Table.Source[[#This Row],[Sales Value ]]/IF(YEAR(Table.Source[[#This Row],[Reservation Date]])=$DN$4,MONTH(MAX(Table.Source[Reservation Date])),12)</f>
        <v>4219000</v>
      </c>
    </row>
    <row r="22" spans="3:118" x14ac:dyDescent="0.25">
      <c r="C22" s="35" t="s">
        <v>141</v>
      </c>
      <c r="D22" s="35" t="s">
        <v>142</v>
      </c>
      <c r="E22" s="1" t="s">
        <v>143</v>
      </c>
      <c r="F22" s="1"/>
      <c r="G22" s="1"/>
      <c r="H22" s="35" t="s">
        <v>144</v>
      </c>
      <c r="I22" s="1"/>
      <c r="J22" s="1" t="s">
        <v>145</v>
      </c>
      <c r="K22" s="1" t="s">
        <v>146</v>
      </c>
      <c r="L22" s="1" t="s">
        <v>147</v>
      </c>
      <c r="M22" s="1"/>
      <c r="N22" s="1" t="s">
        <v>161</v>
      </c>
      <c r="O22" s="1" t="s">
        <v>188</v>
      </c>
      <c r="P22" s="1" t="s">
        <v>176</v>
      </c>
      <c r="Q22" s="1">
        <v>4</v>
      </c>
      <c r="R22" s="1" t="s">
        <v>191</v>
      </c>
      <c r="S22" s="1">
        <v>33000741</v>
      </c>
      <c r="T22" s="1" t="s">
        <v>152</v>
      </c>
      <c r="U22" s="1" t="s">
        <v>147</v>
      </c>
      <c r="V22" s="1"/>
      <c r="W22" s="55"/>
      <c r="X22" s="56"/>
      <c r="Y22" s="57">
        <v>100.57</v>
      </c>
      <c r="Z22" s="57">
        <v>6.63</v>
      </c>
      <c r="AA22" s="42">
        <v>0</v>
      </c>
      <c r="AB22" s="57">
        <v>0</v>
      </c>
      <c r="AC22" s="57">
        <v>0</v>
      </c>
      <c r="AD22" s="57">
        <v>0</v>
      </c>
      <c r="AE22" s="59">
        <v>107.19999999999999</v>
      </c>
      <c r="AF22" s="59">
        <v>15.454462242562926</v>
      </c>
      <c r="AG22" s="59">
        <v>122.65446224256291</v>
      </c>
      <c r="AH22" s="42">
        <v>0</v>
      </c>
      <c r="AI22" s="42">
        <v>0</v>
      </c>
      <c r="AJ22" s="59">
        <v>122.65446224256291</v>
      </c>
      <c r="AK22" s="42">
        <v>0</v>
      </c>
      <c r="AL22" s="58">
        <v>0</v>
      </c>
      <c r="AM22" s="44">
        <f>SUM(Table.Source[[#This Row],[BUA]:[Garden Area]])</f>
        <v>122.65446224256291</v>
      </c>
      <c r="AN22" s="53">
        <v>21949.981696233561</v>
      </c>
      <c r="AO22" s="53">
        <v>11620</v>
      </c>
      <c r="AP22" s="45">
        <v>0</v>
      </c>
      <c r="AQ22" s="45">
        <v>0</v>
      </c>
      <c r="AR22" s="45">
        <v>0</v>
      </c>
      <c r="AS22" s="46">
        <v>0</v>
      </c>
      <c r="AT22" s="45">
        <v>0</v>
      </c>
      <c r="AU22" s="45">
        <v>0</v>
      </c>
      <c r="AV22" s="45">
        <v>0</v>
      </c>
      <c r="AW22" s="53">
        <v>0</v>
      </c>
      <c r="AX22" s="53">
        <v>0</v>
      </c>
      <c r="AY22" s="53">
        <v>2623775.4225395978</v>
      </c>
      <c r="AZ22" s="53">
        <v>21391.601859138143</v>
      </c>
      <c r="BA22" s="60">
        <v>0.11</v>
      </c>
      <c r="BB22" s="60">
        <v>0</v>
      </c>
      <c r="BC22" s="60">
        <v>0.02</v>
      </c>
      <c r="BD22" s="60">
        <v>0</v>
      </c>
      <c r="BE22" s="60">
        <v>0</v>
      </c>
      <c r="BF22" s="60"/>
      <c r="BG22" s="60"/>
      <c r="BH22" s="61">
        <v>0.13</v>
      </c>
      <c r="BI22" s="53">
        <v>341090.80493014771</v>
      </c>
      <c r="BJ22" s="53">
        <v>4175000</v>
      </c>
      <c r="BK22" s="53">
        <v>34038.712686567167</v>
      </c>
      <c r="BL22" s="53" t="s">
        <v>153</v>
      </c>
      <c r="BM22" s="49">
        <v>0.1</v>
      </c>
      <c r="BN22" s="53"/>
      <c r="BO22" s="49"/>
      <c r="BP22" s="53"/>
      <c r="BQ22" s="49"/>
      <c r="BR22" s="53"/>
      <c r="BS22" s="53"/>
      <c r="BT22" s="53"/>
      <c r="BU22" s="53"/>
      <c r="BV22" s="53"/>
      <c r="BW22" s="53"/>
      <c r="BX22" s="45">
        <v>4175000</v>
      </c>
      <c r="BY22" s="53"/>
      <c r="BZ22" s="53"/>
      <c r="CA22" s="53"/>
      <c r="CB22" s="53"/>
      <c r="CC22" s="53"/>
      <c r="CD22" s="53"/>
      <c r="CE22" s="53"/>
      <c r="CF22" s="49">
        <v>0.09</v>
      </c>
      <c r="CG22" s="45">
        <f>Table.Source[[#This Row],[5 Yrs. Price include club]]*Table.Source[[#This Row],[Maintenance %]]</f>
        <v>375750</v>
      </c>
      <c r="CH22" s="46"/>
      <c r="CI22" s="12"/>
      <c r="CJ22" s="60"/>
      <c r="CK22" s="45"/>
      <c r="CL22" s="50" t="s">
        <v>154</v>
      </c>
      <c r="CM22" s="50"/>
      <c r="CN22" s="51"/>
      <c r="CO22" s="51"/>
      <c r="CP22" s="51"/>
      <c r="CQ22" s="51"/>
      <c r="CR22" s="51"/>
      <c r="CS22" s="1"/>
      <c r="CT22" s="12"/>
      <c r="CU22" s="53"/>
      <c r="CV22" s="61"/>
      <c r="CW22" s="51"/>
      <c r="CX22" s="1">
        <v>6</v>
      </c>
      <c r="CY22" s="51"/>
      <c r="CZ22" s="51">
        <f t="shared" ca="1" si="0"/>
        <v>46254</v>
      </c>
      <c r="DA22" s="51"/>
      <c r="DB22" s="51"/>
      <c r="DC22" s="51" t="s">
        <v>155</v>
      </c>
      <c r="DD22" s="53"/>
      <c r="DE22" s="51"/>
      <c r="DF22" s="1"/>
      <c r="DG22" s="1" t="s">
        <v>156</v>
      </c>
      <c r="DH22" s="53">
        <f>IF(Table.Source[[#This Row],[Contract Value]]&lt;&gt;0,Table.Source[[#This Row],[Contract Value]],Table.Source[[#This Row],[Interest Free Unit Price
include club]])</f>
        <v>4175000</v>
      </c>
      <c r="DI22" s="53">
        <f>Table.Source[[#This Row],[Sales Value ]]/Table.Source[[#This Row],[Sellable Area without Roof (Gross Area)]]</f>
        <v>34038.712686567167</v>
      </c>
      <c r="DJ22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98 : 123</v>
      </c>
      <c r="DK22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2" s="62" t="str">
        <f>IF(Table.Source[[#This Row],[Reservation Date]]=0,"Inventory",YEAR(Table.Source[[#This Row],[Reservation Date]]))</f>
        <v>Inventory</v>
      </c>
      <c r="DM22" s="1" t="str">
        <f>IF(Table.Source[[#This Row],[Status]]="Contracted","Sold","Unsold")</f>
        <v>Unsold</v>
      </c>
      <c r="DN22" s="53">
        <f>Table.Source[[#This Row],[Sales Value ]]/IF(YEAR(Table.Source[[#This Row],[Reservation Date]])=$DN$4,MONTH(MAX(Table.Source[Reservation Date])),12)</f>
        <v>4175000</v>
      </c>
    </row>
    <row r="23" spans="3:118" x14ac:dyDescent="0.25">
      <c r="C23" s="35" t="s">
        <v>141</v>
      </c>
      <c r="D23" s="35" t="s">
        <v>142</v>
      </c>
      <c r="E23" s="1" t="s">
        <v>143</v>
      </c>
      <c r="F23" s="1"/>
      <c r="G23" s="1"/>
      <c r="H23" s="35" t="s">
        <v>144</v>
      </c>
      <c r="I23" s="1"/>
      <c r="J23" s="1" t="s">
        <v>145</v>
      </c>
      <c r="K23" s="1" t="s">
        <v>146</v>
      </c>
      <c r="L23" s="1" t="s">
        <v>157</v>
      </c>
      <c r="M23" s="1"/>
      <c r="N23" s="1" t="s">
        <v>164</v>
      </c>
      <c r="O23" s="1" t="s">
        <v>188</v>
      </c>
      <c r="P23" s="1" t="s">
        <v>178</v>
      </c>
      <c r="Q23" s="1">
        <v>4</v>
      </c>
      <c r="R23" s="1" t="s">
        <v>192</v>
      </c>
      <c r="S23" s="1">
        <v>33000742</v>
      </c>
      <c r="T23" s="1" t="s">
        <v>152</v>
      </c>
      <c r="U23" s="1" t="s">
        <v>157</v>
      </c>
      <c r="V23" s="1"/>
      <c r="W23" s="55"/>
      <c r="X23" s="56"/>
      <c r="Y23" s="57">
        <v>140.07</v>
      </c>
      <c r="Z23" s="57">
        <v>6.63</v>
      </c>
      <c r="AA23" s="42">
        <v>0</v>
      </c>
      <c r="AB23" s="57">
        <v>0</v>
      </c>
      <c r="AC23" s="57">
        <v>0</v>
      </c>
      <c r="AD23" s="57">
        <v>0</v>
      </c>
      <c r="AE23" s="59">
        <v>146.69999999999999</v>
      </c>
      <c r="AF23" s="59">
        <v>21.148970251716236</v>
      </c>
      <c r="AG23" s="59">
        <v>167.84897025171622</v>
      </c>
      <c r="AH23" s="42">
        <v>0</v>
      </c>
      <c r="AI23" s="42">
        <v>0</v>
      </c>
      <c r="AJ23" s="59">
        <v>167.84897025171622</v>
      </c>
      <c r="AK23" s="42">
        <v>0</v>
      </c>
      <c r="AL23" s="58">
        <v>0</v>
      </c>
      <c r="AM23" s="44">
        <f>SUM(Table.Source[[#This Row],[BUA]:[Garden Area]])</f>
        <v>167.84897025171622</v>
      </c>
      <c r="AN23" s="53">
        <v>20449.533313035954</v>
      </c>
      <c r="AO23" s="53">
        <v>10680</v>
      </c>
      <c r="AP23" s="45">
        <v>0</v>
      </c>
      <c r="AQ23" s="45">
        <v>0</v>
      </c>
      <c r="AR23" s="45">
        <v>0</v>
      </c>
      <c r="AS23" s="46">
        <v>0</v>
      </c>
      <c r="AT23" s="45">
        <v>0</v>
      </c>
      <c r="AU23" s="45">
        <v>0</v>
      </c>
      <c r="AV23" s="45">
        <v>0</v>
      </c>
      <c r="AW23" s="53">
        <v>0</v>
      </c>
      <c r="AX23" s="53">
        <v>0</v>
      </c>
      <c r="AY23" s="53">
        <v>3367661.1028558235</v>
      </c>
      <c r="AZ23" s="53">
        <v>20063.638745030607</v>
      </c>
      <c r="BA23" s="60">
        <v>0.11</v>
      </c>
      <c r="BB23" s="60">
        <v>7.0000000000000007E-2</v>
      </c>
      <c r="BC23" s="60">
        <v>0.02</v>
      </c>
      <c r="BD23" s="60">
        <v>0</v>
      </c>
      <c r="BE23" s="60">
        <v>0.06</v>
      </c>
      <c r="BF23" s="60"/>
      <c r="BG23" s="60"/>
      <c r="BH23" s="61">
        <v>0.26</v>
      </c>
      <c r="BI23" s="53">
        <v>875591.88674251409</v>
      </c>
      <c r="BJ23" s="53">
        <v>5901000</v>
      </c>
      <c r="BK23" s="53">
        <v>35156.605316973422</v>
      </c>
      <c r="BL23" s="53" t="s">
        <v>153</v>
      </c>
      <c r="BM23" s="49">
        <v>0.1</v>
      </c>
      <c r="BN23" s="53"/>
      <c r="BO23" s="49"/>
      <c r="BP23" s="53"/>
      <c r="BQ23" s="49"/>
      <c r="BR23" s="53"/>
      <c r="BS23" s="53"/>
      <c r="BT23" s="53"/>
      <c r="BU23" s="53"/>
      <c r="BV23" s="53"/>
      <c r="BW23" s="53"/>
      <c r="BX23" s="45">
        <v>5901000</v>
      </c>
      <c r="BY23" s="53"/>
      <c r="BZ23" s="53"/>
      <c r="CA23" s="53"/>
      <c r="CB23" s="53"/>
      <c r="CC23" s="53"/>
      <c r="CD23" s="53"/>
      <c r="CE23" s="53"/>
      <c r="CF23" s="49">
        <v>0.09</v>
      </c>
      <c r="CG23" s="45">
        <f>Table.Source[[#This Row],[5 Yrs. Price include club]]*Table.Source[[#This Row],[Maintenance %]]</f>
        <v>531090</v>
      </c>
      <c r="CH23" s="46"/>
      <c r="CI23" s="12"/>
      <c r="CJ23" s="60"/>
      <c r="CK23" s="45"/>
      <c r="CL23" s="50" t="s">
        <v>154</v>
      </c>
      <c r="CM23" s="50"/>
      <c r="CN23" s="51"/>
      <c r="CO23" s="51"/>
      <c r="CP23" s="51"/>
      <c r="CQ23" s="51"/>
      <c r="CR23" s="51"/>
      <c r="CS23" s="1"/>
      <c r="CT23" s="12"/>
      <c r="CU23" s="53"/>
      <c r="CV23" s="61"/>
      <c r="CW23" s="51"/>
      <c r="CX23" s="1">
        <v>6</v>
      </c>
      <c r="CY23" s="51"/>
      <c r="CZ23" s="51">
        <f t="shared" ca="1" si="0"/>
        <v>46254</v>
      </c>
      <c r="DA23" s="51"/>
      <c r="DB23" s="51"/>
      <c r="DC23" s="51" t="s">
        <v>155</v>
      </c>
      <c r="DD23" s="53"/>
      <c r="DE23" s="51"/>
      <c r="DF23" s="1"/>
      <c r="DG23" s="1" t="s">
        <v>156</v>
      </c>
      <c r="DH23" s="53">
        <f>IF(Table.Source[[#This Row],[Contract Value]]&lt;&gt;0,Table.Source[[#This Row],[Contract Value]],Table.Source[[#This Row],[Interest Free Unit Price
include club]])</f>
        <v>5901000</v>
      </c>
      <c r="DI23" s="53">
        <f>Table.Source[[#This Row],[Sales Value ]]/Table.Source[[#This Row],[Sellable Area without Roof (Gross Area)]]</f>
        <v>35156.605316973422</v>
      </c>
      <c r="DJ23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23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3" s="62" t="str">
        <f>IF(Table.Source[[#This Row],[Reservation Date]]=0,"Inventory",YEAR(Table.Source[[#This Row],[Reservation Date]]))</f>
        <v>Inventory</v>
      </c>
      <c r="DM23" s="1" t="str">
        <f>IF(Table.Source[[#This Row],[Status]]="Contracted","Sold","Unsold")</f>
        <v>Unsold</v>
      </c>
      <c r="DN23" s="53">
        <f>Table.Source[[#This Row],[Sales Value ]]/IF(YEAR(Table.Source[[#This Row],[Reservation Date]])=$DN$4,MONTH(MAX(Table.Source[Reservation Date])),12)</f>
        <v>5901000</v>
      </c>
    </row>
    <row r="24" spans="3:118" x14ac:dyDescent="0.25">
      <c r="C24" s="35" t="s">
        <v>141</v>
      </c>
      <c r="D24" s="35" t="s">
        <v>142</v>
      </c>
      <c r="E24" s="1" t="s">
        <v>143</v>
      </c>
      <c r="F24" s="1"/>
      <c r="G24" s="1"/>
      <c r="H24" s="35" t="s">
        <v>144</v>
      </c>
      <c r="I24" s="1"/>
      <c r="J24" s="1" t="s">
        <v>193</v>
      </c>
      <c r="K24" s="1" t="s">
        <v>167</v>
      </c>
      <c r="L24" s="1" t="s">
        <v>194</v>
      </c>
      <c r="M24" s="1"/>
      <c r="N24" s="1" t="s">
        <v>161</v>
      </c>
      <c r="O24" s="1" t="s">
        <v>195</v>
      </c>
      <c r="P24" s="1" t="s">
        <v>196</v>
      </c>
      <c r="Q24" s="1" t="s">
        <v>170</v>
      </c>
      <c r="R24" s="1" t="s">
        <v>197</v>
      </c>
      <c r="S24" s="1">
        <v>33000747</v>
      </c>
      <c r="T24" s="1" t="s">
        <v>152</v>
      </c>
      <c r="U24" s="1" t="s">
        <v>194</v>
      </c>
      <c r="V24" s="1"/>
      <c r="W24" s="55"/>
      <c r="X24" s="56"/>
      <c r="Y24" s="57">
        <v>64.47</v>
      </c>
      <c r="Z24" s="57">
        <v>5.76</v>
      </c>
      <c r="AA24" s="42">
        <v>0</v>
      </c>
      <c r="AB24" s="57">
        <v>0</v>
      </c>
      <c r="AC24" s="57">
        <v>0</v>
      </c>
      <c r="AD24" s="57">
        <v>0</v>
      </c>
      <c r="AE24" s="59">
        <v>70.23</v>
      </c>
      <c r="AF24" s="59">
        <v>13.676810035842294</v>
      </c>
      <c r="AG24" s="59">
        <v>83.906810035842298</v>
      </c>
      <c r="AH24" s="42">
        <v>0</v>
      </c>
      <c r="AI24" s="42">
        <v>0</v>
      </c>
      <c r="AJ24" s="59">
        <v>83.906810035842298</v>
      </c>
      <c r="AK24" s="42">
        <v>0</v>
      </c>
      <c r="AL24" s="58">
        <v>34.68</v>
      </c>
      <c r="AM24" s="44">
        <f>SUM(Table.Source[[#This Row],[BUA]:[Garden Area]])</f>
        <v>118.58681003584229</v>
      </c>
      <c r="AN24" s="53">
        <v>24081.537545360814</v>
      </c>
      <c r="AO24" s="53">
        <v>12920</v>
      </c>
      <c r="AP24" s="45">
        <v>0</v>
      </c>
      <c r="AQ24" s="45">
        <v>0</v>
      </c>
      <c r="AR24" s="45">
        <v>0</v>
      </c>
      <c r="AS24" s="46">
        <v>0</v>
      </c>
      <c r="AT24" s="45">
        <v>0</v>
      </c>
      <c r="AU24" s="45">
        <v>0</v>
      </c>
      <c r="AV24" s="45">
        <v>0</v>
      </c>
      <c r="AW24" s="53">
        <v>9384.6588235294112</v>
      </c>
      <c r="AX24" s="53">
        <v>0</v>
      </c>
      <c r="AY24" s="53">
        <v>2281774.5079283156</v>
      </c>
      <c r="AZ24" s="53">
        <v>27194.151546860317</v>
      </c>
      <c r="BA24" s="60">
        <v>7.0000000000000007E-2</v>
      </c>
      <c r="BB24" s="60">
        <v>0.17</v>
      </c>
      <c r="BC24" s="60">
        <v>0</v>
      </c>
      <c r="BD24" s="60">
        <v>7.0000000000000007E-2</v>
      </c>
      <c r="BE24" s="60">
        <v>0</v>
      </c>
      <c r="BF24" s="60"/>
      <c r="BG24" s="60"/>
      <c r="BH24" s="61">
        <v>0.31000000000000005</v>
      </c>
      <c r="BI24" s="53">
        <v>707350.09745777794</v>
      </c>
      <c r="BJ24" s="53">
        <v>4208000</v>
      </c>
      <c r="BK24" s="53">
        <v>50150.875694147799</v>
      </c>
      <c r="BL24" s="53" t="s">
        <v>153</v>
      </c>
      <c r="BM24" s="49">
        <v>0.1</v>
      </c>
      <c r="BN24" s="53"/>
      <c r="BO24" s="49"/>
      <c r="BP24" s="53"/>
      <c r="BQ24" s="49"/>
      <c r="BR24" s="53"/>
      <c r="BS24" s="53"/>
      <c r="BT24" s="53"/>
      <c r="BU24" s="53"/>
      <c r="BV24" s="53"/>
      <c r="BW24" s="53"/>
      <c r="BX24" s="45">
        <v>4208000</v>
      </c>
      <c r="BY24" s="53"/>
      <c r="BZ24" s="53"/>
      <c r="CA24" s="53"/>
      <c r="CB24" s="53"/>
      <c r="CC24" s="53"/>
      <c r="CD24" s="53"/>
      <c r="CE24" s="53"/>
      <c r="CF24" s="49">
        <v>0.09</v>
      </c>
      <c r="CG24" s="45">
        <f>Table.Source[[#This Row],[5 Yrs. Price include club]]*Table.Source[[#This Row],[Maintenance %]]</f>
        <v>378720</v>
      </c>
      <c r="CH24" s="46"/>
      <c r="CI24" s="12"/>
      <c r="CJ24" s="60"/>
      <c r="CK24" s="45"/>
      <c r="CL24" s="50" t="s">
        <v>154</v>
      </c>
      <c r="CM24" s="50"/>
      <c r="CN24" s="51"/>
      <c r="CO24" s="51"/>
      <c r="CP24" s="51"/>
      <c r="CQ24" s="51"/>
      <c r="CR24" s="51"/>
      <c r="CS24" s="1"/>
      <c r="CT24" s="12"/>
      <c r="CU24" s="53"/>
      <c r="CV24" s="61"/>
      <c r="CW24" s="51"/>
      <c r="CX24" s="1">
        <v>6</v>
      </c>
      <c r="CY24" s="51"/>
      <c r="CZ24" s="51">
        <f t="shared" ca="1" si="0"/>
        <v>46254</v>
      </c>
      <c r="DA24" s="51"/>
      <c r="DB24" s="51"/>
      <c r="DC24" s="51" t="s">
        <v>155</v>
      </c>
      <c r="DD24" s="53"/>
      <c r="DE24" s="51"/>
      <c r="DF24" s="1"/>
      <c r="DG24" s="1" t="s">
        <v>156</v>
      </c>
      <c r="DH24" s="53">
        <f>IF(Table.Source[[#This Row],[Contract Value]]&lt;&gt;0,Table.Source[[#This Row],[Contract Value]],Table.Source[[#This Row],[Interest Free Unit Price
include club]])</f>
        <v>4208000</v>
      </c>
      <c r="DI24" s="53">
        <f>Table.Source[[#This Row],[Sales Value ]]/Table.Source[[#This Row],[Sellable Area without Roof (Gross Area)]]</f>
        <v>50150.875694147799</v>
      </c>
      <c r="DJ24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72 : 98</v>
      </c>
      <c r="DK24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4" s="62" t="str">
        <f>IF(Table.Source[[#This Row],[Reservation Date]]=0,"Inventory",YEAR(Table.Source[[#This Row],[Reservation Date]]))</f>
        <v>Inventory</v>
      </c>
      <c r="DM24" s="1" t="str">
        <f>IF(Table.Source[[#This Row],[Status]]="Contracted","Sold","Unsold")</f>
        <v>Unsold</v>
      </c>
      <c r="DN24" s="53">
        <f>Table.Source[[#This Row],[Sales Value ]]/IF(YEAR(Table.Source[[#This Row],[Reservation Date]])=$DN$4,MONTH(MAX(Table.Source[Reservation Date])),12)</f>
        <v>4208000</v>
      </c>
    </row>
    <row r="25" spans="3:118" x14ac:dyDescent="0.25">
      <c r="C25" s="35" t="s">
        <v>141</v>
      </c>
      <c r="D25" s="35" t="s">
        <v>142</v>
      </c>
      <c r="E25" s="1" t="s">
        <v>143</v>
      </c>
      <c r="F25" s="1"/>
      <c r="G25" s="1"/>
      <c r="H25" s="35" t="s">
        <v>144</v>
      </c>
      <c r="I25" s="1"/>
      <c r="J25" s="1" t="s">
        <v>193</v>
      </c>
      <c r="K25" s="1" t="s">
        <v>146</v>
      </c>
      <c r="L25" s="1" t="s">
        <v>147</v>
      </c>
      <c r="M25" s="1"/>
      <c r="N25" s="1" t="s">
        <v>164</v>
      </c>
      <c r="O25" s="1" t="s">
        <v>195</v>
      </c>
      <c r="P25" s="1" t="s">
        <v>198</v>
      </c>
      <c r="Q25" s="1">
        <v>1</v>
      </c>
      <c r="R25" s="1" t="s">
        <v>199</v>
      </c>
      <c r="S25" s="1">
        <v>33000751</v>
      </c>
      <c r="T25" s="1" t="s">
        <v>152</v>
      </c>
      <c r="U25" s="1" t="s">
        <v>147</v>
      </c>
      <c r="V25" s="1"/>
      <c r="W25" s="55"/>
      <c r="X25" s="56"/>
      <c r="Y25" s="57">
        <v>97.63</v>
      </c>
      <c r="Z25" s="57">
        <v>6.81</v>
      </c>
      <c r="AA25" s="42">
        <v>0</v>
      </c>
      <c r="AB25" s="57">
        <v>0</v>
      </c>
      <c r="AC25" s="57">
        <v>0</v>
      </c>
      <c r="AD25" s="57">
        <v>0</v>
      </c>
      <c r="AE25" s="59">
        <v>104.44</v>
      </c>
      <c r="AF25" s="59">
        <v>20.338972520908015</v>
      </c>
      <c r="AG25" s="59">
        <v>124.77897252090801</v>
      </c>
      <c r="AH25" s="42">
        <v>0</v>
      </c>
      <c r="AI25" s="42">
        <v>0</v>
      </c>
      <c r="AJ25" s="59">
        <v>124.77897252090801</v>
      </c>
      <c r="AK25" s="42">
        <v>0</v>
      </c>
      <c r="AL25" s="58">
        <v>0</v>
      </c>
      <c r="AM25" s="44">
        <f>SUM(Table.Source[[#This Row],[BUA]:[Garden Area]])</f>
        <v>124.77897252090801</v>
      </c>
      <c r="AN25" s="53">
        <v>21856.138394568952</v>
      </c>
      <c r="AO25" s="53">
        <v>11620</v>
      </c>
      <c r="AP25" s="45">
        <v>0</v>
      </c>
      <c r="AQ25" s="45">
        <v>0</v>
      </c>
      <c r="AR25" s="45">
        <v>0</v>
      </c>
      <c r="AS25" s="46">
        <v>0</v>
      </c>
      <c r="AT25" s="45">
        <v>0</v>
      </c>
      <c r="AU25" s="45">
        <v>0</v>
      </c>
      <c r="AV25" s="45">
        <v>0</v>
      </c>
      <c r="AW25" s="53">
        <v>0</v>
      </c>
      <c r="AX25" s="53">
        <v>0</v>
      </c>
      <c r="AY25" s="53">
        <v>2657478.3896820676</v>
      </c>
      <c r="AZ25" s="53">
        <v>21297.485754154448</v>
      </c>
      <c r="BA25" s="60">
        <v>0.02</v>
      </c>
      <c r="BB25" s="60">
        <v>0</v>
      </c>
      <c r="BC25" s="60">
        <v>2.5000000000000001E-2</v>
      </c>
      <c r="BD25" s="60">
        <v>0</v>
      </c>
      <c r="BE25" s="60">
        <v>0</v>
      </c>
      <c r="BF25" s="60"/>
      <c r="BG25" s="60"/>
      <c r="BH25" s="61">
        <v>4.4999999999999998E-2</v>
      </c>
      <c r="BI25" s="53">
        <v>119586.52753569304</v>
      </c>
      <c r="BJ25" s="53">
        <v>3921000</v>
      </c>
      <c r="BK25" s="53">
        <v>31423.563768671007</v>
      </c>
      <c r="BL25" s="53" t="s">
        <v>153</v>
      </c>
      <c r="BM25" s="49">
        <v>0.1</v>
      </c>
      <c r="BN25" s="53"/>
      <c r="BO25" s="49"/>
      <c r="BP25" s="53"/>
      <c r="BQ25" s="49"/>
      <c r="BR25" s="53"/>
      <c r="BS25" s="53"/>
      <c r="BT25" s="53"/>
      <c r="BU25" s="53"/>
      <c r="BV25" s="53"/>
      <c r="BW25" s="53"/>
      <c r="BX25" s="45">
        <v>3921000</v>
      </c>
      <c r="BY25" s="53"/>
      <c r="BZ25" s="53"/>
      <c r="CA25" s="53"/>
      <c r="CB25" s="53"/>
      <c r="CC25" s="53"/>
      <c r="CD25" s="53"/>
      <c r="CE25" s="53"/>
      <c r="CF25" s="49">
        <v>0.09</v>
      </c>
      <c r="CG25" s="45">
        <f>Table.Source[[#This Row],[5 Yrs. Price include club]]*Table.Source[[#This Row],[Maintenance %]]</f>
        <v>352890</v>
      </c>
      <c r="CH25" s="46"/>
      <c r="CI25" s="12"/>
      <c r="CJ25" s="60"/>
      <c r="CK25" s="45"/>
      <c r="CL25" s="50" t="s">
        <v>154</v>
      </c>
      <c r="CM25" s="50"/>
      <c r="CN25" s="51"/>
      <c r="CO25" s="51"/>
      <c r="CP25" s="51"/>
      <c r="CQ25" s="51"/>
      <c r="CR25" s="51"/>
      <c r="CS25" s="1"/>
      <c r="CT25" s="12"/>
      <c r="CU25" s="53"/>
      <c r="CV25" s="61"/>
      <c r="CW25" s="51"/>
      <c r="CX25" s="1">
        <v>6</v>
      </c>
      <c r="CY25" s="51"/>
      <c r="CZ25" s="51">
        <f t="shared" ca="1" si="0"/>
        <v>46254</v>
      </c>
      <c r="DA25" s="51"/>
      <c r="DB25" s="51"/>
      <c r="DC25" s="51" t="s">
        <v>155</v>
      </c>
      <c r="DD25" s="53"/>
      <c r="DE25" s="51"/>
      <c r="DF25" s="1"/>
      <c r="DG25" s="1" t="s">
        <v>156</v>
      </c>
      <c r="DH25" s="53">
        <f>IF(Table.Source[[#This Row],[Contract Value]]&lt;&gt;0,Table.Source[[#This Row],[Contract Value]],Table.Source[[#This Row],[Interest Free Unit Price
include club]])</f>
        <v>3921000</v>
      </c>
      <c r="DI25" s="53">
        <f>Table.Source[[#This Row],[Sales Value ]]/Table.Source[[#This Row],[Sellable Area without Roof (Gross Area)]]</f>
        <v>31423.563768671007</v>
      </c>
      <c r="DJ25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25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5" s="62" t="str">
        <f>IF(Table.Source[[#This Row],[Reservation Date]]=0,"Inventory",YEAR(Table.Source[[#This Row],[Reservation Date]]))</f>
        <v>Inventory</v>
      </c>
      <c r="DM25" s="1" t="str">
        <f>IF(Table.Source[[#This Row],[Status]]="Contracted","Sold","Unsold")</f>
        <v>Unsold</v>
      </c>
      <c r="DN25" s="53">
        <f>Table.Source[[#This Row],[Sales Value ]]/IF(YEAR(Table.Source[[#This Row],[Reservation Date]])=$DN$4,MONTH(MAX(Table.Source[Reservation Date])),12)</f>
        <v>3921000</v>
      </c>
    </row>
    <row r="26" spans="3:118" x14ac:dyDescent="0.25">
      <c r="C26" s="35" t="s">
        <v>141</v>
      </c>
      <c r="D26" s="35" t="s">
        <v>142</v>
      </c>
      <c r="E26" s="1" t="s">
        <v>143</v>
      </c>
      <c r="F26" s="1"/>
      <c r="G26" s="1"/>
      <c r="H26" s="35" t="s">
        <v>144</v>
      </c>
      <c r="I26" s="1"/>
      <c r="J26" s="1" t="s">
        <v>193</v>
      </c>
      <c r="K26" s="1" t="s">
        <v>146</v>
      </c>
      <c r="L26" s="1" t="s">
        <v>194</v>
      </c>
      <c r="M26" s="1"/>
      <c r="N26" s="1" t="s">
        <v>161</v>
      </c>
      <c r="O26" s="1" t="s">
        <v>195</v>
      </c>
      <c r="P26" s="1" t="s">
        <v>200</v>
      </c>
      <c r="Q26" s="1">
        <v>2</v>
      </c>
      <c r="R26" s="1" t="s">
        <v>201</v>
      </c>
      <c r="S26" s="1">
        <v>33000753</v>
      </c>
      <c r="T26" s="1" t="s">
        <v>152</v>
      </c>
      <c r="U26" s="1" t="s">
        <v>194</v>
      </c>
      <c r="V26" s="1"/>
      <c r="W26" s="55"/>
      <c r="X26" s="56"/>
      <c r="Y26" s="57">
        <v>63.46</v>
      </c>
      <c r="Z26" s="57">
        <v>4.4800000000000004</v>
      </c>
      <c r="AA26" s="42">
        <v>0</v>
      </c>
      <c r="AB26" s="57">
        <v>0</v>
      </c>
      <c r="AC26" s="57">
        <v>0</v>
      </c>
      <c r="AD26" s="57">
        <v>0</v>
      </c>
      <c r="AE26" s="59">
        <v>67.94</v>
      </c>
      <c r="AF26" s="59">
        <v>13.230848267622463</v>
      </c>
      <c r="AG26" s="59">
        <v>81.170848267622461</v>
      </c>
      <c r="AH26" s="42">
        <v>0</v>
      </c>
      <c r="AI26" s="42">
        <v>0</v>
      </c>
      <c r="AJ26" s="59">
        <v>81.170848267622461</v>
      </c>
      <c r="AK26" s="42">
        <v>0</v>
      </c>
      <c r="AL26" s="58">
        <v>0</v>
      </c>
      <c r="AM26" s="44">
        <f>SUM(Table.Source[[#This Row],[BUA]:[Garden Area]])</f>
        <v>81.170848267622461</v>
      </c>
      <c r="AN26" s="53">
        <v>24195.323762615626</v>
      </c>
      <c r="AO26" s="53">
        <v>12920</v>
      </c>
      <c r="AP26" s="45">
        <v>0</v>
      </c>
      <c r="AQ26" s="45">
        <v>0</v>
      </c>
      <c r="AR26" s="45">
        <v>0</v>
      </c>
      <c r="AS26" s="46">
        <v>0</v>
      </c>
      <c r="AT26" s="45">
        <v>0</v>
      </c>
      <c r="AU26" s="45">
        <v>0</v>
      </c>
      <c r="AV26" s="45">
        <v>0</v>
      </c>
      <c r="AW26" s="53">
        <v>0</v>
      </c>
      <c r="AX26" s="53">
        <v>0</v>
      </c>
      <c r="AY26" s="53">
        <v>1913441.5034647554</v>
      </c>
      <c r="AZ26" s="53">
        <v>23573.013517809835</v>
      </c>
      <c r="BA26" s="60">
        <v>7.0000000000000007E-2</v>
      </c>
      <c r="BB26" s="60">
        <v>0.17</v>
      </c>
      <c r="BC26" s="60">
        <v>7.0000000000000007E-2</v>
      </c>
      <c r="BD26" s="60">
        <v>7.0000000000000007E-2</v>
      </c>
      <c r="BE26" s="60">
        <v>0</v>
      </c>
      <c r="BF26" s="60"/>
      <c r="BG26" s="60"/>
      <c r="BH26" s="61">
        <v>0.38000000000000006</v>
      </c>
      <c r="BI26" s="53">
        <v>727107.77131660713</v>
      </c>
      <c r="BJ26" s="53">
        <v>3737000</v>
      </c>
      <c r="BK26" s="53">
        <v>46038.695908154252</v>
      </c>
      <c r="BL26" s="53" t="s">
        <v>153</v>
      </c>
      <c r="BM26" s="49">
        <v>0.1</v>
      </c>
      <c r="BN26" s="53"/>
      <c r="BO26" s="49"/>
      <c r="BP26" s="53"/>
      <c r="BQ26" s="49"/>
      <c r="BR26" s="53"/>
      <c r="BS26" s="53"/>
      <c r="BT26" s="53"/>
      <c r="BU26" s="53"/>
      <c r="BV26" s="53"/>
      <c r="BW26" s="53"/>
      <c r="BX26" s="45">
        <v>3737000</v>
      </c>
      <c r="BY26" s="53"/>
      <c r="BZ26" s="53"/>
      <c r="CA26" s="53"/>
      <c r="CB26" s="53"/>
      <c r="CC26" s="53"/>
      <c r="CD26" s="53"/>
      <c r="CE26" s="53"/>
      <c r="CF26" s="49">
        <v>0.09</v>
      </c>
      <c r="CG26" s="45">
        <f>Table.Source[[#This Row],[5 Yrs. Price include club]]*Table.Source[[#This Row],[Maintenance %]]</f>
        <v>336330</v>
      </c>
      <c r="CH26" s="46"/>
      <c r="CI26" s="12"/>
      <c r="CJ26" s="60"/>
      <c r="CK26" s="45"/>
      <c r="CL26" s="50" t="s">
        <v>154</v>
      </c>
      <c r="CM26" s="50"/>
      <c r="CN26" s="51"/>
      <c r="CO26" s="51"/>
      <c r="CP26" s="51"/>
      <c r="CQ26" s="51"/>
      <c r="CR26" s="51"/>
      <c r="CS26" s="1"/>
      <c r="CT26" s="12"/>
      <c r="CU26" s="53"/>
      <c r="CV26" s="61"/>
      <c r="CW26" s="51"/>
      <c r="CX26" s="1">
        <v>6</v>
      </c>
      <c r="CY26" s="51"/>
      <c r="CZ26" s="51">
        <f t="shared" ca="1" si="0"/>
        <v>46254</v>
      </c>
      <c r="DA26" s="51"/>
      <c r="DB26" s="51"/>
      <c r="DC26" s="51" t="s">
        <v>155</v>
      </c>
      <c r="DD26" s="53"/>
      <c r="DE26" s="51"/>
      <c r="DF26" s="1"/>
      <c r="DG26" s="1" t="s">
        <v>156</v>
      </c>
      <c r="DH26" s="53">
        <f>IF(Table.Source[[#This Row],[Contract Value]]&lt;&gt;0,Table.Source[[#This Row],[Contract Value]],Table.Source[[#This Row],[Interest Free Unit Price
include club]])</f>
        <v>3737000</v>
      </c>
      <c r="DI26" s="53">
        <f>Table.Source[[#This Row],[Sales Value ]]/Table.Source[[#This Row],[Sellable Area without Roof (Gross Area)]]</f>
        <v>46038.695908154252</v>
      </c>
      <c r="DJ26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72 : 98</v>
      </c>
      <c r="DK26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6" s="62" t="str">
        <f>IF(Table.Source[[#This Row],[Reservation Date]]=0,"Inventory",YEAR(Table.Source[[#This Row],[Reservation Date]]))</f>
        <v>Inventory</v>
      </c>
      <c r="DM26" s="1" t="str">
        <f>IF(Table.Source[[#This Row],[Status]]="Contracted","Sold","Unsold")</f>
        <v>Unsold</v>
      </c>
      <c r="DN26" s="53">
        <f>Table.Source[[#This Row],[Sales Value ]]/IF(YEAR(Table.Source[[#This Row],[Reservation Date]])=$DN$4,MONTH(MAX(Table.Source[Reservation Date])),12)</f>
        <v>3737000</v>
      </c>
    </row>
    <row r="27" spans="3:118" x14ac:dyDescent="0.25">
      <c r="C27" s="35" t="s">
        <v>141</v>
      </c>
      <c r="D27" s="35" t="s">
        <v>142</v>
      </c>
      <c r="E27" s="1" t="s">
        <v>143</v>
      </c>
      <c r="F27" s="1"/>
      <c r="G27" s="1"/>
      <c r="H27" s="35" t="s">
        <v>144</v>
      </c>
      <c r="I27" s="1"/>
      <c r="J27" s="1" t="s">
        <v>193</v>
      </c>
      <c r="K27" s="1" t="s">
        <v>146</v>
      </c>
      <c r="L27" s="1" t="s">
        <v>194</v>
      </c>
      <c r="M27" s="1"/>
      <c r="N27" s="1" t="s">
        <v>161</v>
      </c>
      <c r="O27" s="1" t="s">
        <v>195</v>
      </c>
      <c r="P27" s="1" t="s">
        <v>202</v>
      </c>
      <c r="Q27" s="1">
        <v>3</v>
      </c>
      <c r="R27" s="1" t="s">
        <v>203</v>
      </c>
      <c r="S27" s="1">
        <v>33000756</v>
      </c>
      <c r="T27" s="1" t="s">
        <v>152</v>
      </c>
      <c r="U27" s="1" t="s">
        <v>194</v>
      </c>
      <c r="V27" s="1"/>
      <c r="W27" s="55"/>
      <c r="X27" s="56"/>
      <c r="Y27" s="57">
        <v>63.46</v>
      </c>
      <c r="Z27" s="57">
        <v>4.4800000000000004</v>
      </c>
      <c r="AA27" s="42">
        <v>0</v>
      </c>
      <c r="AB27" s="57">
        <v>0</v>
      </c>
      <c r="AC27" s="57">
        <v>0</v>
      </c>
      <c r="AD27" s="57">
        <v>0</v>
      </c>
      <c r="AE27" s="59">
        <v>67.94</v>
      </c>
      <c r="AF27" s="59">
        <v>13.230848267622463</v>
      </c>
      <c r="AG27" s="59">
        <v>81.170848267622461</v>
      </c>
      <c r="AH27" s="42">
        <v>0</v>
      </c>
      <c r="AI27" s="42">
        <v>0</v>
      </c>
      <c r="AJ27" s="59">
        <v>81.170848267622461</v>
      </c>
      <c r="AK27" s="42">
        <v>0</v>
      </c>
      <c r="AL27" s="58">
        <v>0</v>
      </c>
      <c r="AM27" s="44">
        <f>SUM(Table.Source[[#This Row],[BUA]:[Garden Area]])</f>
        <v>81.170848267622461</v>
      </c>
      <c r="AN27" s="53">
        <v>24195.323762615626</v>
      </c>
      <c r="AO27" s="53">
        <v>12920</v>
      </c>
      <c r="AP27" s="45">
        <v>0</v>
      </c>
      <c r="AQ27" s="45">
        <v>0</v>
      </c>
      <c r="AR27" s="45">
        <v>0</v>
      </c>
      <c r="AS27" s="46">
        <v>0</v>
      </c>
      <c r="AT27" s="45">
        <v>0</v>
      </c>
      <c r="AU27" s="45">
        <v>0</v>
      </c>
      <c r="AV27" s="45">
        <v>0</v>
      </c>
      <c r="AW27" s="53">
        <v>0</v>
      </c>
      <c r="AX27" s="53">
        <v>0</v>
      </c>
      <c r="AY27" s="53">
        <v>1913441.5034647554</v>
      </c>
      <c r="AZ27" s="53">
        <v>23573.013517809835</v>
      </c>
      <c r="BA27" s="60">
        <v>7.0000000000000007E-2</v>
      </c>
      <c r="BB27" s="60">
        <v>0.17</v>
      </c>
      <c r="BC27" s="60">
        <v>7.4999999999999997E-2</v>
      </c>
      <c r="BD27" s="60">
        <v>7.0000000000000007E-2</v>
      </c>
      <c r="BE27" s="60">
        <v>0</v>
      </c>
      <c r="BF27" s="60"/>
      <c r="BG27" s="60"/>
      <c r="BH27" s="61">
        <v>0.38500000000000001</v>
      </c>
      <c r="BI27" s="53">
        <v>736674.9788339308</v>
      </c>
      <c r="BJ27" s="53">
        <v>3750000</v>
      </c>
      <c r="BK27" s="53">
        <v>46198.85192817192</v>
      </c>
      <c r="BL27" s="53" t="s">
        <v>153</v>
      </c>
      <c r="BM27" s="49">
        <v>0.1</v>
      </c>
      <c r="BN27" s="53"/>
      <c r="BO27" s="49"/>
      <c r="BP27" s="53"/>
      <c r="BQ27" s="49"/>
      <c r="BR27" s="53"/>
      <c r="BS27" s="53"/>
      <c r="BT27" s="53"/>
      <c r="BU27" s="53"/>
      <c r="BV27" s="53"/>
      <c r="BW27" s="53"/>
      <c r="BX27" s="45">
        <v>3750000</v>
      </c>
      <c r="BY27" s="53"/>
      <c r="BZ27" s="53"/>
      <c r="CA27" s="53"/>
      <c r="CB27" s="53"/>
      <c r="CC27" s="53"/>
      <c r="CD27" s="53"/>
      <c r="CE27" s="53"/>
      <c r="CF27" s="49">
        <v>0.09</v>
      </c>
      <c r="CG27" s="45">
        <f>Table.Source[[#This Row],[5 Yrs. Price include club]]*Table.Source[[#This Row],[Maintenance %]]</f>
        <v>337500</v>
      </c>
      <c r="CH27" s="46"/>
      <c r="CI27" s="12"/>
      <c r="CJ27" s="60"/>
      <c r="CK27" s="45"/>
      <c r="CL27" s="50" t="s">
        <v>154</v>
      </c>
      <c r="CM27" s="50"/>
      <c r="CN27" s="51"/>
      <c r="CO27" s="51"/>
      <c r="CP27" s="51"/>
      <c r="CQ27" s="51"/>
      <c r="CR27" s="51"/>
      <c r="CS27" s="1"/>
      <c r="CT27" s="12"/>
      <c r="CU27" s="53"/>
      <c r="CV27" s="61"/>
      <c r="CW27" s="51"/>
      <c r="CX27" s="1">
        <v>6</v>
      </c>
      <c r="CY27" s="51"/>
      <c r="CZ27" s="51">
        <f t="shared" ca="1" si="0"/>
        <v>46254</v>
      </c>
      <c r="DA27" s="51"/>
      <c r="DB27" s="51"/>
      <c r="DC27" s="51" t="s">
        <v>155</v>
      </c>
      <c r="DD27" s="53"/>
      <c r="DE27" s="51"/>
      <c r="DF27" s="1"/>
      <c r="DG27" s="1" t="s">
        <v>156</v>
      </c>
      <c r="DH27" s="53">
        <f>IF(Table.Source[[#This Row],[Contract Value]]&lt;&gt;0,Table.Source[[#This Row],[Contract Value]],Table.Source[[#This Row],[Interest Free Unit Price
include club]])</f>
        <v>3750000</v>
      </c>
      <c r="DI27" s="53">
        <f>Table.Source[[#This Row],[Sales Value ]]/Table.Source[[#This Row],[Sellable Area without Roof (Gross Area)]]</f>
        <v>46198.85192817192</v>
      </c>
      <c r="DJ27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72 : 98</v>
      </c>
      <c r="DK27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7" s="62" t="str">
        <f>IF(Table.Source[[#This Row],[Reservation Date]]=0,"Inventory",YEAR(Table.Source[[#This Row],[Reservation Date]]))</f>
        <v>Inventory</v>
      </c>
      <c r="DM27" s="1" t="str">
        <f>IF(Table.Source[[#This Row],[Status]]="Contracted","Sold","Unsold")</f>
        <v>Unsold</v>
      </c>
      <c r="DN27" s="53">
        <f>Table.Source[[#This Row],[Sales Value ]]/IF(YEAR(Table.Source[[#This Row],[Reservation Date]])=$DN$4,MONTH(MAX(Table.Source[Reservation Date])),12)</f>
        <v>3750000</v>
      </c>
    </row>
    <row r="28" spans="3:118" x14ac:dyDescent="0.25">
      <c r="C28" s="35" t="s">
        <v>141</v>
      </c>
      <c r="D28" s="35" t="s">
        <v>142</v>
      </c>
      <c r="E28" s="1" t="s">
        <v>143</v>
      </c>
      <c r="F28" s="1"/>
      <c r="G28" s="1"/>
      <c r="H28" s="35" t="s">
        <v>144</v>
      </c>
      <c r="I28" s="1"/>
      <c r="J28" s="1" t="s">
        <v>193</v>
      </c>
      <c r="K28" s="35" t="s">
        <v>146</v>
      </c>
      <c r="L28" s="1" t="s">
        <v>147</v>
      </c>
      <c r="M28" s="1"/>
      <c r="N28" s="1" t="s">
        <v>164</v>
      </c>
      <c r="O28" s="1" t="s">
        <v>195</v>
      </c>
      <c r="P28" s="1" t="s">
        <v>204</v>
      </c>
      <c r="Q28" s="1">
        <v>3</v>
      </c>
      <c r="R28" s="1" t="s">
        <v>205</v>
      </c>
      <c r="S28" s="1">
        <v>33000757</v>
      </c>
      <c r="T28" s="1" t="s">
        <v>152</v>
      </c>
      <c r="U28" s="1" t="s">
        <v>147</v>
      </c>
      <c r="V28" s="1"/>
      <c r="W28" s="55"/>
      <c r="X28" s="56"/>
      <c r="Y28" s="57">
        <v>94.81</v>
      </c>
      <c r="Z28" s="57">
        <v>4.4800000000000004</v>
      </c>
      <c r="AA28" s="42">
        <v>0</v>
      </c>
      <c r="AB28" s="57">
        <v>0</v>
      </c>
      <c r="AC28" s="57">
        <v>0</v>
      </c>
      <c r="AD28" s="57">
        <v>0</v>
      </c>
      <c r="AE28" s="59">
        <v>99.29</v>
      </c>
      <c r="AF28" s="59">
        <v>19.336045400238959</v>
      </c>
      <c r="AG28" s="59">
        <v>118.62604540023897</v>
      </c>
      <c r="AH28" s="42">
        <v>0</v>
      </c>
      <c r="AI28" s="42">
        <v>0</v>
      </c>
      <c r="AJ28" s="59">
        <v>118.62604540023897</v>
      </c>
      <c r="AK28" s="42">
        <v>0</v>
      </c>
      <c r="AL28" s="58">
        <v>0</v>
      </c>
      <c r="AM28" s="44">
        <f>SUM(Table.Source[[#This Row],[BUA]:[Garden Area]])</f>
        <v>118.62604540023897</v>
      </c>
      <c r="AN28" s="53">
        <v>22043.671415246085</v>
      </c>
      <c r="AO28" s="53">
        <v>11620</v>
      </c>
      <c r="AP28" s="45">
        <v>0</v>
      </c>
      <c r="AQ28" s="45">
        <v>0</v>
      </c>
      <c r="AR28" s="45">
        <v>0</v>
      </c>
      <c r="AS28" s="46">
        <v>0</v>
      </c>
      <c r="AT28" s="45">
        <v>0</v>
      </c>
      <c r="AU28" s="45">
        <v>0</v>
      </c>
      <c r="AV28" s="45">
        <v>0</v>
      </c>
      <c r="AW28" s="53">
        <v>0</v>
      </c>
      <c r="AX28" s="53">
        <v>0</v>
      </c>
      <c r="AY28" s="53">
        <v>2568255.5181526295</v>
      </c>
      <c r="AZ28" s="53">
        <v>21650.013784809653</v>
      </c>
      <c r="BA28" s="60">
        <v>0.02</v>
      </c>
      <c r="BB28" s="60">
        <v>0</v>
      </c>
      <c r="BC28" s="60">
        <v>7.4999999999999997E-2</v>
      </c>
      <c r="BD28" s="60">
        <v>0</v>
      </c>
      <c r="BE28" s="60">
        <v>0</v>
      </c>
      <c r="BF28" s="60"/>
      <c r="BG28" s="60"/>
      <c r="BH28" s="61">
        <v>9.5000000000000001E-2</v>
      </c>
      <c r="BI28" s="53">
        <v>243984.27422449979</v>
      </c>
      <c r="BJ28" s="53">
        <v>3969000</v>
      </c>
      <c r="BK28" s="53">
        <v>33458.082384933019</v>
      </c>
      <c r="BL28" s="53" t="s">
        <v>153</v>
      </c>
      <c r="BM28" s="49">
        <v>0.1</v>
      </c>
      <c r="BN28" s="53"/>
      <c r="BO28" s="49"/>
      <c r="BP28" s="53"/>
      <c r="BQ28" s="49"/>
      <c r="BR28" s="53"/>
      <c r="BS28" s="53"/>
      <c r="BT28" s="53"/>
      <c r="BU28" s="53"/>
      <c r="BV28" s="53"/>
      <c r="BW28" s="53"/>
      <c r="BX28" s="45">
        <v>3969000</v>
      </c>
      <c r="BY28" s="53"/>
      <c r="BZ28" s="53"/>
      <c r="CA28" s="53"/>
      <c r="CB28" s="53"/>
      <c r="CC28" s="53"/>
      <c r="CD28" s="53"/>
      <c r="CE28" s="53"/>
      <c r="CF28" s="49">
        <v>0.09</v>
      </c>
      <c r="CG28" s="45">
        <f>Table.Source[[#This Row],[5 Yrs. Price include club]]*Table.Source[[#This Row],[Maintenance %]]</f>
        <v>357210</v>
      </c>
      <c r="CH28" s="46"/>
      <c r="CI28" s="12"/>
      <c r="CJ28" s="60"/>
      <c r="CK28" s="45"/>
      <c r="CL28" s="50" t="s">
        <v>154</v>
      </c>
      <c r="CM28" s="50"/>
      <c r="CN28" s="51"/>
      <c r="CO28" s="51"/>
      <c r="CP28" s="51"/>
      <c r="CQ28" s="51"/>
      <c r="CR28" s="51"/>
      <c r="CS28" s="1"/>
      <c r="CT28" s="12"/>
      <c r="CU28" s="53"/>
      <c r="CV28" s="61"/>
      <c r="CW28" s="51"/>
      <c r="CX28" s="1">
        <v>6</v>
      </c>
      <c r="CY28" s="51"/>
      <c r="CZ28" s="51">
        <f t="shared" ca="1" si="0"/>
        <v>46254</v>
      </c>
      <c r="DA28" s="51"/>
      <c r="DB28" s="51"/>
      <c r="DC28" s="51" t="s">
        <v>155</v>
      </c>
      <c r="DD28" s="53"/>
      <c r="DE28" s="51"/>
      <c r="DF28" s="1"/>
      <c r="DG28" s="1" t="s">
        <v>156</v>
      </c>
      <c r="DH28" s="53">
        <f>IF(Table.Source[[#This Row],[Contract Value]]&lt;&gt;0,Table.Source[[#This Row],[Contract Value]],Table.Source[[#This Row],[Interest Free Unit Price
include club]])</f>
        <v>3969000</v>
      </c>
      <c r="DI28" s="53">
        <f>Table.Source[[#This Row],[Sales Value ]]/Table.Source[[#This Row],[Sellable Area without Roof (Gross Area)]]</f>
        <v>33458.082384933019</v>
      </c>
      <c r="DJ28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98 : 123</v>
      </c>
      <c r="DK28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8" s="62" t="str">
        <f>IF(Table.Source[[#This Row],[Reservation Date]]=0,"Inventory",YEAR(Table.Source[[#This Row],[Reservation Date]]))</f>
        <v>Inventory</v>
      </c>
      <c r="DM28" s="1" t="str">
        <f>IF(Table.Source[[#This Row],[Status]]="Contracted","Sold","Unsold")</f>
        <v>Unsold</v>
      </c>
      <c r="DN28" s="53">
        <f>Table.Source[[#This Row],[Sales Value ]]/IF(YEAR(Table.Source[[#This Row],[Reservation Date]])=$DN$4,MONTH(MAX(Table.Source[Reservation Date])),12)</f>
        <v>3969000</v>
      </c>
    </row>
    <row r="29" spans="3:118" x14ac:dyDescent="0.25">
      <c r="C29" s="35" t="s">
        <v>141</v>
      </c>
      <c r="D29" s="35" t="s">
        <v>142</v>
      </c>
      <c r="E29" s="1" t="s">
        <v>143</v>
      </c>
      <c r="F29" s="1"/>
      <c r="G29" s="1"/>
      <c r="H29" s="35" t="s">
        <v>144</v>
      </c>
      <c r="I29" s="1"/>
      <c r="J29" s="1" t="s">
        <v>193</v>
      </c>
      <c r="K29" s="35" t="s">
        <v>146</v>
      </c>
      <c r="L29" s="1" t="s">
        <v>157</v>
      </c>
      <c r="M29" s="1"/>
      <c r="N29" s="1" t="s">
        <v>158</v>
      </c>
      <c r="O29" s="1" t="s">
        <v>195</v>
      </c>
      <c r="P29" s="1" t="s">
        <v>159</v>
      </c>
      <c r="Q29" s="1">
        <v>4</v>
      </c>
      <c r="R29" s="1" t="s">
        <v>206</v>
      </c>
      <c r="S29" s="1">
        <v>33000758</v>
      </c>
      <c r="T29" s="1" t="s">
        <v>152</v>
      </c>
      <c r="U29" s="1" t="s">
        <v>157</v>
      </c>
      <c r="V29" s="1"/>
      <c r="W29" s="55"/>
      <c r="X29" s="56"/>
      <c r="Y29" s="57">
        <v>138.94</v>
      </c>
      <c r="Z29" s="57">
        <v>4.4800000000000004</v>
      </c>
      <c r="AA29" s="42">
        <v>0</v>
      </c>
      <c r="AB29" s="57">
        <v>0</v>
      </c>
      <c r="AC29" s="57">
        <v>0</v>
      </c>
      <c r="AD29" s="57">
        <v>0</v>
      </c>
      <c r="AE29" s="59">
        <v>143.41999999999999</v>
      </c>
      <c r="AF29" s="59">
        <v>27.930059737156512</v>
      </c>
      <c r="AG29" s="59">
        <v>171.3500597371565</v>
      </c>
      <c r="AH29" s="42">
        <v>0</v>
      </c>
      <c r="AI29" s="42">
        <v>0</v>
      </c>
      <c r="AJ29" s="59">
        <v>171.3500597371565</v>
      </c>
      <c r="AK29" s="42">
        <v>0</v>
      </c>
      <c r="AL29" s="58">
        <v>0</v>
      </c>
      <c r="AM29" s="44">
        <f>SUM(Table.Source[[#This Row],[BUA]:[Garden Area]])</f>
        <v>171.3500597371565</v>
      </c>
      <c r="AN29" s="53">
        <v>20263.311477322561</v>
      </c>
      <c r="AO29" s="53">
        <v>10680</v>
      </c>
      <c r="AP29" s="45">
        <v>0</v>
      </c>
      <c r="AQ29" s="45">
        <v>0</v>
      </c>
      <c r="AR29" s="45">
        <v>0</v>
      </c>
      <c r="AS29" s="46">
        <v>0</v>
      </c>
      <c r="AT29" s="45">
        <v>0</v>
      </c>
      <c r="AU29" s="45">
        <v>0</v>
      </c>
      <c r="AV29" s="45">
        <v>0</v>
      </c>
      <c r="AW29" s="53">
        <v>0</v>
      </c>
      <c r="AX29" s="53">
        <v>0</v>
      </c>
      <c r="AY29" s="53">
        <v>3429186.3966934248</v>
      </c>
      <c r="AZ29" s="53">
        <v>20012.752851989935</v>
      </c>
      <c r="BA29" s="60">
        <v>7.0000000000000007E-2</v>
      </c>
      <c r="BB29" s="60">
        <v>0.17</v>
      </c>
      <c r="BC29" s="60">
        <v>0.02</v>
      </c>
      <c r="BD29" s="60">
        <v>7.0000000000000007E-2</v>
      </c>
      <c r="BE29" s="60">
        <v>0</v>
      </c>
      <c r="BF29" s="60"/>
      <c r="BG29" s="60"/>
      <c r="BH29" s="61">
        <v>0.33</v>
      </c>
      <c r="BI29" s="53">
        <v>1131631.5109088302</v>
      </c>
      <c r="BJ29" s="53">
        <v>6330000</v>
      </c>
      <c r="BK29" s="53">
        <v>36941.918839771301</v>
      </c>
      <c r="BL29" s="53" t="s">
        <v>153</v>
      </c>
      <c r="BM29" s="49">
        <v>0.1</v>
      </c>
      <c r="BN29" s="53"/>
      <c r="BO29" s="49"/>
      <c r="BP29" s="53"/>
      <c r="BQ29" s="49"/>
      <c r="BR29" s="53"/>
      <c r="BS29" s="53"/>
      <c r="BT29" s="53"/>
      <c r="BU29" s="53"/>
      <c r="BV29" s="53"/>
      <c r="BW29" s="53"/>
      <c r="BX29" s="45">
        <v>6330000</v>
      </c>
      <c r="BY29" s="53"/>
      <c r="BZ29" s="53"/>
      <c r="CA29" s="53"/>
      <c r="CB29" s="53"/>
      <c r="CC29" s="53"/>
      <c r="CD29" s="53"/>
      <c r="CE29" s="53"/>
      <c r="CF29" s="49">
        <v>0.09</v>
      </c>
      <c r="CG29" s="45">
        <f>Table.Source[[#This Row],[5 Yrs. Price include club]]*Table.Source[[#This Row],[Maintenance %]]</f>
        <v>569700</v>
      </c>
      <c r="CH29" s="46"/>
      <c r="CI29" s="12"/>
      <c r="CJ29" s="60"/>
      <c r="CK29" s="45"/>
      <c r="CL29" s="50" t="s">
        <v>154</v>
      </c>
      <c r="CM29" s="50"/>
      <c r="CN29" s="51"/>
      <c r="CO29" s="51"/>
      <c r="CP29" s="51"/>
      <c r="CQ29" s="51"/>
      <c r="CR29" s="51"/>
      <c r="CS29" s="1"/>
      <c r="CT29" s="12"/>
      <c r="CU29" s="53"/>
      <c r="CV29" s="61"/>
      <c r="CW29" s="51"/>
      <c r="CX29" s="1">
        <v>6</v>
      </c>
      <c r="CY29" s="51"/>
      <c r="CZ29" s="51">
        <f t="shared" ca="1" si="0"/>
        <v>46254</v>
      </c>
      <c r="DA29" s="51"/>
      <c r="DB29" s="51"/>
      <c r="DC29" s="51" t="s">
        <v>155</v>
      </c>
      <c r="DD29" s="53"/>
      <c r="DE29" s="51"/>
      <c r="DF29" s="1"/>
      <c r="DG29" s="1" t="s">
        <v>156</v>
      </c>
      <c r="DH29" s="53">
        <f>IF(Table.Source[[#This Row],[Contract Value]]&lt;&gt;0,Table.Source[[#This Row],[Contract Value]],Table.Source[[#This Row],[Interest Free Unit Price
include club]])</f>
        <v>6330000</v>
      </c>
      <c r="DI29" s="53">
        <f>Table.Source[[#This Row],[Sales Value ]]/Table.Source[[#This Row],[Sellable Area without Roof (Gross Area)]]</f>
        <v>36941.918839771301</v>
      </c>
      <c r="DJ29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29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29" s="62" t="str">
        <f>IF(Table.Source[[#This Row],[Reservation Date]]=0,"Inventory",YEAR(Table.Source[[#This Row],[Reservation Date]]))</f>
        <v>Inventory</v>
      </c>
      <c r="DM29" s="1" t="str">
        <f>IF(Table.Source[[#This Row],[Status]]="Contracted","Sold","Unsold")</f>
        <v>Unsold</v>
      </c>
      <c r="DN29" s="53">
        <f>Table.Source[[#This Row],[Sales Value ]]/IF(YEAR(Table.Source[[#This Row],[Reservation Date]])=$DN$4,MONTH(MAX(Table.Source[Reservation Date])),12)</f>
        <v>6330000</v>
      </c>
    </row>
    <row r="30" spans="3:118" x14ac:dyDescent="0.25">
      <c r="C30" s="35" t="s">
        <v>141</v>
      </c>
      <c r="D30" s="35" t="s">
        <v>142</v>
      </c>
      <c r="E30" s="1" t="s">
        <v>143</v>
      </c>
      <c r="F30" s="1"/>
      <c r="G30" s="1"/>
      <c r="H30" s="35" t="s">
        <v>144</v>
      </c>
      <c r="I30" s="1"/>
      <c r="J30" s="1" t="s">
        <v>193</v>
      </c>
      <c r="K30" s="35" t="s">
        <v>146</v>
      </c>
      <c r="L30" s="1" t="s">
        <v>194</v>
      </c>
      <c r="M30" s="1"/>
      <c r="N30" s="1" t="s">
        <v>161</v>
      </c>
      <c r="O30" s="1" t="s">
        <v>195</v>
      </c>
      <c r="P30" s="1" t="s">
        <v>162</v>
      </c>
      <c r="Q30" s="1">
        <v>4</v>
      </c>
      <c r="R30" s="1" t="s">
        <v>207</v>
      </c>
      <c r="S30" s="1">
        <v>33000759</v>
      </c>
      <c r="T30" s="1" t="s">
        <v>152</v>
      </c>
      <c r="U30" s="1" t="s">
        <v>194</v>
      </c>
      <c r="V30" s="1"/>
      <c r="W30" s="55"/>
      <c r="X30" s="56"/>
      <c r="Y30" s="57">
        <v>63.46</v>
      </c>
      <c r="Z30" s="57">
        <v>4.4800000000000004</v>
      </c>
      <c r="AA30" s="42">
        <v>0</v>
      </c>
      <c r="AB30" s="57">
        <v>0</v>
      </c>
      <c r="AC30" s="57">
        <v>0</v>
      </c>
      <c r="AD30" s="57">
        <v>0</v>
      </c>
      <c r="AE30" s="59">
        <v>67.94</v>
      </c>
      <c r="AF30" s="59">
        <v>13.230848267622463</v>
      </c>
      <c r="AG30" s="59">
        <v>81.170848267622461</v>
      </c>
      <c r="AH30" s="42">
        <v>0</v>
      </c>
      <c r="AI30" s="42">
        <v>0</v>
      </c>
      <c r="AJ30" s="59">
        <v>81.170848267622461</v>
      </c>
      <c r="AK30" s="42">
        <v>0</v>
      </c>
      <c r="AL30" s="58">
        <v>0</v>
      </c>
      <c r="AM30" s="44">
        <f>SUM(Table.Source[[#This Row],[BUA]:[Garden Area]])</f>
        <v>81.170848267622461</v>
      </c>
      <c r="AN30" s="53">
        <v>24195.323762615626</v>
      </c>
      <c r="AO30" s="53">
        <v>12920</v>
      </c>
      <c r="AP30" s="45">
        <v>0</v>
      </c>
      <c r="AQ30" s="45">
        <v>0</v>
      </c>
      <c r="AR30" s="45">
        <v>0</v>
      </c>
      <c r="AS30" s="46">
        <v>0</v>
      </c>
      <c r="AT30" s="45">
        <v>0</v>
      </c>
      <c r="AU30" s="45">
        <v>0</v>
      </c>
      <c r="AV30" s="45">
        <v>0</v>
      </c>
      <c r="AW30" s="53">
        <v>0</v>
      </c>
      <c r="AX30" s="53">
        <v>0</v>
      </c>
      <c r="AY30" s="53">
        <v>1913441.5034647554</v>
      </c>
      <c r="AZ30" s="53">
        <v>23573.013517809835</v>
      </c>
      <c r="BA30" s="60">
        <v>7.0000000000000007E-2</v>
      </c>
      <c r="BB30" s="60">
        <v>0.17</v>
      </c>
      <c r="BC30" s="60">
        <v>0.02</v>
      </c>
      <c r="BD30" s="60">
        <v>7.0000000000000007E-2</v>
      </c>
      <c r="BE30" s="60">
        <v>0</v>
      </c>
      <c r="BF30" s="60"/>
      <c r="BG30" s="60"/>
      <c r="BH30" s="61">
        <v>0.33</v>
      </c>
      <c r="BI30" s="53">
        <v>631435.69614336931</v>
      </c>
      <c r="BJ30" s="53">
        <v>3608000</v>
      </c>
      <c r="BK30" s="53">
        <v>44449.455401825144</v>
      </c>
      <c r="BL30" s="53" t="s">
        <v>153</v>
      </c>
      <c r="BM30" s="49">
        <v>0.1</v>
      </c>
      <c r="BN30" s="53"/>
      <c r="BO30" s="49"/>
      <c r="BP30" s="53"/>
      <c r="BQ30" s="49"/>
      <c r="BR30" s="53"/>
      <c r="BS30" s="53"/>
      <c r="BT30" s="53"/>
      <c r="BU30" s="53"/>
      <c r="BV30" s="53"/>
      <c r="BW30" s="53"/>
      <c r="BX30" s="45">
        <v>3608000</v>
      </c>
      <c r="BY30" s="53"/>
      <c r="BZ30" s="53"/>
      <c r="CA30" s="53"/>
      <c r="CB30" s="53"/>
      <c r="CC30" s="53"/>
      <c r="CD30" s="53"/>
      <c r="CE30" s="53"/>
      <c r="CF30" s="49">
        <v>0.09</v>
      </c>
      <c r="CG30" s="45">
        <f>Table.Source[[#This Row],[5 Yrs. Price include club]]*Table.Source[[#This Row],[Maintenance %]]</f>
        <v>324720</v>
      </c>
      <c r="CH30" s="46"/>
      <c r="CI30" s="12"/>
      <c r="CJ30" s="60"/>
      <c r="CK30" s="45"/>
      <c r="CL30" s="50" t="s">
        <v>154</v>
      </c>
      <c r="CM30" s="50"/>
      <c r="CN30" s="51"/>
      <c r="CO30" s="51"/>
      <c r="CP30" s="51"/>
      <c r="CQ30" s="51"/>
      <c r="CR30" s="51"/>
      <c r="CS30" s="1"/>
      <c r="CT30" s="12"/>
      <c r="CU30" s="53"/>
      <c r="CV30" s="61"/>
      <c r="CW30" s="51"/>
      <c r="CX30" s="1">
        <v>6</v>
      </c>
      <c r="CY30" s="51"/>
      <c r="CZ30" s="51">
        <f t="shared" ca="1" si="0"/>
        <v>46254</v>
      </c>
      <c r="DA30" s="51"/>
      <c r="DB30" s="51"/>
      <c r="DC30" s="51" t="s">
        <v>155</v>
      </c>
      <c r="DD30" s="53"/>
      <c r="DE30" s="51"/>
      <c r="DF30" s="1"/>
      <c r="DG30" s="1" t="s">
        <v>156</v>
      </c>
      <c r="DH30" s="53">
        <f>IF(Table.Source[[#This Row],[Contract Value]]&lt;&gt;0,Table.Source[[#This Row],[Contract Value]],Table.Source[[#This Row],[Interest Free Unit Price
include club]])</f>
        <v>3608000</v>
      </c>
      <c r="DI30" s="53">
        <f>Table.Source[[#This Row],[Sales Value ]]/Table.Source[[#This Row],[Sellable Area without Roof (Gross Area)]]</f>
        <v>44449.455401825144</v>
      </c>
      <c r="DJ30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72 : 98</v>
      </c>
      <c r="DK30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30" s="62" t="str">
        <f>IF(Table.Source[[#This Row],[Reservation Date]]=0,"Inventory",YEAR(Table.Source[[#This Row],[Reservation Date]]))</f>
        <v>Inventory</v>
      </c>
      <c r="DM30" s="1" t="str">
        <f>IF(Table.Source[[#This Row],[Status]]="Contracted","Sold","Unsold")</f>
        <v>Unsold</v>
      </c>
      <c r="DN30" s="53">
        <f>Table.Source[[#This Row],[Sales Value ]]/IF(YEAR(Table.Source[[#This Row],[Reservation Date]])=$DN$4,MONTH(MAX(Table.Source[Reservation Date])),12)</f>
        <v>3608000</v>
      </c>
    </row>
    <row r="31" spans="3:118" x14ac:dyDescent="0.25">
      <c r="C31" s="35" t="s">
        <v>141</v>
      </c>
      <c r="D31" s="35" t="s">
        <v>142</v>
      </c>
      <c r="E31" s="1" t="s">
        <v>143</v>
      </c>
      <c r="F31" s="1"/>
      <c r="G31" s="1"/>
      <c r="H31" s="35" t="s">
        <v>144</v>
      </c>
      <c r="I31" s="1"/>
      <c r="J31" s="1" t="s">
        <v>193</v>
      </c>
      <c r="K31" s="35" t="s">
        <v>167</v>
      </c>
      <c r="L31" s="1" t="s">
        <v>194</v>
      </c>
      <c r="M31" s="1"/>
      <c r="N31" s="1" t="s">
        <v>158</v>
      </c>
      <c r="O31" s="1" t="s">
        <v>208</v>
      </c>
      <c r="P31" s="1" t="s">
        <v>209</v>
      </c>
      <c r="Q31" s="1" t="s">
        <v>170</v>
      </c>
      <c r="R31" s="1" t="s">
        <v>210</v>
      </c>
      <c r="S31" s="1">
        <v>33000763</v>
      </c>
      <c r="T31" s="1" t="s">
        <v>152</v>
      </c>
      <c r="U31" s="1" t="s">
        <v>194</v>
      </c>
      <c r="V31" s="1"/>
      <c r="W31" s="55"/>
      <c r="X31" s="56"/>
      <c r="Y31" s="57">
        <v>60.42</v>
      </c>
      <c r="Z31" s="57">
        <v>0</v>
      </c>
      <c r="AA31" s="42">
        <v>0</v>
      </c>
      <c r="AB31" s="57">
        <v>0</v>
      </c>
      <c r="AC31" s="57">
        <v>0</v>
      </c>
      <c r="AD31" s="57">
        <v>0</v>
      </c>
      <c r="AE31" s="59">
        <v>60.42</v>
      </c>
      <c r="AF31" s="59">
        <v>11.766379928315416</v>
      </c>
      <c r="AG31" s="59">
        <v>72.186379928315418</v>
      </c>
      <c r="AH31" s="42">
        <v>0</v>
      </c>
      <c r="AI31" s="42">
        <v>0</v>
      </c>
      <c r="AJ31" s="59">
        <v>72.186379928315418</v>
      </c>
      <c r="AK31" s="42">
        <v>0</v>
      </c>
      <c r="AL31" s="58">
        <v>25.77</v>
      </c>
      <c r="AM31" s="44">
        <f>SUM(Table.Source[[#This Row],[BUA]:[Garden Area]])</f>
        <v>97.956379928315414</v>
      </c>
      <c r="AN31" s="53">
        <v>24576.423999999999</v>
      </c>
      <c r="AO31" s="53">
        <v>12920</v>
      </c>
      <c r="AP31" s="45">
        <v>0</v>
      </c>
      <c r="AQ31" s="45">
        <v>0</v>
      </c>
      <c r="AR31" s="45">
        <v>0</v>
      </c>
      <c r="AS31" s="46">
        <v>0</v>
      </c>
      <c r="AT31" s="45">
        <v>0</v>
      </c>
      <c r="AU31" s="45">
        <v>0</v>
      </c>
      <c r="AV31" s="45">
        <v>0</v>
      </c>
      <c r="AW31" s="53">
        <v>10127.836088474971</v>
      </c>
      <c r="AX31" s="53">
        <v>0</v>
      </c>
      <c r="AY31" s="53">
        <v>2035077.4161433692</v>
      </c>
      <c r="AZ31" s="53">
        <v>28191.986052830187</v>
      </c>
      <c r="BA31" s="60">
        <v>0.02</v>
      </c>
      <c r="BB31" s="60">
        <v>0</v>
      </c>
      <c r="BC31" s="60">
        <v>0</v>
      </c>
      <c r="BD31" s="60">
        <v>0</v>
      </c>
      <c r="BE31" s="60">
        <v>0</v>
      </c>
      <c r="BF31" s="60"/>
      <c r="BG31" s="60"/>
      <c r="BH31" s="61">
        <v>0.02</v>
      </c>
      <c r="BI31" s="53">
        <v>40701.548322867384</v>
      </c>
      <c r="BJ31" s="53">
        <v>2974000</v>
      </c>
      <c r="BK31" s="53">
        <v>41198.907646474676</v>
      </c>
      <c r="BL31" s="53" t="s">
        <v>153</v>
      </c>
      <c r="BM31" s="49">
        <v>0.1</v>
      </c>
      <c r="BN31" s="53"/>
      <c r="BO31" s="49"/>
      <c r="BP31" s="53"/>
      <c r="BQ31" s="49"/>
      <c r="BR31" s="53"/>
      <c r="BS31" s="53"/>
      <c r="BT31" s="53"/>
      <c r="BU31" s="53"/>
      <c r="BV31" s="53"/>
      <c r="BW31" s="53"/>
      <c r="BX31" s="45">
        <v>2974000</v>
      </c>
      <c r="BY31" s="53"/>
      <c r="BZ31" s="53"/>
      <c r="CA31" s="53"/>
      <c r="CB31" s="53"/>
      <c r="CC31" s="53"/>
      <c r="CD31" s="53"/>
      <c r="CE31" s="53"/>
      <c r="CF31" s="49">
        <v>0.09</v>
      </c>
      <c r="CG31" s="45">
        <f>Table.Source[[#This Row],[5 Yrs. Price include club]]*Table.Source[[#This Row],[Maintenance %]]</f>
        <v>267660</v>
      </c>
      <c r="CH31" s="46"/>
      <c r="CI31" s="12"/>
      <c r="CJ31" s="60"/>
      <c r="CK31" s="45"/>
      <c r="CL31" s="50" t="s">
        <v>154</v>
      </c>
      <c r="CM31" s="50"/>
      <c r="CN31" s="51"/>
      <c r="CO31" s="51"/>
      <c r="CP31" s="51"/>
      <c r="CQ31" s="51"/>
      <c r="CR31" s="51"/>
      <c r="CS31" s="1"/>
      <c r="CT31" s="12"/>
      <c r="CU31" s="53"/>
      <c r="CV31" s="61"/>
      <c r="CW31" s="51"/>
      <c r="CX31" s="1">
        <v>6</v>
      </c>
      <c r="CY31" s="51"/>
      <c r="CZ31" s="51">
        <f t="shared" ca="1" si="0"/>
        <v>46254</v>
      </c>
      <c r="DA31" s="51"/>
      <c r="DB31" s="51"/>
      <c r="DC31" s="51" t="s">
        <v>155</v>
      </c>
      <c r="DD31" s="53"/>
      <c r="DE31" s="51"/>
      <c r="DF31" s="1"/>
      <c r="DG31" s="1" t="s">
        <v>156</v>
      </c>
      <c r="DH31" s="53">
        <f>IF(Table.Source[[#This Row],[Contract Value]]&lt;&gt;0,Table.Source[[#This Row],[Contract Value]],Table.Source[[#This Row],[Interest Free Unit Price
include club]])</f>
        <v>2974000</v>
      </c>
      <c r="DI31" s="53">
        <f>Table.Source[[#This Row],[Sales Value ]]/Table.Source[[#This Row],[Sellable Area without Roof (Gross Area)]]</f>
        <v>41198.907646474676</v>
      </c>
      <c r="DJ31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72 : 98</v>
      </c>
      <c r="DK31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31" s="62" t="str">
        <f>IF(Table.Source[[#This Row],[Reservation Date]]=0,"Inventory",YEAR(Table.Source[[#This Row],[Reservation Date]]))</f>
        <v>Inventory</v>
      </c>
      <c r="DM31" s="1" t="str">
        <f>IF(Table.Source[[#This Row],[Status]]="Contracted","Sold","Unsold")</f>
        <v>Unsold</v>
      </c>
      <c r="DN31" s="53">
        <f>Table.Source[[#This Row],[Sales Value ]]/IF(YEAR(Table.Source[[#This Row],[Reservation Date]])=$DN$4,MONTH(MAX(Table.Source[Reservation Date])),12)</f>
        <v>2974000</v>
      </c>
    </row>
    <row r="32" spans="3:118" x14ac:dyDescent="0.25">
      <c r="C32" s="35" t="s">
        <v>141</v>
      </c>
      <c r="D32" s="35" t="s">
        <v>142</v>
      </c>
      <c r="E32" s="1" t="s">
        <v>143</v>
      </c>
      <c r="F32" s="1"/>
      <c r="G32" s="1"/>
      <c r="H32" s="35" t="s">
        <v>144</v>
      </c>
      <c r="I32" s="1"/>
      <c r="J32" s="1" t="s">
        <v>193</v>
      </c>
      <c r="K32" s="1" t="s">
        <v>146</v>
      </c>
      <c r="L32" s="1" t="s">
        <v>147</v>
      </c>
      <c r="M32" s="1"/>
      <c r="N32" s="1" t="s">
        <v>158</v>
      </c>
      <c r="O32" s="1" t="s">
        <v>208</v>
      </c>
      <c r="P32" s="1" t="s">
        <v>174</v>
      </c>
      <c r="Q32" s="1">
        <v>1</v>
      </c>
      <c r="R32" s="1" t="s">
        <v>211</v>
      </c>
      <c r="S32" s="1">
        <v>33000766</v>
      </c>
      <c r="T32" s="1" t="s">
        <v>152</v>
      </c>
      <c r="U32" s="1" t="s">
        <v>147</v>
      </c>
      <c r="V32" s="1"/>
      <c r="W32" s="55"/>
      <c r="X32" s="56"/>
      <c r="Y32" s="57">
        <v>97.63</v>
      </c>
      <c r="Z32" s="57">
        <v>6.81</v>
      </c>
      <c r="AA32" s="42">
        <v>0</v>
      </c>
      <c r="AB32" s="57">
        <v>0</v>
      </c>
      <c r="AC32" s="57">
        <v>0</v>
      </c>
      <c r="AD32" s="57">
        <v>0</v>
      </c>
      <c r="AE32" s="59">
        <v>104.44</v>
      </c>
      <c r="AF32" s="59">
        <v>20.338972520908015</v>
      </c>
      <c r="AG32" s="59">
        <v>124.77897252090801</v>
      </c>
      <c r="AH32" s="42">
        <v>0</v>
      </c>
      <c r="AI32" s="42">
        <v>0</v>
      </c>
      <c r="AJ32" s="59">
        <v>124.77897252090801</v>
      </c>
      <c r="AK32" s="42">
        <v>0</v>
      </c>
      <c r="AL32" s="58">
        <v>0</v>
      </c>
      <c r="AM32" s="44">
        <f>SUM(Table.Source[[#This Row],[BUA]:[Garden Area]])</f>
        <v>124.77897252090801</v>
      </c>
      <c r="AN32" s="53">
        <v>21856.138394568952</v>
      </c>
      <c r="AO32" s="53">
        <v>11620</v>
      </c>
      <c r="AP32" s="45">
        <v>0</v>
      </c>
      <c r="AQ32" s="45">
        <v>0</v>
      </c>
      <c r="AR32" s="45">
        <v>0</v>
      </c>
      <c r="AS32" s="46">
        <v>0</v>
      </c>
      <c r="AT32" s="45">
        <v>0</v>
      </c>
      <c r="AU32" s="45">
        <v>0</v>
      </c>
      <c r="AV32" s="45">
        <v>0</v>
      </c>
      <c r="AW32" s="53">
        <v>0</v>
      </c>
      <c r="AX32" s="53">
        <v>0</v>
      </c>
      <c r="AY32" s="53">
        <v>2657478.3896820676</v>
      </c>
      <c r="AZ32" s="53">
        <v>21297.485754154448</v>
      </c>
      <c r="BA32" s="60">
        <v>0.02</v>
      </c>
      <c r="BB32" s="60">
        <v>0</v>
      </c>
      <c r="BC32" s="60">
        <v>2.5000000000000001E-2</v>
      </c>
      <c r="BD32" s="60">
        <v>0</v>
      </c>
      <c r="BE32" s="60">
        <v>0</v>
      </c>
      <c r="BF32" s="60"/>
      <c r="BG32" s="60"/>
      <c r="BH32" s="61">
        <v>4.4999999999999998E-2</v>
      </c>
      <c r="BI32" s="53">
        <v>119586.52753569304</v>
      </c>
      <c r="BJ32" s="53">
        <v>3921000</v>
      </c>
      <c r="BK32" s="53">
        <v>31423.563768671007</v>
      </c>
      <c r="BL32" s="53" t="s">
        <v>153</v>
      </c>
      <c r="BM32" s="49">
        <v>0.1</v>
      </c>
      <c r="BN32" s="53"/>
      <c r="BO32" s="49"/>
      <c r="BP32" s="53"/>
      <c r="BQ32" s="49"/>
      <c r="BR32" s="53"/>
      <c r="BS32" s="53"/>
      <c r="BT32" s="53"/>
      <c r="BU32" s="53"/>
      <c r="BV32" s="53"/>
      <c r="BW32" s="53"/>
      <c r="BX32" s="45">
        <v>3921000</v>
      </c>
      <c r="BY32" s="53"/>
      <c r="BZ32" s="53"/>
      <c r="CA32" s="53"/>
      <c r="CB32" s="53"/>
      <c r="CC32" s="53"/>
      <c r="CD32" s="53"/>
      <c r="CE32" s="53"/>
      <c r="CF32" s="49">
        <v>0.09</v>
      </c>
      <c r="CG32" s="45">
        <f>Table.Source[[#This Row],[5 Yrs. Price include club]]*Table.Source[[#This Row],[Maintenance %]]</f>
        <v>352890</v>
      </c>
      <c r="CH32" s="46"/>
      <c r="CI32" s="12"/>
      <c r="CJ32" s="60"/>
      <c r="CK32" s="45"/>
      <c r="CL32" s="50" t="s">
        <v>154</v>
      </c>
      <c r="CM32" s="50"/>
      <c r="CN32" s="51"/>
      <c r="CO32" s="51"/>
      <c r="CP32" s="51"/>
      <c r="CQ32" s="51"/>
      <c r="CR32" s="51"/>
      <c r="CS32" s="1"/>
      <c r="CT32" s="12"/>
      <c r="CU32" s="53"/>
      <c r="CV32" s="61"/>
      <c r="CW32" s="51"/>
      <c r="CX32" s="1">
        <v>6</v>
      </c>
      <c r="CY32" s="51"/>
      <c r="CZ32" s="51">
        <f t="shared" ca="1" si="0"/>
        <v>46254</v>
      </c>
      <c r="DA32" s="51"/>
      <c r="DB32" s="51"/>
      <c r="DC32" s="51" t="s">
        <v>155</v>
      </c>
      <c r="DD32" s="53"/>
      <c r="DE32" s="51"/>
      <c r="DF32" s="1"/>
      <c r="DG32" s="1" t="s">
        <v>156</v>
      </c>
      <c r="DH32" s="53">
        <f>IF(Table.Source[[#This Row],[Contract Value]]&lt;&gt;0,Table.Source[[#This Row],[Contract Value]],Table.Source[[#This Row],[Interest Free Unit Price
include club]])</f>
        <v>3921000</v>
      </c>
      <c r="DI32" s="53">
        <f>Table.Source[[#This Row],[Sales Value ]]/Table.Source[[#This Row],[Sellable Area without Roof (Gross Area)]]</f>
        <v>31423.563768671007</v>
      </c>
      <c r="DJ32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123 : 148</v>
      </c>
      <c r="DK32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32" s="62" t="str">
        <f>IF(Table.Source[[#This Row],[Reservation Date]]=0,"Inventory",YEAR(Table.Source[[#This Row],[Reservation Date]]))</f>
        <v>Inventory</v>
      </c>
      <c r="DM32" s="1" t="str">
        <f>IF(Table.Source[[#This Row],[Status]]="Contracted","Sold","Unsold")</f>
        <v>Unsold</v>
      </c>
      <c r="DN32" s="53">
        <f>Table.Source[[#This Row],[Sales Value ]]/IF(YEAR(Table.Source[[#This Row],[Reservation Date]])=$DN$4,MONTH(MAX(Table.Source[Reservation Date])),12)</f>
        <v>3921000</v>
      </c>
    </row>
    <row r="33" spans="3:118" x14ac:dyDescent="0.25">
      <c r="C33" s="35" t="s">
        <v>141</v>
      </c>
      <c r="D33" s="35" t="s">
        <v>142</v>
      </c>
      <c r="E33" s="1" t="s">
        <v>143</v>
      </c>
      <c r="F33" s="1"/>
      <c r="G33" s="1"/>
      <c r="H33" s="35" t="s">
        <v>144</v>
      </c>
      <c r="I33" s="1"/>
      <c r="J33" s="1" t="s">
        <v>193</v>
      </c>
      <c r="K33" s="1" t="s">
        <v>146</v>
      </c>
      <c r="L33" s="1" t="s">
        <v>157</v>
      </c>
      <c r="M33" s="1"/>
      <c r="N33" s="1" t="s">
        <v>164</v>
      </c>
      <c r="O33" s="1" t="s">
        <v>208</v>
      </c>
      <c r="P33" s="1" t="s">
        <v>212</v>
      </c>
      <c r="Q33" s="1">
        <v>1</v>
      </c>
      <c r="R33" s="1" t="s">
        <v>213</v>
      </c>
      <c r="S33" s="1">
        <v>33000768</v>
      </c>
      <c r="T33" s="1" t="s">
        <v>152</v>
      </c>
      <c r="U33" s="1" t="s">
        <v>157</v>
      </c>
      <c r="V33" s="1"/>
      <c r="W33" s="55"/>
      <c r="X33" s="56"/>
      <c r="Y33" s="57">
        <v>140.9</v>
      </c>
      <c r="Z33" s="57">
        <v>4.4800000000000004</v>
      </c>
      <c r="AA33" s="42">
        <v>0</v>
      </c>
      <c r="AB33" s="57">
        <v>0</v>
      </c>
      <c r="AC33" s="57">
        <v>0</v>
      </c>
      <c r="AD33" s="57">
        <v>0</v>
      </c>
      <c r="AE33" s="59">
        <v>145.38</v>
      </c>
      <c r="AF33" s="59">
        <v>28.311756272401453</v>
      </c>
      <c r="AG33" s="59">
        <v>173.69175627240145</v>
      </c>
      <c r="AH33" s="42">
        <v>0</v>
      </c>
      <c r="AI33" s="42">
        <v>0</v>
      </c>
      <c r="AJ33" s="59">
        <v>173.69175627240145</v>
      </c>
      <c r="AK33" s="42">
        <v>0</v>
      </c>
      <c r="AL33" s="58">
        <v>0</v>
      </c>
      <c r="AM33" s="44">
        <f>SUM(Table.Source[[#This Row],[BUA]:[Garden Area]])</f>
        <v>173.69175627240145</v>
      </c>
      <c r="AN33" s="53">
        <v>20189.78992939023</v>
      </c>
      <c r="AO33" s="53">
        <v>10680</v>
      </c>
      <c r="AP33" s="45">
        <v>0</v>
      </c>
      <c r="AQ33" s="45">
        <v>0</v>
      </c>
      <c r="AR33" s="45">
        <v>0</v>
      </c>
      <c r="AS33" s="46">
        <v>0</v>
      </c>
      <c r="AT33" s="45">
        <v>0</v>
      </c>
      <c r="AU33" s="45">
        <v>0</v>
      </c>
      <c r="AV33" s="45">
        <v>0</v>
      </c>
      <c r="AW33" s="53">
        <v>0</v>
      </c>
      <c r="AX33" s="53">
        <v>0</v>
      </c>
      <c r="AY33" s="53">
        <v>3464196.2127229651</v>
      </c>
      <c r="AZ33" s="53">
        <v>19944.505640728585</v>
      </c>
      <c r="BA33" s="60">
        <v>0.04</v>
      </c>
      <c r="BB33" s="60">
        <v>0</v>
      </c>
      <c r="BC33" s="60">
        <v>2.5000000000000001E-2</v>
      </c>
      <c r="BD33" s="60">
        <v>2.5000000000000001E-2</v>
      </c>
      <c r="BE33" s="60">
        <v>0.04</v>
      </c>
      <c r="BF33" s="60"/>
      <c r="BG33" s="60"/>
      <c r="BH33" s="61">
        <v>0.13</v>
      </c>
      <c r="BI33" s="53">
        <v>450345.50765398546</v>
      </c>
      <c r="BJ33" s="53">
        <v>5457000</v>
      </c>
      <c r="BK33" s="53">
        <v>31417.725959554267</v>
      </c>
      <c r="BL33" s="53" t="s">
        <v>153</v>
      </c>
      <c r="BM33" s="49">
        <v>0.1</v>
      </c>
      <c r="BN33" s="53"/>
      <c r="BO33" s="49"/>
      <c r="BP33" s="53"/>
      <c r="BQ33" s="49"/>
      <c r="BR33" s="53"/>
      <c r="BS33" s="53"/>
      <c r="BT33" s="53"/>
      <c r="BU33" s="53"/>
      <c r="BV33" s="53"/>
      <c r="BW33" s="53"/>
      <c r="BX33" s="45">
        <v>5457000</v>
      </c>
      <c r="BY33" s="53"/>
      <c r="BZ33" s="53"/>
      <c r="CA33" s="53"/>
      <c r="CB33" s="53"/>
      <c r="CC33" s="53"/>
      <c r="CD33" s="53"/>
      <c r="CE33" s="53"/>
      <c r="CF33" s="49">
        <v>0.09</v>
      </c>
      <c r="CG33" s="45">
        <f>Table.Source[[#This Row],[5 Yrs. Price include club]]*Table.Source[[#This Row],[Maintenance %]]</f>
        <v>491130</v>
      </c>
      <c r="CH33" s="46"/>
      <c r="CI33" s="12"/>
      <c r="CJ33" s="60"/>
      <c r="CK33" s="45"/>
      <c r="CL33" s="50" t="s">
        <v>154</v>
      </c>
      <c r="CM33" s="50"/>
      <c r="CN33" s="51"/>
      <c r="CO33" s="51"/>
      <c r="CP33" s="51"/>
      <c r="CQ33" s="51"/>
      <c r="CR33" s="51"/>
      <c r="CS33" s="1"/>
      <c r="CT33" s="12"/>
      <c r="CU33" s="53"/>
      <c r="CV33" s="61"/>
      <c r="CW33" s="51"/>
      <c r="CX33" s="1">
        <v>6</v>
      </c>
      <c r="CY33" s="51"/>
      <c r="CZ33" s="51">
        <f t="shared" ca="1" si="0"/>
        <v>46254</v>
      </c>
      <c r="DA33" s="51"/>
      <c r="DB33" s="51"/>
      <c r="DC33" s="51" t="s">
        <v>155</v>
      </c>
      <c r="DD33" s="53"/>
      <c r="DE33" s="51"/>
      <c r="DF33" s="1"/>
      <c r="DG33" s="1" t="s">
        <v>156</v>
      </c>
      <c r="DH33" s="53">
        <f>IF(Table.Source[[#This Row],[Contract Value]]&lt;&gt;0,Table.Source[[#This Row],[Contract Value]],Table.Source[[#This Row],[Interest Free Unit Price
include club]])</f>
        <v>5457000</v>
      </c>
      <c r="DI33" s="53">
        <f>Table.Source[[#This Row],[Sales Value ]]/Table.Source[[#This Row],[Sellable Area without Roof (Gross Area)]]</f>
        <v>31417.725959554267</v>
      </c>
      <c r="DJ33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33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33" s="62" t="str">
        <f>IF(Table.Source[[#This Row],[Reservation Date]]=0,"Inventory",YEAR(Table.Source[[#This Row],[Reservation Date]]))</f>
        <v>Inventory</v>
      </c>
      <c r="DM33" s="1" t="str">
        <f>IF(Table.Source[[#This Row],[Status]]="Contracted","Sold","Unsold")</f>
        <v>Unsold</v>
      </c>
      <c r="DN33" s="53">
        <f>Table.Source[[#This Row],[Sales Value ]]/IF(YEAR(Table.Source[[#This Row],[Reservation Date]])=$DN$4,MONTH(MAX(Table.Source[Reservation Date])),12)</f>
        <v>5457000</v>
      </c>
    </row>
    <row r="34" spans="3:118" x14ac:dyDescent="0.25">
      <c r="C34" s="35" t="s">
        <v>141</v>
      </c>
      <c r="D34" s="35" t="s">
        <v>142</v>
      </c>
      <c r="E34" s="1" t="s">
        <v>143</v>
      </c>
      <c r="F34" s="1"/>
      <c r="G34" s="1"/>
      <c r="H34" s="35" t="s">
        <v>144</v>
      </c>
      <c r="I34" s="1"/>
      <c r="J34" s="1" t="s">
        <v>193</v>
      </c>
      <c r="K34" s="1" t="s">
        <v>146</v>
      </c>
      <c r="L34" s="1" t="s">
        <v>147</v>
      </c>
      <c r="M34" s="1"/>
      <c r="N34" s="1" t="s">
        <v>158</v>
      </c>
      <c r="O34" s="1" t="s">
        <v>208</v>
      </c>
      <c r="P34" s="1" t="s">
        <v>214</v>
      </c>
      <c r="Q34" s="1">
        <v>3</v>
      </c>
      <c r="R34" s="1" t="s">
        <v>215</v>
      </c>
      <c r="S34" s="1">
        <v>33000772</v>
      </c>
      <c r="T34" s="1" t="s">
        <v>152</v>
      </c>
      <c r="U34" s="1" t="s">
        <v>147</v>
      </c>
      <c r="V34" s="1"/>
      <c r="W34" s="55"/>
      <c r="X34" s="56"/>
      <c r="Y34" s="57">
        <v>94.81</v>
      </c>
      <c r="Z34" s="57">
        <v>4.4800000000000004</v>
      </c>
      <c r="AA34" s="42">
        <v>0</v>
      </c>
      <c r="AB34" s="57">
        <v>0</v>
      </c>
      <c r="AC34" s="57">
        <v>0</v>
      </c>
      <c r="AD34" s="57">
        <v>0</v>
      </c>
      <c r="AE34" s="59">
        <v>99.29</v>
      </c>
      <c r="AF34" s="59">
        <v>19.336045400238959</v>
      </c>
      <c r="AG34" s="59">
        <v>118.62604540023897</v>
      </c>
      <c r="AH34" s="42">
        <v>0</v>
      </c>
      <c r="AI34" s="42">
        <v>0</v>
      </c>
      <c r="AJ34" s="59">
        <v>118.62604540023897</v>
      </c>
      <c r="AK34" s="42">
        <v>0</v>
      </c>
      <c r="AL34" s="58">
        <v>0</v>
      </c>
      <c r="AM34" s="44">
        <f>SUM(Table.Source[[#This Row],[BUA]:[Garden Area]])</f>
        <v>118.62604540023897</v>
      </c>
      <c r="AN34" s="53">
        <v>22043.671415246085</v>
      </c>
      <c r="AO34" s="53">
        <v>11620</v>
      </c>
      <c r="AP34" s="45">
        <v>0</v>
      </c>
      <c r="AQ34" s="45">
        <v>0</v>
      </c>
      <c r="AR34" s="45">
        <v>0</v>
      </c>
      <c r="AS34" s="46">
        <v>0</v>
      </c>
      <c r="AT34" s="45">
        <v>0</v>
      </c>
      <c r="AU34" s="45">
        <v>0</v>
      </c>
      <c r="AV34" s="45">
        <v>0</v>
      </c>
      <c r="AW34" s="53">
        <v>0</v>
      </c>
      <c r="AX34" s="53">
        <v>0</v>
      </c>
      <c r="AY34" s="53">
        <v>2568255.5181526295</v>
      </c>
      <c r="AZ34" s="53">
        <v>21650.013784809653</v>
      </c>
      <c r="BA34" s="60">
        <v>0.02</v>
      </c>
      <c r="BB34" s="60">
        <v>0</v>
      </c>
      <c r="BC34" s="60">
        <v>7.4999999999999997E-2</v>
      </c>
      <c r="BD34" s="60">
        <v>0</v>
      </c>
      <c r="BE34" s="60">
        <v>0</v>
      </c>
      <c r="BF34" s="60"/>
      <c r="BG34" s="60"/>
      <c r="BH34" s="61">
        <v>9.5000000000000001E-2</v>
      </c>
      <c r="BI34" s="53">
        <v>243984.27422449979</v>
      </c>
      <c r="BJ34" s="53">
        <v>3969000</v>
      </c>
      <c r="BK34" s="53">
        <v>33458.082384933019</v>
      </c>
      <c r="BL34" s="53" t="s">
        <v>153</v>
      </c>
      <c r="BM34" s="49">
        <v>0.1</v>
      </c>
      <c r="BN34" s="53"/>
      <c r="BO34" s="49"/>
      <c r="BP34" s="53"/>
      <c r="BQ34" s="49"/>
      <c r="BR34" s="53"/>
      <c r="BS34" s="53"/>
      <c r="BT34" s="53"/>
      <c r="BU34" s="53"/>
      <c r="BV34" s="53"/>
      <c r="BW34" s="53"/>
      <c r="BX34" s="45">
        <v>3969000</v>
      </c>
      <c r="BY34" s="53"/>
      <c r="BZ34" s="53"/>
      <c r="CA34" s="53"/>
      <c r="CB34" s="53"/>
      <c r="CC34" s="53"/>
      <c r="CD34" s="53"/>
      <c r="CE34" s="53"/>
      <c r="CF34" s="49">
        <v>0.09</v>
      </c>
      <c r="CG34" s="45">
        <f>Table.Source[[#This Row],[5 Yrs. Price include club]]*Table.Source[[#This Row],[Maintenance %]]</f>
        <v>357210</v>
      </c>
      <c r="CH34" s="46"/>
      <c r="CI34" s="12"/>
      <c r="CJ34" s="60"/>
      <c r="CK34" s="45"/>
      <c r="CL34" s="50" t="s">
        <v>154</v>
      </c>
      <c r="CM34" s="50"/>
      <c r="CN34" s="51"/>
      <c r="CO34" s="51"/>
      <c r="CP34" s="51"/>
      <c r="CQ34" s="51"/>
      <c r="CR34" s="51"/>
      <c r="CS34" s="1"/>
      <c r="CT34" s="12"/>
      <c r="CU34" s="53"/>
      <c r="CV34" s="61"/>
      <c r="CW34" s="51"/>
      <c r="CX34" s="1">
        <v>6</v>
      </c>
      <c r="CY34" s="51"/>
      <c r="CZ34" s="51">
        <f t="shared" ca="1" si="0"/>
        <v>46254</v>
      </c>
      <c r="DA34" s="51"/>
      <c r="DB34" s="51"/>
      <c r="DC34" s="51" t="s">
        <v>155</v>
      </c>
      <c r="DD34" s="53"/>
      <c r="DE34" s="51"/>
      <c r="DF34" s="1"/>
      <c r="DG34" s="1" t="s">
        <v>156</v>
      </c>
      <c r="DH34" s="53">
        <f>IF(Table.Source[[#This Row],[Contract Value]]&lt;&gt;0,Table.Source[[#This Row],[Contract Value]],Table.Source[[#This Row],[Interest Free Unit Price
include club]])</f>
        <v>3969000</v>
      </c>
      <c r="DI34" s="53">
        <f>Table.Source[[#This Row],[Sales Value ]]/Table.Source[[#This Row],[Sellable Area without Roof (Gross Area)]]</f>
        <v>33458.082384933019</v>
      </c>
      <c r="DJ34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98 : 123</v>
      </c>
      <c r="DK34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34" s="62" t="str">
        <f>IF(Table.Source[[#This Row],[Reservation Date]]=0,"Inventory",YEAR(Table.Source[[#This Row],[Reservation Date]]))</f>
        <v>Inventory</v>
      </c>
      <c r="DM34" s="1" t="str">
        <f>IF(Table.Source[[#This Row],[Status]]="Contracted","Sold","Unsold")</f>
        <v>Unsold</v>
      </c>
      <c r="DN34" s="53">
        <f>Table.Source[[#This Row],[Sales Value ]]/IF(YEAR(Table.Source[[#This Row],[Reservation Date]])=$DN$4,MONTH(MAX(Table.Source[Reservation Date])),12)</f>
        <v>3969000</v>
      </c>
    </row>
    <row r="35" spans="3:118" x14ac:dyDescent="0.25">
      <c r="C35" s="35" t="s">
        <v>141</v>
      </c>
      <c r="D35" s="35" t="s">
        <v>142</v>
      </c>
      <c r="E35" s="1" t="s">
        <v>143</v>
      </c>
      <c r="F35" s="1"/>
      <c r="G35" s="1"/>
      <c r="H35" s="35" t="s">
        <v>144</v>
      </c>
      <c r="I35" s="1"/>
      <c r="J35" s="1" t="s">
        <v>193</v>
      </c>
      <c r="K35" s="1" t="s">
        <v>146</v>
      </c>
      <c r="L35" s="1" t="s">
        <v>157</v>
      </c>
      <c r="M35" s="1"/>
      <c r="N35" s="1" t="s">
        <v>164</v>
      </c>
      <c r="O35" s="1" t="s">
        <v>208</v>
      </c>
      <c r="P35" s="1" t="s">
        <v>178</v>
      </c>
      <c r="Q35" s="1">
        <v>4</v>
      </c>
      <c r="R35" s="1" t="s">
        <v>216</v>
      </c>
      <c r="S35" s="1">
        <v>33000777</v>
      </c>
      <c r="T35" s="1" t="s">
        <v>152</v>
      </c>
      <c r="U35" s="1" t="s">
        <v>157</v>
      </c>
      <c r="V35" s="1"/>
      <c r="W35" s="55"/>
      <c r="X35" s="56"/>
      <c r="Y35" s="57">
        <v>138.77000000000001</v>
      </c>
      <c r="Z35" s="57">
        <v>4.4800000000000004</v>
      </c>
      <c r="AA35" s="42">
        <v>0</v>
      </c>
      <c r="AB35" s="57">
        <v>0</v>
      </c>
      <c r="AC35" s="57">
        <v>0</v>
      </c>
      <c r="AD35" s="57">
        <v>0</v>
      </c>
      <c r="AE35" s="59">
        <v>143.25</v>
      </c>
      <c r="AF35" s="59">
        <v>27.896953405017939</v>
      </c>
      <c r="AG35" s="59">
        <v>171.14695340501794</v>
      </c>
      <c r="AH35" s="57">
        <v>0</v>
      </c>
      <c r="AI35" s="57">
        <v>0</v>
      </c>
      <c r="AJ35" s="59">
        <v>171.14695340501794</v>
      </c>
      <c r="AK35" s="57">
        <v>0</v>
      </c>
      <c r="AL35" s="58">
        <v>0</v>
      </c>
      <c r="AM35" s="44">
        <f>SUM(Table.Source[[#This Row],[BUA]:[Garden Area]])</f>
        <v>171.14695340501794</v>
      </c>
      <c r="AN35" s="53">
        <v>20269.785713354744</v>
      </c>
      <c r="AO35" s="53">
        <v>10680</v>
      </c>
      <c r="AP35" s="53">
        <v>0</v>
      </c>
      <c r="AQ35" s="53">
        <v>0</v>
      </c>
      <c r="AR35" s="53">
        <v>0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3426149.8310173936</v>
      </c>
      <c r="AZ35" s="53">
        <v>20018.760269190632</v>
      </c>
      <c r="BA35" s="60">
        <v>0.04</v>
      </c>
      <c r="BB35" s="60">
        <v>0</v>
      </c>
      <c r="BC35" s="60">
        <v>0.02</v>
      </c>
      <c r="BD35" s="60">
        <v>2.5000000000000001E-2</v>
      </c>
      <c r="BE35" s="60">
        <v>0.04</v>
      </c>
      <c r="BF35" s="60"/>
      <c r="BG35" s="60"/>
      <c r="BH35" s="61">
        <v>0.125</v>
      </c>
      <c r="BI35" s="53">
        <v>428268.7288771742</v>
      </c>
      <c r="BJ35" s="53">
        <v>5376000</v>
      </c>
      <c r="BK35" s="53">
        <v>31411.602094240836</v>
      </c>
      <c r="BL35" s="53" t="s">
        <v>153</v>
      </c>
      <c r="BM35" s="49">
        <v>0.1</v>
      </c>
      <c r="BN35" s="53"/>
      <c r="BO35" s="49"/>
      <c r="BP35" s="53"/>
      <c r="BQ35" s="49"/>
      <c r="BR35" s="53"/>
      <c r="BS35" s="53"/>
      <c r="BT35" s="53"/>
      <c r="BU35" s="53"/>
      <c r="BV35" s="53"/>
      <c r="BW35" s="53"/>
      <c r="BX35" s="45">
        <v>5376000</v>
      </c>
      <c r="BY35" s="53"/>
      <c r="BZ35" s="53"/>
      <c r="CA35" s="53"/>
      <c r="CB35" s="53"/>
      <c r="CC35" s="53"/>
      <c r="CD35" s="53"/>
      <c r="CE35" s="53"/>
      <c r="CF35" s="49">
        <v>0.09</v>
      </c>
      <c r="CG35" s="45">
        <f>Table.Source[[#This Row],[5 Yrs. Price include club]]*Table.Source[[#This Row],[Maintenance %]]</f>
        <v>483840</v>
      </c>
      <c r="CH35" s="46"/>
      <c r="CI35" s="12"/>
      <c r="CJ35" s="60"/>
      <c r="CK35" s="45"/>
      <c r="CL35" s="50" t="s">
        <v>154</v>
      </c>
      <c r="CM35" s="50"/>
      <c r="CN35" s="51"/>
      <c r="CO35" s="51"/>
      <c r="CP35" s="51"/>
      <c r="CQ35" s="51"/>
      <c r="CR35" s="51"/>
      <c r="CS35" s="1"/>
      <c r="CT35" s="12"/>
      <c r="CU35" s="53"/>
      <c r="CV35" s="61"/>
      <c r="CW35" s="51"/>
      <c r="CX35" s="1">
        <v>6</v>
      </c>
      <c r="CY35" s="51"/>
      <c r="CZ35" s="51">
        <f t="shared" ca="1" si="0"/>
        <v>46254</v>
      </c>
      <c r="DA35" s="51"/>
      <c r="DB35" s="51"/>
      <c r="DC35" s="51" t="s">
        <v>155</v>
      </c>
      <c r="DD35" s="53"/>
      <c r="DE35" s="51"/>
      <c r="DF35" s="1"/>
      <c r="DG35" s="1" t="s">
        <v>156</v>
      </c>
      <c r="DH35" s="53">
        <f>IF(Table.Source[[#This Row],[Contract Value]]&lt;&gt;0,Table.Source[[#This Row],[Contract Value]],Table.Source[[#This Row],[Interest Free Unit Price
include club]])</f>
        <v>5376000</v>
      </c>
      <c r="DI35" s="53">
        <f>Table.Source[[#This Row],[Sales Value ]]/Table.Source[[#This Row],[Sellable Area without Roof (Gross Area)]]</f>
        <v>31411.602094240836</v>
      </c>
      <c r="DJ35" s="53" t="str">
        <f>IF(Table.Source[[#This Row],[Unit Type]]="Villa",ROUND(INDEX($DJ$1:$DJ$4,MATCH(Table.Source[[#This Row],[Sellable Area without Roof (Gross Area)]],$DJ$1:$DJ$4,1)),0)&amp;" : "&amp;ROUND(INDEX($DK$1:$DK$4,MATCH(Table.Source[[#This Row],[Sellable Area without Roof (Gross Area)]],$DJ$1:$DJ$4,1)),0),ROUND(INDEX($DH$1:$DH$4,MATCH(Table.Source[[#This Row],[Sellable Area without Roof (Gross Area)]],$DH$1:$DH$4,1)),0)&amp;" : "&amp;ROUND(INDEX($DI$1:$DI$4,MATCH(Table.Source[[#This Row],[Sellable Area without Roof (Gross Area)]],$DH$1:$DH$4,1)),0))</f>
        <v>148 : 174</v>
      </c>
      <c r="DK35" s="62" t="str">
        <f>IF(Table.Source[[#This Row],[Release Date]]&lt;&gt;0,YEAR(Table.Source[[#This Row],[Release Date]]),IF(ISNUMBER(Table.Source[[#This Row],[Contract Date]]),YEAR(Table.Source[[#This Row],[Contract Date]]),"Unreleased"))</f>
        <v>Unreleased</v>
      </c>
      <c r="DL35" s="62" t="str">
        <f>IF(Table.Source[[#This Row],[Reservation Date]]=0,"Inventory",YEAR(Table.Source[[#This Row],[Reservation Date]]))</f>
        <v>Inventory</v>
      </c>
      <c r="DM35" s="1" t="str">
        <f>IF(Table.Source[[#This Row],[Status]]="Contracted","Sold","Unsold")</f>
        <v>Unsold</v>
      </c>
      <c r="DN35" s="53">
        <f>Table.Source[[#This Row],[Sales Value ]]/IF(YEAR(Table.Source[[#This Row],[Reservation Date]])=$DN$4,MONTH(MAX(Table.Source[Reservation Date])),12)</f>
        <v>5376000</v>
      </c>
    </row>
  </sheetData>
  <sheetProtection algorithmName="SHA-512" hashValue="sX4BIPdj+5AUWmvuoRmqbt7GHWeD90duYKRVXU3+h1V05xZCjGqDYXgckdQh2rKRW7mh+7KebNQ24OSHTj0ugg==" saltValue="+Epmo+VWtfoJrf9KTV9BMA==" spinCount="100000" sheet="1" objects="1" scenarios="1"/>
  <conditionalFormatting sqref="J6:J35">
    <cfRule type="expression" dxfId="4" priority="4">
      <formula>$Q6&gt;AVERAGEIFS($Q$4:$Q$11,#REF!,#REF!)</formula>
    </cfRule>
  </conditionalFormatting>
  <conditionalFormatting sqref="O6:O35">
    <cfRule type="expression" dxfId="3" priority="5">
      <formula>$Q6&gt;AVERAGEIFS($Q$4:$Q$11,#REF!,#REF!)</formula>
    </cfRule>
  </conditionalFormatting>
  <conditionalFormatting sqref="P36:P1048576 P1:P5">
    <cfRule type="duplicateValues" dxfId="2" priority="191"/>
  </conditionalFormatting>
  <conditionalFormatting sqref="R1:R1048576">
    <cfRule type="duplicateValues" dxfId="1" priority="1"/>
    <cfRule type="duplicateValues" dxfId="0" priority="197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Flexible Payments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Serag</dc:creator>
  <cp:lastModifiedBy>Hala Amin</cp:lastModifiedBy>
  <dcterms:created xsi:type="dcterms:W3CDTF">2023-08-08T09:27:42Z</dcterms:created>
  <dcterms:modified xsi:type="dcterms:W3CDTF">2024-05-12T08:15:26Z</dcterms:modified>
</cp:coreProperties>
</file>